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wlshe\Documents\Models\"/>
    </mc:Choice>
  </mc:AlternateContent>
  <xr:revisionPtr revIDLastSave="0" documentId="13_ncr:1_{3C12100B-F34D-4CF8-9C70-D363E5CF7962}" xr6:coauthVersionLast="47" xr6:coauthVersionMax="47" xr10:uidLastSave="{00000000-0000-0000-0000-000000000000}"/>
  <bookViews>
    <workbookView xWindow="-13095" yWindow="0" windowWidth="13200" windowHeight="15585" activeTab="1" xr2:uid="{15525C91-4131-44DD-951D-0495B1CCDB37}"/>
  </bookViews>
  <sheets>
    <sheet name="Main" sheetId="1" r:id="rId1"/>
    <sheet name="DCF" sheetId="2" r:id="rId2"/>
    <sheet name="WACC" sheetId="3"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B44" i="2" l="1"/>
  <c r="AW34" i="2"/>
  <c r="AX34" i="2" s="1"/>
  <c r="AY34" i="2" s="1"/>
  <c r="AZ34" i="2" s="1"/>
  <c r="BA34" i="2" s="1"/>
  <c r="BB34" i="2" s="1"/>
  <c r="BC34" i="2" s="1"/>
  <c r="BD34" i="2" s="1"/>
  <c r="BE34" i="2" s="1"/>
  <c r="BF34" i="2" s="1"/>
  <c r="BG34" i="2" s="1"/>
  <c r="BH34" i="2" s="1"/>
  <c r="BI34" i="2" s="1"/>
  <c r="BJ34" i="2" s="1"/>
  <c r="BK34" i="2" s="1"/>
  <c r="BL34" i="2" s="1"/>
  <c r="BM34" i="2" s="1"/>
  <c r="BN34" i="2" s="1"/>
  <c r="BO34" i="2" s="1"/>
  <c r="BP34" i="2" s="1"/>
  <c r="BQ34" i="2" s="1"/>
  <c r="BR34" i="2" s="1"/>
  <c r="BS34" i="2" s="1"/>
  <c r="BT34" i="2" s="1"/>
  <c r="BU34" i="2" s="1"/>
  <c r="BV34" i="2" s="1"/>
  <c r="BW34" i="2" s="1"/>
  <c r="BX34" i="2" s="1"/>
  <c r="BY34" i="2" s="1"/>
  <c r="BZ34" i="2" s="1"/>
  <c r="CA34" i="2" s="1"/>
  <c r="CB34" i="2" s="1"/>
  <c r="CC34" i="2" s="1"/>
  <c r="CD34" i="2" s="1"/>
  <c r="CE34" i="2" s="1"/>
  <c r="CF34" i="2" s="1"/>
  <c r="CG34" i="2" s="1"/>
  <c r="CH34" i="2" s="1"/>
  <c r="CI34" i="2" s="1"/>
  <c r="CJ34" i="2" s="1"/>
  <c r="CK34" i="2" s="1"/>
  <c r="CL34" i="2" s="1"/>
  <c r="CM34" i="2" s="1"/>
  <c r="CN34" i="2" s="1"/>
  <c r="CO34" i="2" s="1"/>
  <c r="CP34" i="2" s="1"/>
  <c r="CQ34" i="2" s="1"/>
  <c r="CR34" i="2" s="1"/>
  <c r="CS34" i="2" s="1"/>
  <c r="CT34" i="2" s="1"/>
  <c r="CU34" i="2" s="1"/>
  <c r="CV34" i="2" s="1"/>
  <c r="CW34" i="2" s="1"/>
  <c r="CX34" i="2" s="1"/>
  <c r="CY34" i="2" s="1"/>
  <c r="CZ34" i="2" s="1"/>
  <c r="DA34" i="2" s="1"/>
  <c r="DB34" i="2" s="1"/>
  <c r="DC34" i="2" s="1"/>
  <c r="DD34" i="2" s="1"/>
  <c r="DE34" i="2" s="1"/>
  <c r="DF34" i="2" s="1"/>
  <c r="DG34" i="2" s="1"/>
  <c r="DH34" i="2" s="1"/>
  <c r="DI34" i="2" s="1"/>
  <c r="DJ34" i="2" s="1"/>
  <c r="DK34" i="2" s="1"/>
  <c r="DL34" i="2" s="1"/>
  <c r="DM34" i="2" s="1"/>
  <c r="DN34" i="2" s="1"/>
  <c r="DO34" i="2" s="1"/>
  <c r="DP34" i="2" s="1"/>
  <c r="DQ34" i="2" s="1"/>
  <c r="DR34" i="2" s="1"/>
  <c r="DS34" i="2" s="1"/>
  <c r="DT34" i="2" s="1"/>
  <c r="DU34" i="2" s="1"/>
  <c r="DV34" i="2" s="1"/>
  <c r="DW34" i="2" s="1"/>
  <c r="DX34" i="2" s="1"/>
  <c r="DY34" i="2" s="1"/>
  <c r="DZ34" i="2" s="1"/>
  <c r="EA34" i="2" s="1"/>
  <c r="EB34" i="2" s="1"/>
  <c r="EC34" i="2" s="1"/>
  <c r="ED34" i="2" s="1"/>
  <c r="EE34" i="2" s="1"/>
  <c r="EF34" i="2" s="1"/>
  <c r="EG34" i="2" s="1"/>
  <c r="EH34" i="2" s="1"/>
  <c r="EI34" i="2" s="1"/>
  <c r="EJ34" i="2" s="1"/>
  <c r="EK34" i="2" s="1"/>
  <c r="EL34" i="2" s="1"/>
  <c r="EM34" i="2" s="1"/>
  <c r="EN34" i="2" s="1"/>
  <c r="EO34" i="2" s="1"/>
  <c r="EP34" i="2" s="1"/>
  <c r="EQ34" i="2" s="1"/>
  <c r="ER34" i="2" s="1"/>
  <c r="ES34" i="2" s="1"/>
  <c r="ET34" i="2" s="1"/>
  <c r="EU34" i="2" s="1"/>
  <c r="EV34" i="2" s="1"/>
  <c r="EW34" i="2" s="1"/>
  <c r="EX34" i="2" s="1"/>
  <c r="EY34" i="2" s="1"/>
  <c r="EZ34" i="2" s="1"/>
  <c r="FA34" i="2" s="1"/>
  <c r="FB34" i="2" s="1"/>
  <c r="FC34" i="2" s="1"/>
  <c r="FD34" i="2" s="1"/>
  <c r="FE34" i="2" s="1"/>
  <c r="FF34" i="2" s="1"/>
  <c r="FG34" i="2" s="1"/>
  <c r="FH34" i="2" s="1"/>
  <c r="FI34" i="2" s="1"/>
  <c r="FJ34" i="2" s="1"/>
  <c r="FK34" i="2" s="1"/>
  <c r="FL34" i="2" s="1"/>
  <c r="FM34" i="2" s="1"/>
  <c r="FN34" i="2" s="1"/>
  <c r="FO34" i="2" s="1"/>
  <c r="FP34" i="2" s="1"/>
  <c r="FQ34" i="2" s="1"/>
  <c r="FR34" i="2" s="1"/>
  <c r="FS34" i="2" s="1"/>
  <c r="FT34" i="2" s="1"/>
  <c r="FU34" i="2" s="1"/>
  <c r="FV34" i="2" s="1"/>
  <c r="FW34" i="2" s="1"/>
  <c r="FX34" i="2" s="1"/>
  <c r="FY34" i="2" s="1"/>
  <c r="FZ34" i="2" s="1"/>
  <c r="GA34" i="2" s="1"/>
  <c r="GB34" i="2" s="1"/>
  <c r="GC34" i="2" s="1"/>
  <c r="GD34" i="2" s="1"/>
  <c r="GE34" i="2" s="1"/>
  <c r="GF34" i="2" s="1"/>
  <c r="GG34" i="2" s="1"/>
  <c r="GH34" i="2" s="1"/>
  <c r="GI34" i="2" s="1"/>
  <c r="GJ34" i="2" s="1"/>
  <c r="GK34" i="2" s="1"/>
  <c r="GL34" i="2" s="1"/>
  <c r="GM34" i="2" s="1"/>
  <c r="GN34" i="2" s="1"/>
  <c r="GO34" i="2" s="1"/>
  <c r="GP34" i="2" s="1"/>
  <c r="GQ34" i="2" s="1"/>
  <c r="GR34" i="2" s="1"/>
  <c r="GS34" i="2" s="1"/>
  <c r="GT34" i="2" s="1"/>
  <c r="GU34" i="2" s="1"/>
  <c r="GV34" i="2" s="1"/>
  <c r="GW34" i="2" s="1"/>
  <c r="GX34" i="2" s="1"/>
  <c r="GY34" i="2" s="1"/>
  <c r="GZ34" i="2" s="1"/>
  <c r="HA34" i="2" s="1"/>
  <c r="HB34" i="2" s="1"/>
  <c r="HC34" i="2" s="1"/>
  <c r="HD34" i="2" s="1"/>
  <c r="HE34" i="2" s="1"/>
  <c r="HF34" i="2" s="1"/>
  <c r="HG34" i="2" s="1"/>
  <c r="HH34" i="2" s="1"/>
  <c r="HI34" i="2" s="1"/>
  <c r="HJ34" i="2" s="1"/>
  <c r="HK34" i="2" s="1"/>
  <c r="HL34" i="2" s="1"/>
  <c r="HM34" i="2" s="1"/>
  <c r="HN34" i="2" s="1"/>
  <c r="HO34" i="2" s="1"/>
  <c r="HP34" i="2" s="1"/>
  <c r="HQ34" i="2" s="1"/>
  <c r="HR34" i="2" s="1"/>
  <c r="HS34" i="2" s="1"/>
  <c r="HT34" i="2" s="1"/>
  <c r="HU34" i="2" s="1"/>
  <c r="HV34" i="2" s="1"/>
  <c r="HW34" i="2" s="1"/>
  <c r="HX34" i="2" s="1"/>
  <c r="HY34" i="2" s="1"/>
  <c r="HZ34" i="2" s="1"/>
  <c r="IA34" i="2" s="1"/>
  <c r="IB34" i="2" s="1"/>
  <c r="IC34" i="2" s="1"/>
  <c r="ID34" i="2" s="1"/>
  <c r="IE34" i="2" s="1"/>
  <c r="IF34" i="2" s="1"/>
  <c r="IG34" i="2" s="1"/>
  <c r="IH34" i="2" s="1"/>
  <c r="II34" i="2" s="1"/>
  <c r="IJ34" i="2" s="1"/>
  <c r="IK34" i="2" s="1"/>
  <c r="IL34" i="2" s="1"/>
  <c r="IM34" i="2" s="1"/>
  <c r="IN34" i="2" s="1"/>
  <c r="IO34" i="2" s="1"/>
  <c r="IP34" i="2" s="1"/>
  <c r="IQ34" i="2" s="1"/>
  <c r="IR34" i="2" s="1"/>
  <c r="IS34" i="2" s="1"/>
  <c r="IT34" i="2" s="1"/>
  <c r="IU34" i="2" s="1"/>
  <c r="IV34" i="2" s="1"/>
  <c r="IW34" i="2" s="1"/>
  <c r="IX34" i="2" s="1"/>
  <c r="IY34" i="2" s="1"/>
  <c r="IZ34" i="2" s="1"/>
  <c r="JA34" i="2" s="1"/>
  <c r="JB34" i="2" s="1"/>
  <c r="JC34" i="2" s="1"/>
  <c r="JD34" i="2" s="1"/>
  <c r="JE34" i="2" s="1"/>
  <c r="JF34" i="2" s="1"/>
  <c r="JG34" i="2" s="1"/>
  <c r="JH34" i="2" s="1"/>
  <c r="JI34" i="2" s="1"/>
  <c r="JJ34" i="2" s="1"/>
  <c r="JK34" i="2" s="1"/>
  <c r="JL34" i="2" s="1"/>
  <c r="JM34" i="2" s="1"/>
  <c r="JN34" i="2" s="1"/>
  <c r="JO34" i="2" s="1"/>
  <c r="JP34" i="2" s="1"/>
  <c r="JQ34" i="2" s="1"/>
  <c r="JR34" i="2" s="1"/>
  <c r="JS34" i="2" s="1"/>
  <c r="JT34" i="2" s="1"/>
  <c r="JU34" i="2" s="1"/>
  <c r="JV34" i="2" s="1"/>
  <c r="JW34" i="2" s="1"/>
  <c r="JX34" i="2" s="1"/>
  <c r="JY34" i="2" s="1"/>
  <c r="JZ34" i="2" s="1"/>
  <c r="KA34" i="2" s="1"/>
  <c r="KB34" i="2" s="1"/>
  <c r="KC34" i="2" s="1"/>
  <c r="KD34" i="2" s="1"/>
  <c r="KE34" i="2" s="1"/>
  <c r="KF34" i="2" s="1"/>
  <c r="KG34" i="2" s="1"/>
  <c r="KH34" i="2" s="1"/>
  <c r="KI34" i="2" s="1"/>
  <c r="KJ34" i="2" s="1"/>
  <c r="KK34" i="2" s="1"/>
  <c r="KL34" i="2" s="1"/>
  <c r="KM34" i="2" s="1"/>
  <c r="KN34" i="2" s="1"/>
  <c r="KO34" i="2" s="1"/>
  <c r="KP34" i="2" s="1"/>
  <c r="KQ34" i="2" s="1"/>
  <c r="KR34" i="2" s="1"/>
  <c r="KS34" i="2" s="1"/>
  <c r="KT34" i="2" s="1"/>
  <c r="KU34" i="2" s="1"/>
  <c r="KV34" i="2" s="1"/>
  <c r="KW34" i="2" s="1"/>
  <c r="KX34" i="2" s="1"/>
  <c r="KY34" i="2" s="1"/>
  <c r="KZ34" i="2" s="1"/>
  <c r="LA34" i="2" s="1"/>
  <c r="LB34" i="2" s="1"/>
  <c r="LC34" i="2" s="1"/>
  <c r="LD34" i="2" s="1"/>
  <c r="LE34" i="2" s="1"/>
  <c r="LF34" i="2" s="1"/>
  <c r="LG34" i="2" s="1"/>
  <c r="LH34" i="2" s="1"/>
  <c r="LI34" i="2" s="1"/>
  <c r="LJ34" i="2" s="1"/>
  <c r="LK34" i="2" s="1"/>
  <c r="LL34" i="2" s="1"/>
  <c r="LM34" i="2" s="1"/>
  <c r="LN34" i="2" s="1"/>
  <c r="LO34" i="2" s="1"/>
  <c r="LP34" i="2" s="1"/>
  <c r="LQ34" i="2" s="1"/>
  <c r="LR34" i="2" s="1"/>
  <c r="LS34" i="2" s="1"/>
  <c r="LT34" i="2" s="1"/>
  <c r="LU34" i="2" s="1"/>
  <c r="LV34" i="2" s="1"/>
  <c r="LW34" i="2" s="1"/>
  <c r="LX34" i="2" s="1"/>
  <c r="LY34" i="2" s="1"/>
  <c r="LZ34" i="2" s="1"/>
  <c r="MA34" i="2" s="1"/>
  <c r="MB34" i="2" s="1"/>
  <c r="MC34" i="2" s="1"/>
  <c r="MD34" i="2" s="1"/>
  <c r="ME34" i="2" s="1"/>
  <c r="MF34" i="2" s="1"/>
  <c r="MG34" i="2" s="1"/>
  <c r="MH34" i="2" s="1"/>
  <c r="MI34" i="2" s="1"/>
  <c r="MJ34" i="2" s="1"/>
  <c r="MK34" i="2" s="1"/>
  <c r="ML34" i="2" s="1"/>
  <c r="MM34" i="2" s="1"/>
  <c r="MN34" i="2" s="1"/>
  <c r="MO34" i="2" s="1"/>
  <c r="MP34" i="2" s="1"/>
  <c r="MQ34" i="2" s="1"/>
  <c r="MR34" i="2" s="1"/>
  <c r="MS34" i="2" s="1"/>
  <c r="MT34" i="2" s="1"/>
  <c r="MU34" i="2" s="1"/>
  <c r="MV34" i="2" s="1"/>
  <c r="MW34" i="2" s="1"/>
  <c r="MX34" i="2" s="1"/>
  <c r="MY34" i="2" s="1"/>
  <c r="MZ34" i="2" s="1"/>
  <c r="NA34" i="2" s="1"/>
  <c r="NB34" i="2" s="1"/>
  <c r="NC34" i="2" s="1"/>
  <c r="ND34" i="2" s="1"/>
  <c r="NE34" i="2" s="1"/>
  <c r="NF34" i="2" s="1"/>
  <c r="NG34" i="2" s="1"/>
  <c r="NH34" i="2" s="1"/>
  <c r="NI34" i="2" s="1"/>
  <c r="NJ34" i="2" s="1"/>
  <c r="NK34" i="2" s="1"/>
  <c r="NL34" i="2" s="1"/>
  <c r="NM34" i="2" s="1"/>
  <c r="NN34" i="2" s="1"/>
  <c r="NO34" i="2" s="1"/>
  <c r="NP34" i="2" s="1"/>
  <c r="NQ34" i="2" s="1"/>
  <c r="NR34" i="2" s="1"/>
  <c r="NS34" i="2" s="1"/>
  <c r="NT34" i="2" s="1"/>
  <c r="NU34" i="2" s="1"/>
  <c r="NV34" i="2" s="1"/>
  <c r="NW34" i="2" s="1"/>
  <c r="NX34" i="2" s="1"/>
  <c r="NY34" i="2" s="1"/>
  <c r="NZ34" i="2" s="1"/>
  <c r="OA34" i="2" s="1"/>
  <c r="OB34" i="2" s="1"/>
  <c r="OC34" i="2" s="1"/>
  <c r="OD34" i="2" s="1"/>
  <c r="OE34" i="2" s="1"/>
  <c r="OF34" i="2" s="1"/>
  <c r="OG34" i="2" s="1"/>
  <c r="OH34" i="2" s="1"/>
  <c r="OI34" i="2" s="1"/>
  <c r="OJ34" i="2" s="1"/>
  <c r="OK34" i="2" s="1"/>
  <c r="OL34" i="2" s="1"/>
  <c r="OM34" i="2" s="1"/>
  <c r="ON34" i="2" s="1"/>
  <c r="OO34" i="2" s="1"/>
  <c r="OP34" i="2" s="1"/>
  <c r="OQ34" i="2" s="1"/>
  <c r="OR34" i="2" s="1"/>
  <c r="OS34" i="2" s="1"/>
  <c r="OT34" i="2" s="1"/>
  <c r="OU34" i="2" s="1"/>
  <c r="OV34" i="2" s="1"/>
  <c r="OW34" i="2" s="1"/>
  <c r="OX34" i="2" s="1"/>
  <c r="OY34" i="2" s="1"/>
  <c r="OZ34" i="2" s="1"/>
  <c r="PA34" i="2" s="1"/>
  <c r="PB34" i="2" s="1"/>
  <c r="PC34" i="2" s="1"/>
  <c r="PD34" i="2" s="1"/>
  <c r="PE34" i="2" s="1"/>
  <c r="PF34" i="2" s="1"/>
  <c r="PG34" i="2" s="1"/>
  <c r="PH34" i="2" s="1"/>
  <c r="PI34" i="2" s="1"/>
  <c r="PJ34" i="2" s="1"/>
  <c r="PK34" i="2" s="1"/>
  <c r="PL34" i="2" s="1"/>
  <c r="PM34" i="2" s="1"/>
  <c r="PN34" i="2" s="1"/>
  <c r="PO34" i="2" s="1"/>
  <c r="PP34" i="2" s="1"/>
  <c r="PQ34" i="2" s="1"/>
  <c r="PR34" i="2" s="1"/>
  <c r="PS34" i="2" s="1"/>
  <c r="PT34" i="2" s="1"/>
  <c r="PU34" i="2" s="1"/>
  <c r="PV34" i="2" s="1"/>
  <c r="PW34" i="2" s="1"/>
  <c r="PX34" i="2" s="1"/>
  <c r="PY34" i="2" s="1"/>
  <c r="PZ34" i="2" s="1"/>
  <c r="QA34" i="2" s="1"/>
  <c r="QB34" i="2" s="1"/>
  <c r="QC34" i="2" s="1"/>
  <c r="QD34" i="2" s="1"/>
  <c r="QE34" i="2" s="1"/>
  <c r="QF34" i="2" s="1"/>
  <c r="QG34" i="2" s="1"/>
  <c r="QH34" i="2" s="1"/>
  <c r="QI34" i="2" s="1"/>
  <c r="QJ34" i="2" s="1"/>
  <c r="QK34" i="2" s="1"/>
  <c r="QL34" i="2" s="1"/>
  <c r="QM34" i="2" s="1"/>
  <c r="QN34" i="2" s="1"/>
  <c r="QO34" i="2" s="1"/>
  <c r="QP34" i="2" s="1"/>
  <c r="QQ34" i="2" s="1"/>
  <c r="QR34" i="2" s="1"/>
  <c r="QS34" i="2" s="1"/>
  <c r="QT34" i="2" s="1"/>
  <c r="QU34" i="2" s="1"/>
  <c r="QV34" i="2" s="1"/>
  <c r="QW34" i="2" s="1"/>
  <c r="QX34" i="2" s="1"/>
  <c r="QY34" i="2" s="1"/>
  <c r="QZ34" i="2" s="1"/>
  <c r="RA34" i="2" s="1"/>
  <c r="RB34" i="2" s="1"/>
  <c r="RC34" i="2" s="1"/>
  <c r="RD34" i="2" s="1"/>
  <c r="RE34" i="2" s="1"/>
  <c r="RF34" i="2" s="1"/>
  <c r="RG34" i="2" s="1"/>
  <c r="RH34" i="2" s="1"/>
  <c r="RI34" i="2" s="1"/>
  <c r="RJ34" i="2" s="1"/>
  <c r="RK34" i="2" s="1"/>
  <c r="RL34" i="2" s="1"/>
  <c r="RM34" i="2" s="1"/>
  <c r="RN34" i="2" s="1"/>
  <c r="RO34" i="2" s="1"/>
  <c r="RP34" i="2" s="1"/>
  <c r="RQ34" i="2" s="1"/>
  <c r="RR34" i="2" s="1"/>
  <c r="RS34" i="2" s="1"/>
  <c r="RT34" i="2" s="1"/>
  <c r="RU34" i="2" s="1"/>
  <c r="RV34" i="2" s="1"/>
  <c r="RW34" i="2" s="1"/>
  <c r="RX34" i="2" s="1"/>
  <c r="RY34" i="2" s="1"/>
  <c r="RZ34" i="2" s="1"/>
  <c r="SA34" i="2" s="1"/>
  <c r="SB34" i="2" s="1"/>
  <c r="SC34" i="2" s="1"/>
  <c r="SD34" i="2" s="1"/>
  <c r="SE34" i="2" s="1"/>
  <c r="SF34" i="2" s="1"/>
  <c r="SG34" i="2" s="1"/>
  <c r="SH34" i="2" s="1"/>
  <c r="SI34" i="2" s="1"/>
  <c r="SJ34" i="2" s="1"/>
  <c r="SK34" i="2" s="1"/>
  <c r="SL34" i="2" s="1"/>
  <c r="SM34" i="2" s="1"/>
  <c r="SN34" i="2" s="1"/>
  <c r="SO34" i="2" s="1"/>
  <c r="SP34" i="2" s="1"/>
  <c r="SQ34" i="2" s="1"/>
  <c r="SR34" i="2" s="1"/>
  <c r="SS34" i="2" s="1"/>
  <c r="ST34" i="2" s="1"/>
  <c r="SU34" i="2" s="1"/>
  <c r="SV34" i="2" s="1"/>
  <c r="SW34" i="2" s="1"/>
  <c r="SX34" i="2" s="1"/>
  <c r="SY34" i="2" s="1"/>
  <c r="SZ34" i="2" s="1"/>
  <c r="TA34" i="2" s="1"/>
  <c r="TB34" i="2" s="1"/>
  <c r="TC34" i="2" s="1"/>
  <c r="TD34" i="2" s="1"/>
  <c r="TE34" i="2" s="1"/>
  <c r="TF34" i="2" s="1"/>
  <c r="TG34" i="2" s="1"/>
  <c r="TH34" i="2" s="1"/>
  <c r="TI34" i="2" s="1"/>
  <c r="TJ34" i="2" s="1"/>
  <c r="TK34" i="2" s="1"/>
  <c r="TL34" i="2" s="1"/>
  <c r="TM34" i="2" s="1"/>
  <c r="TN34" i="2" s="1"/>
  <c r="TO34" i="2" s="1"/>
  <c r="TP34" i="2" s="1"/>
  <c r="TQ34" i="2" s="1"/>
  <c r="TR34" i="2" s="1"/>
  <c r="AV34" i="2"/>
  <c r="BB42" i="2"/>
  <c r="C10" i="3"/>
  <c r="C9" i="3"/>
  <c r="C3" i="3"/>
  <c r="C13" i="3"/>
  <c r="C16" i="3" s="1"/>
  <c r="C11" i="3" l="1"/>
  <c r="AS35" i="2" l="1"/>
  <c r="AT35" i="2" s="1"/>
  <c r="AU35" i="2" s="1"/>
  <c r="AR35" i="2"/>
  <c r="AS33" i="2"/>
  <c r="AT33" i="2" s="1"/>
  <c r="AU33" i="2" s="1"/>
  <c r="AR33" i="2"/>
  <c r="AS31" i="2"/>
  <c r="AT31" i="2" s="1"/>
  <c r="AU31" i="2" s="1"/>
  <c r="AR31" i="2"/>
  <c r="AU30" i="2"/>
  <c r="AT30" i="2"/>
  <c r="AS30" i="2"/>
  <c r="AR30" i="2"/>
  <c r="AR28" i="2"/>
  <c r="AS28" i="2" s="1"/>
  <c r="AT28" i="2" s="1"/>
  <c r="AU28" i="2" s="1"/>
  <c r="AS27" i="2"/>
  <c r="AT27" i="2" s="1"/>
  <c r="AU27" i="2" s="1"/>
  <c r="AR27" i="2"/>
  <c r="AS24" i="2"/>
  <c r="AT24" i="2" s="1"/>
  <c r="AU24" i="2" s="1"/>
  <c r="AR24" i="2"/>
  <c r="AS23" i="2"/>
  <c r="AT23" i="2" s="1"/>
  <c r="AU23" i="2" s="1"/>
  <c r="AR23" i="2"/>
  <c r="AR22" i="2"/>
  <c r="AS22" i="2" s="1"/>
  <c r="AS21" i="2"/>
  <c r="AT21" i="2" s="1"/>
  <c r="AR21" i="2"/>
  <c r="AS19" i="2"/>
  <c r="AT19" i="2" s="1"/>
  <c r="AR19" i="2"/>
  <c r="AT9" i="2"/>
  <c r="AU9" i="2" s="1"/>
  <c r="AS9" i="2"/>
  <c r="AD9" i="2"/>
  <c r="AC9" i="2"/>
  <c r="AB9" i="2"/>
  <c r="AA9" i="2"/>
  <c r="AT12" i="2"/>
  <c r="AU12" i="2" s="1"/>
  <c r="AS12" i="2"/>
  <c r="AR12" i="2"/>
  <c r="AS11" i="2"/>
  <c r="AT11" i="2" s="1"/>
  <c r="AU11" i="2" s="1"/>
  <c r="AR11" i="2"/>
  <c r="AT10" i="2"/>
  <c r="AU10" i="2" s="1"/>
  <c r="AU15" i="2" s="1"/>
  <c r="AS10" i="2"/>
  <c r="AS15" i="2" s="1"/>
  <c r="AR10" i="2"/>
  <c r="AQ35" i="2"/>
  <c r="AQ33" i="2"/>
  <c r="AQ31" i="2"/>
  <c r="AQ28" i="2"/>
  <c r="AQ27" i="2"/>
  <c r="AQ24" i="2"/>
  <c r="AQ23" i="2"/>
  <c r="AQ22" i="2"/>
  <c r="AQ21" i="2"/>
  <c r="AQ19" i="2"/>
  <c r="AD35" i="2"/>
  <c r="AC35" i="2"/>
  <c r="AB35" i="2"/>
  <c r="AA35" i="2"/>
  <c r="AA45" i="2" s="1"/>
  <c r="AD33" i="2"/>
  <c r="AC33" i="2"/>
  <c r="AB33" i="2"/>
  <c r="AA33" i="2"/>
  <c r="AD31" i="2"/>
  <c r="AC31" i="2"/>
  <c r="AB31" i="2"/>
  <c r="AA31" i="2"/>
  <c r="AD28" i="2"/>
  <c r="AC28" i="2"/>
  <c r="AB28" i="2"/>
  <c r="AA28" i="2"/>
  <c r="AD27" i="2"/>
  <c r="AC27" i="2"/>
  <c r="AB27" i="2"/>
  <c r="AA27" i="2"/>
  <c r="AD24" i="2"/>
  <c r="AC24" i="2"/>
  <c r="AC25" i="2" s="1"/>
  <c r="AB24" i="2"/>
  <c r="AA24" i="2"/>
  <c r="AD23" i="2"/>
  <c r="AC23" i="2"/>
  <c r="AB23" i="2"/>
  <c r="AA23" i="2"/>
  <c r="AD22" i="2"/>
  <c r="AC22" i="2"/>
  <c r="AB22" i="2"/>
  <c r="AA22" i="2"/>
  <c r="AD21" i="2"/>
  <c r="AC21" i="2"/>
  <c r="AB21" i="2"/>
  <c r="AA25" i="2"/>
  <c r="AD25" i="2"/>
  <c r="AB25" i="2"/>
  <c r="AA21" i="2"/>
  <c r="AD19" i="2"/>
  <c r="AC19" i="2"/>
  <c r="AC41" i="2" s="1"/>
  <c r="AB19" i="2"/>
  <c r="AB41" i="2" s="1"/>
  <c r="AA19" i="2"/>
  <c r="AD18" i="2"/>
  <c r="AD40" i="2" s="1"/>
  <c r="AC18" i="2"/>
  <c r="AB18" i="2"/>
  <c r="AB20" i="2" s="1"/>
  <c r="AA18" i="2"/>
  <c r="AD16" i="2"/>
  <c r="AC16" i="2"/>
  <c r="AB16" i="2"/>
  <c r="AA16" i="2"/>
  <c r="AD15" i="2"/>
  <c r="AC15" i="2"/>
  <c r="AB15" i="2"/>
  <c r="AA15" i="2"/>
  <c r="AD14" i="2"/>
  <c r="AC14" i="2"/>
  <c r="AB14" i="2"/>
  <c r="AA14" i="2"/>
  <c r="AB12" i="2"/>
  <c r="AC12" i="2" s="1"/>
  <c r="AD12" i="2" s="1"/>
  <c r="AA12" i="2"/>
  <c r="AD11" i="2"/>
  <c r="AC11" i="2"/>
  <c r="AB11" i="2"/>
  <c r="AA11" i="2"/>
  <c r="AD10" i="2"/>
  <c r="AC10" i="2"/>
  <c r="AB10" i="2"/>
  <c r="AA10" i="2"/>
  <c r="AD4" i="2"/>
  <c r="AC4" i="2"/>
  <c r="AB4" i="2"/>
  <c r="AA4" i="2"/>
  <c r="AD7" i="2"/>
  <c r="AC7" i="2"/>
  <c r="AB7" i="2"/>
  <c r="AA7" i="2"/>
  <c r="AD6" i="2"/>
  <c r="AQ6" i="2" s="1"/>
  <c r="AQ7" i="2" s="1"/>
  <c r="AC6" i="2"/>
  <c r="AB6" i="2"/>
  <c r="AA6" i="2"/>
  <c r="AD3" i="2"/>
  <c r="AC3" i="2"/>
  <c r="AB3" i="2"/>
  <c r="AA3" i="2"/>
  <c r="AQ11" i="2"/>
  <c r="AR16" i="2" s="1"/>
  <c r="AQ10" i="2"/>
  <c r="AQ15" i="2" s="1"/>
  <c r="AQ9" i="2"/>
  <c r="AR9" i="2" s="1"/>
  <c r="AU4" i="2"/>
  <c r="AT4" i="2"/>
  <c r="AS4" i="2"/>
  <c r="AQ3" i="2"/>
  <c r="AR4" i="2" s="1"/>
  <c r="AR25" i="2"/>
  <c r="AQ25" i="2"/>
  <c r="AL12" i="2"/>
  <c r="AL11" i="2"/>
  <c r="AL10" i="2"/>
  <c r="AL9" i="2"/>
  <c r="AM14" i="2" s="1"/>
  <c r="AK12" i="2"/>
  <c r="AK11" i="2"/>
  <c r="AL16" i="2" s="1"/>
  <c r="AK10" i="2"/>
  <c r="AL15" i="2" s="1"/>
  <c r="AK9" i="2"/>
  <c r="AO7" i="2"/>
  <c r="AN7" i="2"/>
  <c r="AM7" i="2"/>
  <c r="AL7" i="2"/>
  <c r="AK6" i="2"/>
  <c r="AL6" i="2"/>
  <c r="AK3" i="2"/>
  <c r="AL3" i="2"/>
  <c r="Z7" i="2"/>
  <c r="Y7" i="2"/>
  <c r="X7" i="2"/>
  <c r="W7" i="2"/>
  <c r="V7" i="2"/>
  <c r="U7" i="2"/>
  <c r="T7" i="2"/>
  <c r="S7" i="2"/>
  <c r="R7" i="2"/>
  <c r="Q7" i="2"/>
  <c r="P7" i="2"/>
  <c r="O7" i="2"/>
  <c r="N7" i="2"/>
  <c r="M7" i="2"/>
  <c r="L7" i="2"/>
  <c r="K7" i="2"/>
  <c r="J7" i="2"/>
  <c r="I7" i="2"/>
  <c r="H7" i="2"/>
  <c r="G7" i="2"/>
  <c r="S4" i="2"/>
  <c r="Z4" i="2"/>
  <c r="Y4" i="2"/>
  <c r="X4" i="2"/>
  <c r="W4" i="2"/>
  <c r="V4" i="2"/>
  <c r="U4" i="2"/>
  <c r="T4" i="2"/>
  <c r="R4" i="2"/>
  <c r="Q4" i="2"/>
  <c r="P4" i="2"/>
  <c r="O4" i="2"/>
  <c r="N4" i="2"/>
  <c r="M4" i="2"/>
  <c r="L4" i="2"/>
  <c r="K4" i="2"/>
  <c r="J4" i="2"/>
  <c r="I4" i="2"/>
  <c r="H4" i="2"/>
  <c r="G4" i="2"/>
  <c r="C32" i="2"/>
  <c r="C20" i="2"/>
  <c r="C12" i="2"/>
  <c r="G12" i="2"/>
  <c r="G18" i="2"/>
  <c r="D12" i="2"/>
  <c r="H12" i="2"/>
  <c r="H18" i="2" s="1"/>
  <c r="I12" i="2"/>
  <c r="I18" i="2" s="1"/>
  <c r="J12" i="2"/>
  <c r="AM12" i="2"/>
  <c r="AN12" i="2"/>
  <c r="AM11" i="2"/>
  <c r="AM16" i="2" s="1"/>
  <c r="AM10" i="2"/>
  <c r="AM15" i="2" s="1"/>
  <c r="AM9" i="2"/>
  <c r="AM6" i="2"/>
  <c r="AN6" i="2"/>
  <c r="AM3" i="2"/>
  <c r="AN3" i="2"/>
  <c r="AN11" i="2"/>
  <c r="AO16" i="2" s="1"/>
  <c r="AN10" i="2"/>
  <c r="AN9" i="2"/>
  <c r="AO14" i="2" s="1"/>
  <c r="AO12" i="2"/>
  <c r="AO18" i="2" s="1"/>
  <c r="AP12" i="2"/>
  <c r="AP18" i="2" s="1"/>
  <c r="Y18" i="2"/>
  <c r="X18" i="2"/>
  <c r="W18" i="2"/>
  <c r="V18" i="2"/>
  <c r="U18" i="2"/>
  <c r="T18" i="2"/>
  <c r="S18" i="2"/>
  <c r="R18" i="2"/>
  <c r="Q18" i="2"/>
  <c r="P18" i="2"/>
  <c r="P20" i="2" s="1"/>
  <c r="P47" i="2" s="1"/>
  <c r="O18" i="2"/>
  <c r="S40" i="2" s="1"/>
  <c r="N18" i="2"/>
  <c r="M18" i="2"/>
  <c r="L18" i="2"/>
  <c r="K18" i="2"/>
  <c r="J18" i="2"/>
  <c r="F18" i="2"/>
  <c r="E18" i="2"/>
  <c r="E20" i="2" s="1"/>
  <c r="E47" i="2" s="1"/>
  <c r="D18" i="2"/>
  <c r="D20" i="2" s="1"/>
  <c r="D47" i="2" s="1"/>
  <c r="C18" i="2"/>
  <c r="C47" i="2" s="1"/>
  <c r="Z18" i="2"/>
  <c r="AO11" i="2"/>
  <c r="AO10" i="2"/>
  <c r="AO9" i="2"/>
  <c r="AO15" i="2"/>
  <c r="AP11" i="2"/>
  <c r="AP16" i="2" s="1"/>
  <c r="AP10" i="2"/>
  <c r="AP9" i="2"/>
  <c r="AP14" i="2" s="1"/>
  <c r="AO6" i="2"/>
  <c r="AP6" i="2"/>
  <c r="AP7" i="2" s="1"/>
  <c r="AO3" i="2"/>
  <c r="AO4" i="2" s="1"/>
  <c r="AP3" i="2"/>
  <c r="AP4" i="2" s="1"/>
  <c r="Y55" i="2"/>
  <c r="Y56" i="2" s="1"/>
  <c r="X55" i="2"/>
  <c r="X56" i="2" s="1"/>
  <c r="W55" i="2"/>
  <c r="W56" i="2" s="1"/>
  <c r="V55" i="2"/>
  <c r="Z56" i="2" s="1"/>
  <c r="U55" i="2"/>
  <c r="U56" i="2" s="1"/>
  <c r="T55" i="2"/>
  <c r="T56" i="2" s="1"/>
  <c r="S55" i="2"/>
  <c r="S56" i="2" s="1"/>
  <c r="R55" i="2"/>
  <c r="R56" i="2" s="1"/>
  <c r="Q55" i="2"/>
  <c r="Q56" i="2" s="1"/>
  <c r="P55" i="2"/>
  <c r="P56" i="2" s="1"/>
  <c r="O55" i="2"/>
  <c r="O56" i="2" s="1"/>
  <c r="N55" i="2"/>
  <c r="N56" i="2" s="1"/>
  <c r="M55" i="2"/>
  <c r="M56" i="2" s="1"/>
  <c r="L55" i="2"/>
  <c r="L56" i="2" s="1"/>
  <c r="K55" i="2"/>
  <c r="K56" i="2" s="1"/>
  <c r="J55" i="2"/>
  <c r="J56" i="2" s="1"/>
  <c r="I55" i="2"/>
  <c r="I56" i="2" s="1"/>
  <c r="H55" i="2"/>
  <c r="G55" i="2"/>
  <c r="G56" i="2" s="1"/>
  <c r="F55" i="2"/>
  <c r="E55" i="2"/>
  <c r="D55" i="2"/>
  <c r="H56" i="2" s="1"/>
  <c r="C55" i="2"/>
  <c r="Y16" i="2"/>
  <c r="X16" i="2"/>
  <c r="W16" i="2"/>
  <c r="V16" i="2"/>
  <c r="U16" i="2"/>
  <c r="T16" i="2"/>
  <c r="S16" i="2"/>
  <c r="R16" i="2"/>
  <c r="Q16" i="2"/>
  <c r="P16" i="2"/>
  <c r="O16" i="2"/>
  <c r="N16" i="2"/>
  <c r="M16" i="2"/>
  <c r="L16" i="2"/>
  <c r="K16" i="2"/>
  <c r="J16" i="2"/>
  <c r="I16" i="2"/>
  <c r="H16" i="2"/>
  <c r="G16" i="2"/>
  <c r="Y15" i="2"/>
  <c r="X15" i="2"/>
  <c r="W15" i="2"/>
  <c r="V15" i="2"/>
  <c r="U15" i="2"/>
  <c r="T15" i="2"/>
  <c r="S15" i="2"/>
  <c r="R15" i="2"/>
  <c r="Q15" i="2"/>
  <c r="P15" i="2"/>
  <c r="O15" i="2"/>
  <c r="N15" i="2"/>
  <c r="M15" i="2"/>
  <c r="L15" i="2"/>
  <c r="K15" i="2"/>
  <c r="J15" i="2"/>
  <c r="I15" i="2"/>
  <c r="H15" i="2"/>
  <c r="G15" i="2"/>
  <c r="Y14" i="2"/>
  <c r="X14" i="2"/>
  <c r="W14" i="2"/>
  <c r="V14" i="2"/>
  <c r="U14" i="2"/>
  <c r="T14" i="2"/>
  <c r="S14" i="2"/>
  <c r="R14" i="2"/>
  <c r="Q14" i="2"/>
  <c r="P14" i="2"/>
  <c r="O14" i="2"/>
  <c r="N14" i="2"/>
  <c r="M14" i="2"/>
  <c r="L14" i="2"/>
  <c r="K14" i="2"/>
  <c r="J14" i="2"/>
  <c r="I14" i="2"/>
  <c r="H14" i="2"/>
  <c r="G14" i="2"/>
  <c r="V20" i="2"/>
  <c r="V47" i="2" s="1"/>
  <c r="Y20" i="2"/>
  <c r="Y47" i="2" s="1"/>
  <c r="X20" i="2"/>
  <c r="X47" i="2" s="1"/>
  <c r="W20" i="2"/>
  <c r="W47" i="2" s="1"/>
  <c r="X40" i="2"/>
  <c r="S20" i="2"/>
  <c r="R20" i="2"/>
  <c r="R47" i="2" s="1"/>
  <c r="Z16" i="2"/>
  <c r="Z15" i="2"/>
  <c r="Z14" i="2"/>
  <c r="Z55" i="2"/>
  <c r="AR45" i="2"/>
  <c r="AS41" i="2"/>
  <c r="AR41" i="2"/>
  <c r="AL33" i="2"/>
  <c r="AL31" i="2"/>
  <c r="AL30" i="2"/>
  <c r="AL28" i="2"/>
  <c r="AL27" i="2"/>
  <c r="AL24" i="2"/>
  <c r="AL23" i="2"/>
  <c r="AL22" i="2"/>
  <c r="AL21" i="2"/>
  <c r="AL19" i="2"/>
  <c r="AK33" i="2"/>
  <c r="AK31" i="2"/>
  <c r="AK30" i="2"/>
  <c r="AK28" i="2"/>
  <c r="AK27" i="2"/>
  <c r="AK24" i="2"/>
  <c r="AK23" i="2"/>
  <c r="AK22" i="2"/>
  <c r="AK21" i="2"/>
  <c r="AK19" i="2"/>
  <c r="AK35" i="2"/>
  <c r="AL35" i="2"/>
  <c r="AM35" i="2"/>
  <c r="AM45" i="2" s="1"/>
  <c r="AM33" i="2"/>
  <c r="AM31" i="2"/>
  <c r="AM30" i="2"/>
  <c r="AM28" i="2"/>
  <c r="AM27" i="2"/>
  <c r="AM24" i="2"/>
  <c r="AM23" i="2"/>
  <c r="AM22" i="2"/>
  <c r="AM21" i="2"/>
  <c r="AM19" i="2"/>
  <c r="AN35" i="2"/>
  <c r="AN33" i="2"/>
  <c r="AN31" i="2"/>
  <c r="AN30" i="2"/>
  <c r="AN28" i="2"/>
  <c r="AN27" i="2"/>
  <c r="AN24" i="2"/>
  <c r="AN23" i="2"/>
  <c r="AN22" i="2"/>
  <c r="AN21" i="2"/>
  <c r="AN19" i="2"/>
  <c r="AO35" i="2"/>
  <c r="AO45" i="2" s="1"/>
  <c r="AO33" i="2"/>
  <c r="AO31" i="2"/>
  <c r="AO30" i="2"/>
  <c r="AO28" i="2"/>
  <c r="AO27" i="2"/>
  <c r="AO24" i="2"/>
  <c r="AO23" i="2"/>
  <c r="AO22" i="2"/>
  <c r="AO21" i="2"/>
  <c r="AO19" i="2"/>
  <c r="AP21" i="2"/>
  <c r="AP35" i="2"/>
  <c r="AQ45" i="2" s="1"/>
  <c r="AP33" i="2"/>
  <c r="AP31" i="2"/>
  <c r="AP30" i="2"/>
  <c r="AP28" i="2"/>
  <c r="AP27" i="2"/>
  <c r="AP24" i="2"/>
  <c r="AP23" i="2"/>
  <c r="AP22" i="2"/>
  <c r="AP19" i="2"/>
  <c r="AQ41" i="2" s="1"/>
  <c r="AM2" i="2"/>
  <c r="AN2" i="2" s="1"/>
  <c r="AO2" i="2" s="1"/>
  <c r="AP2" i="2" s="1"/>
  <c r="AQ2" i="2" s="1"/>
  <c r="AR2" i="2" s="1"/>
  <c r="AS2" i="2" s="1"/>
  <c r="AT2" i="2" s="1"/>
  <c r="AU2" i="2" s="1"/>
  <c r="AD45" i="2"/>
  <c r="AC45" i="2"/>
  <c r="AB45" i="2"/>
  <c r="Y45" i="2"/>
  <c r="X45" i="2"/>
  <c r="W45" i="2"/>
  <c r="V45" i="2"/>
  <c r="U45" i="2"/>
  <c r="T45" i="2"/>
  <c r="S45" i="2"/>
  <c r="R45" i="2"/>
  <c r="Q45" i="2"/>
  <c r="P45" i="2"/>
  <c r="O45" i="2"/>
  <c r="N45" i="2"/>
  <c r="M45" i="2"/>
  <c r="L45" i="2"/>
  <c r="K45" i="2"/>
  <c r="J45" i="2"/>
  <c r="I45" i="2"/>
  <c r="H45" i="2"/>
  <c r="G45" i="2"/>
  <c r="Y41" i="2"/>
  <c r="X41" i="2"/>
  <c r="W41" i="2"/>
  <c r="V41" i="2"/>
  <c r="U41" i="2"/>
  <c r="T41" i="2"/>
  <c r="S41" i="2"/>
  <c r="R41" i="2"/>
  <c r="Q41" i="2"/>
  <c r="P41" i="2"/>
  <c r="O41" i="2"/>
  <c r="N41" i="2"/>
  <c r="M41" i="2"/>
  <c r="L41" i="2"/>
  <c r="K41" i="2"/>
  <c r="J41" i="2"/>
  <c r="I41" i="2"/>
  <c r="H41" i="2"/>
  <c r="G41" i="2"/>
  <c r="Z45" i="2"/>
  <c r="Z41" i="2"/>
  <c r="Y25" i="2"/>
  <c r="X25" i="2"/>
  <c r="W25" i="2"/>
  <c r="V25" i="2"/>
  <c r="U25" i="2"/>
  <c r="T25" i="2"/>
  <c r="S25" i="2"/>
  <c r="R25" i="2"/>
  <c r="Q25" i="2"/>
  <c r="P25" i="2"/>
  <c r="O25" i="2"/>
  <c r="N25" i="2"/>
  <c r="M25" i="2"/>
  <c r="L25" i="2"/>
  <c r="K25" i="2"/>
  <c r="J25" i="2"/>
  <c r="I25" i="2"/>
  <c r="H25" i="2"/>
  <c r="G25" i="2"/>
  <c r="F25" i="2"/>
  <c r="E25" i="2"/>
  <c r="D25" i="2"/>
  <c r="C25" i="2"/>
  <c r="Z25" i="2"/>
  <c r="Z42" i="2" s="1"/>
  <c r="Z20" i="2"/>
  <c r="C7" i="1"/>
  <c r="C4" i="1" a="1"/>
  <c r="C4" i="1" s="1"/>
  <c r="C6" i="1" l="1"/>
  <c r="C4" i="3" s="1"/>
  <c r="BB47" i="2"/>
  <c r="C5" i="3"/>
  <c r="C6" i="3" s="1"/>
  <c r="AS45" i="2"/>
  <c r="AU45" i="2"/>
  <c r="AT45" i="2"/>
  <c r="AU21" i="2"/>
  <c r="AU25" i="2" s="1"/>
  <c r="AS25" i="2"/>
  <c r="AT22" i="2"/>
  <c r="AU22" i="2" s="1"/>
  <c r="AS42" i="2"/>
  <c r="AR42" i="2"/>
  <c r="AU19" i="2"/>
  <c r="AU41" i="2" s="1"/>
  <c r="AT41" i="2"/>
  <c r="AD20" i="2"/>
  <c r="AD47" i="2" s="1"/>
  <c r="AA20" i="2"/>
  <c r="AA47" i="2" s="1"/>
  <c r="AU16" i="2"/>
  <c r="AT16" i="2"/>
  <c r="AS16" i="2"/>
  <c r="AR18" i="2"/>
  <c r="AR20" i="2" s="1"/>
  <c r="AR47" i="2" s="1"/>
  <c r="AT15" i="2"/>
  <c r="AT18" i="2"/>
  <c r="AT14" i="2"/>
  <c r="AS18" i="2"/>
  <c r="AS14" i="2"/>
  <c r="AB26" i="2"/>
  <c r="AA26" i="2"/>
  <c r="AA29" i="2" s="1"/>
  <c r="AC20" i="2"/>
  <c r="AC47" i="2" s="1"/>
  <c r="AA41" i="2"/>
  <c r="AB48" i="2"/>
  <c r="AB29" i="2"/>
  <c r="AD41" i="2"/>
  <c r="AB47" i="2"/>
  <c r="AQ12" i="2"/>
  <c r="AQ18" i="2" s="1"/>
  <c r="AQ16" i="2"/>
  <c r="AR15" i="2"/>
  <c r="AR14" i="2"/>
  <c r="AQ14" i="2"/>
  <c r="AQ4" i="2"/>
  <c r="AL18" i="2"/>
  <c r="AM40" i="2" s="1"/>
  <c r="AL14" i="2"/>
  <c r="AK18" i="2"/>
  <c r="AL4" i="2"/>
  <c r="AM4" i="2"/>
  <c r="AL45" i="2"/>
  <c r="AL41" i="2"/>
  <c r="AL25" i="2"/>
  <c r="AN15" i="2"/>
  <c r="AM18" i="2"/>
  <c r="AN4" i="2"/>
  <c r="AN16" i="2"/>
  <c r="AN14" i="2"/>
  <c r="AN18" i="2"/>
  <c r="AN40" i="2" s="1"/>
  <c r="O40" i="2"/>
  <c r="Q40" i="2"/>
  <c r="U40" i="2"/>
  <c r="Q20" i="2"/>
  <c r="Q47" i="2" s="1"/>
  <c r="P40" i="2"/>
  <c r="V56" i="2"/>
  <c r="AA40" i="2"/>
  <c r="W40" i="2"/>
  <c r="K40" i="2"/>
  <c r="L40" i="2"/>
  <c r="H40" i="2"/>
  <c r="I40" i="2"/>
  <c r="J40" i="2"/>
  <c r="N40" i="2"/>
  <c r="M40" i="2"/>
  <c r="AP15" i="2"/>
  <c r="R40" i="2"/>
  <c r="V40" i="2"/>
  <c r="T40" i="2"/>
  <c r="T20" i="2"/>
  <c r="T47" i="2" s="1"/>
  <c r="AP20" i="2"/>
  <c r="AP47" i="2" s="1"/>
  <c r="AB40" i="2"/>
  <c r="U20" i="2"/>
  <c r="U47" i="2" s="1"/>
  <c r="AC40" i="2"/>
  <c r="Y40" i="2"/>
  <c r="Z40" i="2"/>
  <c r="F20" i="2"/>
  <c r="F47" i="2" s="1"/>
  <c r="G20" i="2"/>
  <c r="G47" i="2" s="1"/>
  <c r="AM20" i="2"/>
  <c r="AM47" i="2" s="1"/>
  <c r="H20" i="2"/>
  <c r="H26" i="2" s="1"/>
  <c r="I20" i="2"/>
  <c r="I47" i="2" s="1"/>
  <c r="G40" i="2"/>
  <c r="L20" i="2"/>
  <c r="L47" i="2" s="1"/>
  <c r="M20" i="2"/>
  <c r="M47" i="2" s="1"/>
  <c r="J20" i="2"/>
  <c r="J47" i="2" s="1"/>
  <c r="K20" i="2"/>
  <c r="K47" i="2" s="1"/>
  <c r="P26" i="2"/>
  <c r="P29" i="2" s="1"/>
  <c r="P32" i="2" s="1"/>
  <c r="P34" i="2" s="1"/>
  <c r="P36" i="2" s="1"/>
  <c r="N20" i="2"/>
  <c r="N47" i="2" s="1"/>
  <c r="O20" i="2"/>
  <c r="O47" i="2" s="1"/>
  <c r="AO41" i="2"/>
  <c r="C26" i="2"/>
  <c r="C29" i="2" s="1"/>
  <c r="C34" i="2" s="1"/>
  <c r="C36" i="2" s="1"/>
  <c r="D26" i="2"/>
  <c r="D29" i="2" s="1"/>
  <c r="D32" i="2" s="1"/>
  <c r="D34" i="2" s="1"/>
  <c r="D36" i="2" s="1"/>
  <c r="X26" i="2"/>
  <c r="X29" i="2" s="1"/>
  <c r="X32" i="2" s="1"/>
  <c r="X34" i="2" s="1"/>
  <c r="E26" i="2"/>
  <c r="E29" i="2" s="1"/>
  <c r="E32" i="2" s="1"/>
  <c r="E34" i="2" s="1"/>
  <c r="E36" i="2" s="1"/>
  <c r="Y26" i="2"/>
  <c r="Y29" i="2" s="1"/>
  <c r="Y32" i="2" s="1"/>
  <c r="Y34" i="2" s="1"/>
  <c r="Y36" i="2" s="1"/>
  <c r="W26" i="2"/>
  <c r="W29" i="2" s="1"/>
  <c r="W32" i="2" s="1"/>
  <c r="W34" i="2" s="1"/>
  <c r="Q42" i="2"/>
  <c r="R42" i="2"/>
  <c r="S42" i="2"/>
  <c r="T42" i="2"/>
  <c r="V42" i="2"/>
  <c r="S26" i="2"/>
  <c r="S29" i="2" s="1"/>
  <c r="S32" i="2" s="1"/>
  <c r="S34" i="2" s="1"/>
  <c r="S36" i="2" s="1"/>
  <c r="H42" i="2"/>
  <c r="AN45" i="2"/>
  <c r="G42" i="2"/>
  <c r="Y42" i="2"/>
  <c r="U42" i="2"/>
  <c r="I42" i="2"/>
  <c r="K42" i="2"/>
  <c r="AA42" i="2"/>
  <c r="L42" i="2"/>
  <c r="AB42" i="2"/>
  <c r="AP25" i="2"/>
  <c r="AQ42" i="2" s="1"/>
  <c r="M42" i="2"/>
  <c r="AC42" i="2"/>
  <c r="J42" i="2"/>
  <c r="N42" i="2"/>
  <c r="AD42" i="2"/>
  <c r="AO25" i="2"/>
  <c r="AP41" i="2"/>
  <c r="W42" i="2"/>
  <c r="X42" i="2"/>
  <c r="S47" i="2"/>
  <c r="P42" i="2"/>
  <c r="AM25" i="2"/>
  <c r="Z26" i="2"/>
  <c r="AM41" i="2"/>
  <c r="R26" i="2"/>
  <c r="Z47" i="2"/>
  <c r="AP45" i="2"/>
  <c r="AN41" i="2"/>
  <c r="AK25" i="2"/>
  <c r="AN25" i="2"/>
  <c r="O42" i="2"/>
  <c r="V26" i="2"/>
  <c r="C9" i="1"/>
  <c r="C7" i="3" l="1"/>
  <c r="C18" i="3" s="1"/>
  <c r="BB41" i="2" s="1"/>
  <c r="BB43" i="2" s="1"/>
  <c r="BB45" i="2" s="1"/>
  <c r="BB46" i="2" s="1"/>
  <c r="BB48" i="2" s="1"/>
  <c r="AT25" i="2"/>
  <c r="AT42" i="2" s="1"/>
  <c r="AD43" i="2"/>
  <c r="AD26" i="2"/>
  <c r="AB30" i="2"/>
  <c r="AB49" i="2" s="1"/>
  <c r="AA30" i="2"/>
  <c r="AA32" i="2"/>
  <c r="AA34" i="2" s="1"/>
  <c r="AA36" i="2" s="1"/>
  <c r="AR26" i="2"/>
  <c r="AS20" i="2"/>
  <c r="AS40" i="2"/>
  <c r="AU18" i="2"/>
  <c r="AU14" i="2"/>
  <c r="AT20" i="2"/>
  <c r="AT40" i="2"/>
  <c r="AA48" i="2"/>
  <c r="AC26" i="2"/>
  <c r="AC43" i="2" s="1"/>
  <c r="AC48" i="2"/>
  <c r="AC29" i="2"/>
  <c r="AD48" i="2"/>
  <c r="AD29" i="2"/>
  <c r="AR40" i="2"/>
  <c r="AQ20" i="2"/>
  <c r="AQ26" i="2" s="1"/>
  <c r="AQ48" i="2" s="1"/>
  <c r="AL20" i="2"/>
  <c r="AL47" i="2" s="1"/>
  <c r="AL40" i="2"/>
  <c r="AK20" i="2"/>
  <c r="AK47" i="2" s="1"/>
  <c r="G26" i="2"/>
  <c r="G29" i="2" s="1"/>
  <c r="G32" i="2" s="1"/>
  <c r="G34" i="2" s="1"/>
  <c r="G44" i="2" s="1"/>
  <c r="I26" i="2"/>
  <c r="I29" i="2" s="1"/>
  <c r="AM42" i="2"/>
  <c r="F26" i="2"/>
  <c r="F29" i="2" s="1"/>
  <c r="F32" i="2" s="1"/>
  <c r="F34" i="2" s="1"/>
  <c r="F36" i="2" s="1"/>
  <c r="AN20" i="2"/>
  <c r="AN47" i="2" s="1"/>
  <c r="L26" i="2"/>
  <c r="P43" i="2" s="1"/>
  <c r="Q26" i="2"/>
  <c r="Q29" i="2" s="1"/>
  <c r="P49" i="2"/>
  <c r="P48" i="2"/>
  <c r="D48" i="2"/>
  <c r="AP40" i="2"/>
  <c r="W48" i="2"/>
  <c r="W36" i="2"/>
  <c r="AA46" i="2" s="1"/>
  <c r="T26" i="2"/>
  <c r="T29" i="2" s="1"/>
  <c r="AQ40" i="2"/>
  <c r="U26" i="2"/>
  <c r="U48" i="2" s="1"/>
  <c r="AO40" i="2"/>
  <c r="Y49" i="2"/>
  <c r="Y48" i="2"/>
  <c r="AO20" i="2"/>
  <c r="AO47" i="2" s="1"/>
  <c r="H29" i="2"/>
  <c r="H32" i="2" s="1"/>
  <c r="H34" i="2" s="1"/>
  <c r="H48" i="2"/>
  <c r="D49" i="2"/>
  <c r="O26" i="2"/>
  <c r="S43" i="2" s="1"/>
  <c r="X36" i="2"/>
  <c r="N26" i="2"/>
  <c r="R43" i="2" s="1"/>
  <c r="K26" i="2"/>
  <c r="K29" i="2" s="1"/>
  <c r="H47" i="2"/>
  <c r="J26" i="2"/>
  <c r="AB43" i="2"/>
  <c r="E49" i="2"/>
  <c r="M26" i="2"/>
  <c r="M29" i="2" s="1"/>
  <c r="X48" i="2"/>
  <c r="X49" i="2"/>
  <c r="AA43" i="2"/>
  <c r="W49" i="2"/>
  <c r="E48" i="2"/>
  <c r="C49" i="2"/>
  <c r="C48" i="2"/>
  <c r="S48" i="2"/>
  <c r="W44" i="2"/>
  <c r="H43" i="2"/>
  <c r="S49" i="2"/>
  <c r="W43" i="2"/>
  <c r="AN42" i="2"/>
  <c r="AM26" i="2"/>
  <c r="AM48" i="2" s="1"/>
  <c r="AK26" i="2"/>
  <c r="AK29" i="2" s="1"/>
  <c r="Z48" i="2"/>
  <c r="Z29" i="2"/>
  <c r="Z32" i="2" s="1"/>
  <c r="Z34" i="2" s="1"/>
  <c r="AO42" i="2"/>
  <c r="AL42" i="2"/>
  <c r="AP42" i="2"/>
  <c r="AP26" i="2"/>
  <c r="AP29" i="2" s="1"/>
  <c r="V29" i="2"/>
  <c r="V43" i="2"/>
  <c r="V48" i="2"/>
  <c r="Z43" i="2"/>
  <c r="R29" i="2"/>
  <c r="R48" i="2"/>
  <c r="AU42" i="2" l="1"/>
  <c r="AC49" i="2"/>
  <c r="AC30" i="2"/>
  <c r="AC32" i="2"/>
  <c r="AC34" i="2" s="1"/>
  <c r="AA44" i="2"/>
  <c r="AB32" i="2"/>
  <c r="AB34" i="2" s="1"/>
  <c r="AD30" i="2"/>
  <c r="AD49" i="2" s="1"/>
  <c r="AQ29" i="2"/>
  <c r="AQ47" i="2"/>
  <c r="AA49" i="2"/>
  <c r="AR43" i="2"/>
  <c r="AR29" i="2"/>
  <c r="AR48" i="2"/>
  <c r="AT47" i="2"/>
  <c r="AT26" i="2"/>
  <c r="AU40" i="2"/>
  <c r="AU20" i="2"/>
  <c r="AS47" i="2"/>
  <c r="AS26" i="2"/>
  <c r="AL26" i="2"/>
  <c r="AL29" i="2" s="1"/>
  <c r="AL32" i="2" s="1"/>
  <c r="AL34" i="2" s="1"/>
  <c r="G36" i="2"/>
  <c r="G46" i="2" s="1"/>
  <c r="G43" i="2"/>
  <c r="G49" i="2"/>
  <c r="G48" i="2"/>
  <c r="H36" i="2"/>
  <c r="H46" i="2" s="1"/>
  <c r="I48" i="2"/>
  <c r="I43" i="2"/>
  <c r="F49" i="2"/>
  <c r="F48" i="2"/>
  <c r="J43" i="2"/>
  <c r="J48" i="2"/>
  <c r="J29" i="2"/>
  <c r="J32" i="2" s="1"/>
  <c r="J34" i="2" s="1"/>
  <c r="AN26" i="2"/>
  <c r="AN29" i="2" s="1"/>
  <c r="AN32" i="2" s="1"/>
  <c r="AN34" i="2" s="1"/>
  <c r="L43" i="2"/>
  <c r="L48" i="2"/>
  <c r="L29" i="2"/>
  <c r="L49" i="2" s="1"/>
  <c r="M48" i="2"/>
  <c r="Q48" i="2"/>
  <c r="Q43" i="2"/>
  <c r="K43" i="2"/>
  <c r="Y43" i="2"/>
  <c r="N48" i="2"/>
  <c r="O43" i="2"/>
  <c r="K48" i="2"/>
  <c r="N43" i="2"/>
  <c r="H49" i="2"/>
  <c r="N29" i="2"/>
  <c r="N32" i="2" s="1"/>
  <c r="N34" i="2" s="1"/>
  <c r="H44" i="2"/>
  <c r="M43" i="2"/>
  <c r="W46" i="2"/>
  <c r="T43" i="2"/>
  <c r="X43" i="2"/>
  <c r="T48" i="2"/>
  <c r="U43" i="2"/>
  <c r="U29" i="2"/>
  <c r="U49" i="2" s="1"/>
  <c r="AO26" i="2"/>
  <c r="AP43" i="2" s="1"/>
  <c r="O29" i="2"/>
  <c r="O48" i="2"/>
  <c r="AM29" i="2"/>
  <c r="AM32" i="2" s="1"/>
  <c r="AM34" i="2" s="1"/>
  <c r="AL43" i="2"/>
  <c r="Z49" i="2"/>
  <c r="AK48" i="2"/>
  <c r="AQ43" i="2"/>
  <c r="AP48" i="2"/>
  <c r="Q32" i="2"/>
  <c r="Q34" i="2" s="1"/>
  <c r="Q36" i="2" s="1"/>
  <c r="Q49" i="2"/>
  <c r="K32" i="2"/>
  <c r="K34" i="2" s="1"/>
  <c r="K49" i="2"/>
  <c r="AK32" i="2"/>
  <c r="AK34" i="2" s="1"/>
  <c r="AK36" i="2" s="1"/>
  <c r="AK49" i="2"/>
  <c r="M32" i="2"/>
  <c r="M34" i="2" s="1"/>
  <c r="M49" i="2"/>
  <c r="AP32" i="2"/>
  <c r="AP34" i="2" s="1"/>
  <c r="AP49" i="2"/>
  <c r="Z36" i="2"/>
  <c r="T32" i="2"/>
  <c r="T34" i="2" s="1"/>
  <c r="T49" i="2"/>
  <c r="R32" i="2"/>
  <c r="R34" i="2" s="1"/>
  <c r="R49" i="2"/>
  <c r="I32" i="2"/>
  <c r="I34" i="2" s="1"/>
  <c r="I49" i="2"/>
  <c r="V32" i="2"/>
  <c r="V34" i="2" s="1"/>
  <c r="V49" i="2"/>
  <c r="AQ30" i="2" l="1"/>
  <c r="AQ49" i="2" s="1"/>
  <c r="AD32" i="2"/>
  <c r="AD34" i="2" s="1"/>
  <c r="AB36" i="2"/>
  <c r="AB46" i="2" s="1"/>
  <c r="AB44" i="2"/>
  <c r="AC36" i="2"/>
  <c r="AC46" i="2" s="1"/>
  <c r="AC44" i="2"/>
  <c r="AR49" i="2"/>
  <c r="AR32" i="2"/>
  <c r="AR34" i="2" s="1"/>
  <c r="AR36" i="2" s="1"/>
  <c r="AT29" i="2"/>
  <c r="AT43" i="2"/>
  <c r="AT48" i="2"/>
  <c r="AS29" i="2"/>
  <c r="AS43" i="2"/>
  <c r="AS48" i="2"/>
  <c r="AU26" i="2"/>
  <c r="AU47" i="2"/>
  <c r="AL49" i="2"/>
  <c r="AL48" i="2"/>
  <c r="AM43" i="2"/>
  <c r="J49" i="2"/>
  <c r="AN49" i="2"/>
  <c r="AN43" i="2"/>
  <c r="AN48" i="2"/>
  <c r="L32" i="2"/>
  <c r="L34" i="2" s="1"/>
  <c r="L36" i="2" s="1"/>
  <c r="N49" i="2"/>
  <c r="U32" i="2"/>
  <c r="U34" i="2" s="1"/>
  <c r="U36" i="2" s="1"/>
  <c r="AO29" i="2"/>
  <c r="AO49" i="2" s="1"/>
  <c r="AO43" i="2"/>
  <c r="AO48" i="2"/>
  <c r="O32" i="2"/>
  <c r="O34" i="2" s="1"/>
  <c r="O44" i="2" s="1"/>
  <c r="O49" i="2"/>
  <c r="AM49" i="2"/>
  <c r="V36" i="2"/>
  <c r="Z46" i="2" s="1"/>
  <c r="V44" i="2"/>
  <c r="T36" i="2"/>
  <c r="X44" i="2"/>
  <c r="T44" i="2"/>
  <c r="M44" i="2"/>
  <c r="M36" i="2"/>
  <c r="Q44" i="2"/>
  <c r="AP36" i="2"/>
  <c r="Z44" i="2"/>
  <c r="I44" i="2"/>
  <c r="I36" i="2"/>
  <c r="I46" i="2" s="1"/>
  <c r="AM36" i="2"/>
  <c r="AM44" i="2"/>
  <c r="J36" i="2"/>
  <c r="J46" i="2" s="1"/>
  <c r="J44" i="2"/>
  <c r="N44" i="2"/>
  <c r="N36" i="2"/>
  <c r="R36" i="2"/>
  <c r="R44" i="2"/>
  <c r="K44" i="2"/>
  <c r="K36" i="2"/>
  <c r="AN36" i="2"/>
  <c r="AN44" i="2"/>
  <c r="AL36" i="2"/>
  <c r="AL46" i="2" s="1"/>
  <c r="AL44" i="2"/>
  <c r="AD36" i="2" l="1"/>
  <c r="AD46" i="2" s="1"/>
  <c r="AD44" i="2"/>
  <c r="AQ32" i="2"/>
  <c r="AQ34" i="2" s="1"/>
  <c r="AU29" i="2"/>
  <c r="AU48" i="2"/>
  <c r="AU43" i="2"/>
  <c r="AS32" i="2"/>
  <c r="AS34" i="2" s="1"/>
  <c r="AS49" i="2"/>
  <c r="AT32" i="2"/>
  <c r="AT34" i="2" s="1"/>
  <c r="AT49" i="2"/>
  <c r="P44" i="2"/>
  <c r="L44" i="2"/>
  <c r="R46" i="2"/>
  <c r="AM46" i="2"/>
  <c r="Y44" i="2"/>
  <c r="U44" i="2"/>
  <c r="AO32" i="2"/>
  <c r="AO34" i="2" s="1"/>
  <c r="O36" i="2"/>
  <c r="S46" i="2" s="1"/>
  <c r="S44" i="2"/>
  <c r="N46" i="2"/>
  <c r="AN46" i="2"/>
  <c r="K46" i="2"/>
  <c r="U46" i="2"/>
  <c r="Y46" i="2"/>
  <c r="M46" i="2"/>
  <c r="Q46" i="2"/>
  <c r="L46" i="2"/>
  <c r="P46" i="2"/>
  <c r="T46" i="2"/>
  <c r="X46" i="2"/>
  <c r="V46" i="2"/>
  <c r="AQ44" i="2" l="1"/>
  <c r="AQ36" i="2"/>
  <c r="AR44" i="2"/>
  <c r="AU49" i="2"/>
  <c r="AU32" i="2"/>
  <c r="AU34" i="2" s="1"/>
  <c r="AT44" i="2"/>
  <c r="AT36" i="2"/>
  <c r="AS36" i="2"/>
  <c r="AS46" i="2" s="1"/>
  <c r="AS44" i="2"/>
  <c r="O46" i="2"/>
  <c r="AP44" i="2"/>
  <c r="AO36" i="2"/>
  <c r="AO44" i="2"/>
  <c r="AR46" i="2" l="1"/>
  <c r="AQ46" i="2"/>
  <c r="AT46" i="2"/>
  <c r="AU44" i="2"/>
  <c r="AU36" i="2"/>
  <c r="AU46" i="2" s="1"/>
  <c r="AO46" i="2"/>
  <c r="AP46"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tc={11D2FFDC-F6E5-4B3B-840C-ECB6373EB06C}</author>
  </authors>
  <commentList>
    <comment ref="B7" authorId="0" shapeId="0" xr:uid="{11D2FFDC-F6E5-4B3B-840C-ECB6373EB06C}">
      <text>
        <t>[Threaded comment]
Your version of Excel allows you to read this threaded comment; however, any edits to it will get removed if the file is opened in a newer version of Excel. Learn more: https://go.microsoft.com/fwlink/?linkid=870924
Comment:
    Cash &amp; equivs, ST investments, restricted cash &amp; equivs., restricted investments, investments, equity method investments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tc={ADFF03C1-05D6-4CFA-AE04-CEF623A8EA6C}</author>
    <author>tc={C3BB1DB0-E92C-4FBB-B1C2-D657943850CB}</author>
    <author>tc={0FF2FB81-C51E-4E0B-A2C8-29272F17E2A9}</author>
    <author>tc={AD5C08E5-835F-49F1-A492-50D3A8DAB514}</author>
  </authors>
  <commentList>
    <comment ref="C11" authorId="0" shapeId="0" xr:uid="{ADFF03C1-05D6-4CFA-AE04-CEF623A8EA6C}">
      <text>
        <t>[Threaded comment]
Your version of Excel allows you to read this threaded comment; however, any edits to it will get removed if the file is opened in a newer version of Excel. Learn more: https://go.microsoft.com/fwlink/?linkid=870924
Comment:
    Only segments for 1Q19/18 and 2Q19/18 were "rideshare" "eats" "vehicle solutions" "other"</t>
      </text>
    </comment>
    <comment ref="D11" authorId="1" shapeId="0" xr:uid="{C3BB1DB0-E92C-4FBB-B1C2-D657943850CB}">
      <text>
        <t>[Threaded comment]
Your version of Excel allows you to read this threaded comment; however, any edits to it will get removed if the file is opened in a newer version of Excel. Learn more: https://go.microsoft.com/fwlink/?linkid=870924
Comment:
    Only segments for 1Q19/18 and 2Q19/18 were "rideshare" "eats" "vehicle solutions" "other"</t>
      </text>
    </comment>
    <comment ref="G11" authorId="2" shapeId="0" xr:uid="{0FF2FB81-C51E-4E0B-A2C8-29272F17E2A9}">
      <text>
        <t>[Threaded comment]
Your version of Excel allows you to read this threaded comment; however, any edits to it will get removed if the file is opened in a newer version of Excel. Learn more: https://go.microsoft.com/fwlink/?linkid=870924
Comment:
    Only segments for 1Q19/18 and 2Q19/18 were "rideshare" "eats" "vehicle solutions" "other"</t>
      </text>
    </comment>
    <comment ref="H11" authorId="3" shapeId="0" xr:uid="{AD5C08E5-835F-49F1-A492-50D3A8DAB514}">
      <text>
        <t>[Threaded comment]
Your version of Excel allows you to read this threaded comment; however, any edits to it will get removed if the file is opened in a newer version of Excel. Learn more: https://go.microsoft.com/fwlink/?linkid=870924
Comment:
    Only segments for 1Q19/18 and 2Q19/18 were "rideshare" "eats" "vehicle solutions" "other"</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<sst xmlns="http://schemas.openxmlformats.org/spreadsheetml/2006/main" count="103" uniqueCount="99">
  <si>
    <t>Company</t>
  </si>
  <si>
    <t>Price</t>
  </si>
  <si>
    <t>Shares</t>
  </si>
  <si>
    <t>Market Cap</t>
  </si>
  <si>
    <t>Cash</t>
  </si>
  <si>
    <t>Debt</t>
  </si>
  <si>
    <t>EV</t>
  </si>
  <si>
    <t>Cost of Revenue</t>
  </si>
  <si>
    <t>Gross Profit</t>
  </si>
  <si>
    <t>Ops &amp; Support</t>
  </si>
  <si>
    <t>S&amp;M</t>
  </si>
  <si>
    <t>R&amp;D</t>
  </si>
  <si>
    <t>G&amp;A</t>
  </si>
  <si>
    <t>OpEx</t>
  </si>
  <si>
    <t>OpInc</t>
  </si>
  <si>
    <t>Interest Expense</t>
  </si>
  <si>
    <t>Other Income/(Expense)</t>
  </si>
  <si>
    <t>Pretax Income</t>
  </si>
  <si>
    <t>Taxes</t>
  </si>
  <si>
    <t>Income from Investments</t>
  </si>
  <si>
    <t>Net Income including NCI</t>
  </si>
  <si>
    <t>Net Income Attributable to NCI</t>
  </si>
  <si>
    <t>Net Income to UBER</t>
  </si>
  <si>
    <t>EPS</t>
  </si>
  <si>
    <t>1Q18</t>
  </si>
  <si>
    <t>2Q18</t>
  </si>
  <si>
    <t>3Q18</t>
  </si>
  <si>
    <t>4Q18</t>
  </si>
  <si>
    <t>1Q19</t>
  </si>
  <si>
    <t>2Q19</t>
  </si>
  <si>
    <t>3Q19</t>
  </si>
  <si>
    <t>4Q19</t>
  </si>
  <si>
    <t>1Q20</t>
  </si>
  <si>
    <t>2Q20</t>
  </si>
  <si>
    <t>3Q20</t>
  </si>
  <si>
    <t>4Q20</t>
  </si>
  <si>
    <t>1Q21</t>
  </si>
  <si>
    <t>2Q21</t>
  </si>
  <si>
    <t>3Q21</t>
  </si>
  <si>
    <t>4Q21</t>
  </si>
  <si>
    <t>1Q22</t>
  </si>
  <si>
    <t>2Q22</t>
  </si>
  <si>
    <t>3Q22</t>
  </si>
  <si>
    <t>4Q22</t>
  </si>
  <si>
    <t>1Q23</t>
  </si>
  <si>
    <t>2Q23</t>
  </si>
  <si>
    <t>3Q23</t>
  </si>
  <si>
    <t>4Q23</t>
  </si>
  <si>
    <t>1Q24</t>
  </si>
  <si>
    <t>2Q24</t>
  </si>
  <si>
    <t>3Q24</t>
  </si>
  <si>
    <t>4Q24</t>
  </si>
  <si>
    <t>Revenue Y/Y</t>
  </si>
  <si>
    <t>COR Y/Y</t>
  </si>
  <si>
    <t>OpEx Y/Y</t>
  </si>
  <si>
    <t>OpInc Y/Y</t>
  </si>
  <si>
    <t>NI Y/Y</t>
  </si>
  <si>
    <t>Shares Y/Y</t>
  </si>
  <si>
    <t>EPS Y/Y</t>
  </si>
  <si>
    <t>GM</t>
  </si>
  <si>
    <t>OM</t>
  </si>
  <si>
    <t>Tax Rate</t>
  </si>
  <si>
    <t>CFFO</t>
  </si>
  <si>
    <t>Capex</t>
  </si>
  <si>
    <t>FCF</t>
  </si>
  <si>
    <t>Total Revenue</t>
  </si>
  <si>
    <t>Monthly Active Platform Consumers (MAPCs)</t>
  </si>
  <si>
    <t>MAPCs Y/Y</t>
  </si>
  <si>
    <t>Trips</t>
  </si>
  <si>
    <t>Trips Y/Y</t>
  </si>
  <si>
    <t>Mobility Y/Y</t>
  </si>
  <si>
    <t>Delivery Y/Y</t>
  </si>
  <si>
    <t>Freight Y/Y</t>
  </si>
  <si>
    <t>Mobility Rev</t>
  </si>
  <si>
    <t>Delivery Rev</t>
  </si>
  <si>
    <t>Freight Rev</t>
  </si>
  <si>
    <t>FCF Y/Y</t>
  </si>
  <si>
    <t>Other</t>
  </si>
  <si>
    <t>Equity</t>
  </si>
  <si>
    <t>D+E</t>
  </si>
  <si>
    <t>Wdebt</t>
  </si>
  <si>
    <t>Wequity</t>
  </si>
  <si>
    <t>Tax rate</t>
  </si>
  <si>
    <t>Interest expense</t>
  </si>
  <si>
    <t>Cost of debt</t>
  </si>
  <si>
    <t>Risk-free rate</t>
  </si>
  <si>
    <t>Beta</t>
  </si>
  <si>
    <t>Market return</t>
  </si>
  <si>
    <t>Cost of equity</t>
  </si>
  <si>
    <t>WACC</t>
  </si>
  <si>
    <t>2yr average</t>
  </si>
  <si>
    <t>koyfin 3/29/24</t>
  </si>
  <si>
    <t>Maturity</t>
  </si>
  <si>
    <t>NPV</t>
  </si>
  <si>
    <t>Net Cash</t>
  </si>
  <si>
    <t>Value</t>
  </si>
  <si>
    <t>Model Price</t>
  </si>
  <si>
    <t>Market Price</t>
  </si>
  <si>
    <t>Difference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</si>
</sst>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font>
    <font>
      <sz val="11"/>
      <color theme="1"/>
      <name val="Arial"/>
      <family val="2"/>
    </font>
    <font>
      <b/>
      <sz val="11"/>
      <color theme="1"/>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4">
    <xf numFmtId="0" fontId="0" fillId="0" borderId="0" xfId="0"/>
    <xf numFmtId="4" fontId="0" fillId="0" borderId="0" xfId="0" applyNumberFormat="1"/>
    <xf numFmtId="3" fontId="0" fillId="0" borderId="0" xfId="0" applyNumberFormat="1"/>
    <xf numFmtId="0" fontId="2" fillId="0" borderId="0" xfId="0" applyFont="1"/>
    <xf numFmtId="14" fontId="0" fillId="0" borderId="0" xfId="0" applyNumberFormat="1"/>
    <xf numFmtId="3" fontId="2" fillId="0" borderId="0" xfId="0" applyNumberFormat="1" applyFont="1"/>
    <xf numFmtId="9" fontId="0" fillId="0" borderId="0" xfId="0" applyNumberFormat="1"/>
    <xf numFmtId="1" fontId="0" fillId="0" borderId="0" xfId="0" applyNumberFormat="1"/>
    <xf numFmtId="9" fontId="2" fillId="0" borderId="0" xfId="0" applyNumberFormat="1" applyFont="1"/>
    <xf numFmtId="0" fontId="2" fillId="0" borderId="1" xfId="0" applyFont="1" applyBorder="1"/>
    <xf numFmtId="9" fontId="2" fillId="0" borderId="1" xfId="0" applyNumberFormat="1" applyFont="1" applyBorder="1"/>
    <xf numFmtId="0" fontId="1" fillId="0" borderId="0" xfId="0" applyFont="1" applyAlignment="1">
      <alignment horizontal="right" vertical="center"/>
    </xf>
    <xf numFmtId="3" fontId="0" fillId="0" borderId="0" xfId="0" applyNumberFormat="1" applyAlignment="1">
      <alignment horizontal="right"/>
    </xf>
    <xf numFmtId="0" fontId="2" fillId="0" borderId="0" xfId="0" applyFont="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microsoft.com/office/2017/10/relationships/person" Target="persons/person.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26</xdr:col>
      <xdr:colOff>15240</xdr:colOff>
      <xdr:row>0</xdr:row>
      <xdr:rowOff>53340</xdr:rowOff>
    </xdr:from>
    <xdr:to>
      <xdr:col>26</xdr:col>
      <xdr:colOff>15240</xdr:colOff>
      <xdr:row>61</xdr:row>
      <xdr:rowOff>47625</xdr:rowOff>
    </xdr:to>
    <xdr:cxnSp macro="">
      <xdr:nvCxnSpPr>
        <xdr:cNvPr id="3" name="Straight Connector 2">
          <a:extLst>
            <a:ext uri="{FF2B5EF4-FFF2-40B4-BE49-F238E27FC236}">
              <a16:creationId xmlns:a16="http://schemas.microsoft.com/office/drawing/2014/main" id="{B800A893-B486-F8C7-4021-459FD7BA4FE9}"/>
            </a:ext>
          </a:extLst>
        </xdr:cNvPr>
        <xdr:cNvCxnSpPr/>
      </xdr:nvCxnSpPr>
      <xdr:spPr>
        <a:xfrm>
          <a:off x="18579465" y="53340"/>
          <a:ext cx="0" cy="7880985"/>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42</xdr:col>
      <xdr:colOff>28575</xdr:colOff>
      <xdr:row>0</xdr:row>
      <xdr:rowOff>104775</xdr:rowOff>
    </xdr:from>
    <xdr:to>
      <xdr:col>42</xdr:col>
      <xdr:colOff>28575</xdr:colOff>
      <xdr:row>53</xdr:row>
      <xdr:rowOff>76200</xdr:rowOff>
    </xdr:to>
    <xdr:cxnSp macro="">
      <xdr:nvCxnSpPr>
        <xdr:cNvPr id="5" name="Straight Connector 4">
          <a:extLst>
            <a:ext uri="{FF2B5EF4-FFF2-40B4-BE49-F238E27FC236}">
              <a16:creationId xmlns:a16="http://schemas.microsoft.com/office/drawing/2014/main" id="{8B6426BF-3E1A-8BA6-5D8D-E7382411CFBA}"/>
            </a:ext>
          </a:extLst>
        </xdr:cNvPr>
        <xdr:cNvCxnSpPr/>
      </xdr:nvCxnSpPr>
      <xdr:spPr>
        <a:xfrm>
          <a:off x="29260800" y="104775"/>
          <a:ext cx="0" cy="6486525"/>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wlshe\Documents\Models\00Dashboard.xlsx" TargetMode="External"/><Relationship Id="rId1" Type="http://schemas.openxmlformats.org/officeDocument/2006/relationships/externalLinkPath" Target="0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Bond Yields"/>
      <sheetName val="All"/>
      <sheetName val="Communication"/>
      <sheetName val="Discretionary"/>
      <sheetName val="Staples"/>
      <sheetName val="Energy"/>
      <sheetName val="Financials"/>
      <sheetName val="Health Care"/>
      <sheetName val="Industrials"/>
      <sheetName val="Materials"/>
      <sheetName val="Real Estate"/>
      <sheetName val="Tech"/>
      <sheetName val="Utilities"/>
      <sheetName val="Screens"/>
    </sheetNames>
    <sheetDataSet>
      <sheetData sheetId="0">
        <row r="12">
          <cell r="C12">
            <v>4.3299999999999998E-2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persons/person.xml><?xml version="1.0" encoding="utf-8"?>
<personList xmlns="http://schemas.microsoft.com/office/spreadsheetml/2018/threadedcomments" xmlns:x="http://schemas.openxmlformats.org/spreadsheetml/2006/main">
  <person displayName="Bill Sheldon" id="{5EFC9B8E-E909-4650-B73A-53D14A033258}" userId="667679d5bb2810d2" providerId="Windows Live"/>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https://www.bing.com/financeapi/forcetrigger?t=bptw77&amp;q=XNYS%3aUBER&amp;form=skydnc</v>
    <v>Learn more on Bing</v>
  </rv>
  <rv s="1">
    <v>en-US</v>
    <v>bptw77</v>
    <v>268435456</v>
    <v>1</v>
    <v>Powered by Refinitiv</v>
    <v>0</v>
    <v>UBER TECHNOLOGIES, INC. (XNYS:UBER)</v>
    <v>2</v>
    <v>3</v>
    <v>Finance</v>
    <v>4</v>
    <v>82.14</v>
    <v>29.22</v>
    <v>1.3576999999999999</v>
    <v>2.2400000000000002</v>
    <v>-1.3478E-2</v>
    <v>2.9898999999999998E-2</v>
    <v>-1.04</v>
    <v>USD</v>
    <v>Uber Technologies, Inc. is a technology company, which develops and operates proprietary technology applications supporting a variety of offerings on its platform (Platform(s)). The Company connects consumers (Rider(s)) with independent providers of ride services (Mobility Driver(s)) for ride sharing services and connects Riders and other consumers (Eater(s)) with restaurants, grocers and other stores with delivery service providers (Couriers) for meal preparation, grocery and other delivery services. The Company also connects consumers with public transportation networks. It also connects shippers with carriers in the freight industry. It is also developing technologies designed to provide new solutions to solve everyday problems. Its technology is available in approximately 70 countries around the world, principally in the United States and Canada, Latin America, Europe (excluding Russia), the Middle East, Africa, and Asia (excluding China and Southeast Asia).</v>
    <v>30400</v>
    <v>New York Stock Exchange</v>
    <v>XNYS</v>
    <v>XNYS</v>
    <v>1725 3Rd Street, SAN FRANCISCO, CA, 94158 US</v>
    <v>78.394999999999996</v>
    <v>Software &amp; IT Services</v>
    <v>Stock</v>
    <v>45387.999968425778</v>
    <v>0</v>
    <v>74.92</v>
    <v>160612000000</v>
    <v>UBER TECHNOLOGIES, INC.</v>
    <v>UBER TECHNOLOGIES, INC.</v>
    <v>75.34</v>
    <v>84.310500000000005</v>
    <v>74.92</v>
    <v>77.16</v>
    <v>76.12</v>
    <v>2081544000</v>
    <v>UBER</v>
    <v>UBER TECHNOLOGIES, INC. (XNYS:UBER)</v>
    <v>21572026</v>
    <v>15002503</v>
    <v>2010</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7" dT="2024-03-31T14:43:49.22" personId="{5EFC9B8E-E909-4650-B73A-53D14A033258}" id="{11D2FFDC-F6E5-4B3B-840C-ECB6373EB06C}">
    <text>Cash &amp; equivs, ST investments, restricted cash &amp; equivs., restricted investments, investments, equity method investments</text>
  </threadedComment>
</ThreadedComments>
</file>

<file path=xl/threadedComments/threadedComment2.xml><?xml version="1.0" encoding="utf-8"?>
<ThreadedComments xmlns="http://schemas.microsoft.com/office/spreadsheetml/2018/threadedcomments" xmlns:x="http://schemas.openxmlformats.org/spreadsheetml/2006/main">
  <threadedComment ref="C11" dT="2024-03-31T15:50:30.27" personId="{5EFC9B8E-E909-4650-B73A-53D14A033258}" id="{ADFF03C1-05D6-4CFA-AE04-CEF623A8EA6C}">
    <text>Only segments for 1Q19/18 and 2Q19/18 were "rideshare" "eats" "vehicle solutions" "other"</text>
  </threadedComment>
  <threadedComment ref="D11" dT="2024-03-31T15:50:23.01" personId="{5EFC9B8E-E909-4650-B73A-53D14A033258}" id="{C3BB1DB0-E92C-4FBB-B1C2-D657943850CB}">
    <text>Only segments for 1Q19/18 and 2Q19/18 were "rideshare" "eats" "vehicle solutions" "other"</text>
  </threadedComment>
  <threadedComment ref="G11" dT="2024-03-31T15:50:27.20" personId="{5EFC9B8E-E909-4650-B73A-53D14A033258}" id="{0FF2FB81-C51E-4E0B-A2C8-29272F17E2A9}">
    <text>Only segments for 1Q19/18 and 2Q19/18 were "rideshare" "eats" "vehicle solutions" "other"</text>
  </threadedComment>
  <threadedComment ref="H11" dT="2024-03-31T15:50:07.14" personId="{5EFC9B8E-E909-4650-B73A-53D14A033258}" id="{AD5C08E5-835F-49F1-A492-50D3A8DAB514}">
    <text>Only segments for 1Q19/18 and 2Q19/18 were "rideshare" "eats" "vehicle solutions" "other"</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38223-DFE4-4C97-8A2E-F1EED2E97B22}">
  <dimension ref="B3:C9"/>
  <sheetViews>
    <sheetView workbookViewId="0">
      <selection activeCell="C6" sqref="C6"/>
    </sheetView>
  </sheetViews>
  <sheetFormatPr defaultRowHeight="13.8" x14ac:dyDescent="0.25"/>
  <cols>
    <col min="1" max="1" width="4" customWidth="1"/>
    <col min="2" max="2" width="10.19921875" bestFit="1" customWidth="1"/>
    <col min="3" max="3" width="40.5" bestFit="1" customWidth="1"/>
  </cols>
  <sheetData>
    <row r="3" spans="2:3" x14ac:dyDescent="0.25">
      <c r="B3" t="s">
        <v>0</v>
      </c>
      <c r="C3" t="e" vm="1">
        <v>#VALUE!</v>
      </c>
    </row>
    <row r="4" spans="2:3" x14ac:dyDescent="0.25">
      <c r="B4" t="s">
        <v>1</v>
      </c>
      <c r="C4" s="1" cm="1">
        <f t="array" ref="C4">_FV(C3,"Price")</f>
        <v>77.16</v>
      </c>
    </row>
    <row r="5" spans="2:3" x14ac:dyDescent="0.25">
      <c r="B5" t="s">
        <v>2</v>
      </c>
      <c r="C5" s="2">
        <v>2121.9290000000001</v>
      </c>
    </row>
    <row r="6" spans="2:3" x14ac:dyDescent="0.25">
      <c r="B6" t="s">
        <v>3</v>
      </c>
      <c r="C6" s="2">
        <f>C4*C5</f>
        <v>163728.04164000001</v>
      </c>
    </row>
    <row r="7" spans="2:3" x14ac:dyDescent="0.25">
      <c r="B7" t="s">
        <v>4</v>
      </c>
      <c r="C7" s="2">
        <f>4680+727+805+1519+4779+6101+353</f>
        <v>18964</v>
      </c>
    </row>
    <row r="8" spans="2:3" x14ac:dyDescent="0.25">
      <c r="B8" t="s">
        <v>5</v>
      </c>
      <c r="C8" s="2">
        <v>9265</v>
      </c>
    </row>
    <row r="9" spans="2:3" x14ac:dyDescent="0.25">
      <c r="B9" t="s">
        <v>6</v>
      </c>
      <c r="C9" s="2">
        <f>C6-C7+C8</f>
        <v>154029.04164000001</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A7A74-D60F-453E-ADE5-2577547139DE}">
  <dimension ref="A1:TR56"/>
  <sheetViews>
    <sheetView tabSelected="1" workbookViewId="0">
      <pane xSplit="2" ySplit="2" topLeftCell="AP3" activePane="bottomRight" state="frozen"/>
      <selection pane="topRight" activeCell="C1" sqref="C1"/>
      <selection pane="bottomLeft" activeCell="A3" sqref="A3"/>
      <selection pane="bottomRight" activeCell="AQ3" sqref="AQ3"/>
    </sheetView>
  </sheetViews>
  <sheetFormatPr defaultRowHeight="13.8" x14ac:dyDescent="0.25"/>
  <cols>
    <col min="1" max="1" width="5.69921875" customWidth="1"/>
    <col min="2" max="2" width="38.59765625" bestFit="1" customWidth="1"/>
    <col min="3" max="5" width="8.796875" style="2"/>
    <col min="6" max="6" width="9.8984375" style="2" bestFit="1" customWidth="1"/>
    <col min="7" max="9" width="8.796875" style="2"/>
    <col min="10" max="10" width="9.8984375" style="2" bestFit="1" customWidth="1"/>
    <col min="11" max="13" width="8.796875" style="2"/>
    <col min="14" max="14" width="9.8984375" style="2" bestFit="1" customWidth="1"/>
    <col min="15" max="17" width="8.796875" style="2"/>
    <col min="18" max="18" width="9.8984375" style="2" bestFit="1" customWidth="1"/>
    <col min="19" max="21" width="8.796875" style="2"/>
    <col min="22" max="22" width="9.8984375" style="2" bestFit="1" customWidth="1"/>
    <col min="23" max="25" width="8.796875" style="2"/>
    <col min="26" max="26" width="9.8984375" style="2" bestFit="1" customWidth="1"/>
    <col min="27" max="52" width="8.796875" style="2"/>
    <col min="53" max="53" width="11" style="2" bestFit="1" customWidth="1"/>
    <col min="54" max="16384" width="8.796875" style="2"/>
  </cols>
  <sheetData>
    <row r="1" spans="2:48" customFormat="1" x14ac:dyDescent="0.25">
      <c r="D1" s="4">
        <v>43281</v>
      </c>
      <c r="E1" s="4">
        <v>43373</v>
      </c>
      <c r="F1" s="4">
        <v>43465</v>
      </c>
      <c r="H1" s="4">
        <v>43646</v>
      </c>
      <c r="I1" s="4">
        <v>43738</v>
      </c>
      <c r="J1" s="4">
        <v>43830</v>
      </c>
      <c r="K1" s="4">
        <v>43921</v>
      </c>
      <c r="L1" s="4">
        <v>44012</v>
      </c>
      <c r="M1" s="4">
        <v>44104</v>
      </c>
      <c r="N1" s="4">
        <v>44196</v>
      </c>
      <c r="O1" s="4">
        <v>44286</v>
      </c>
      <c r="P1" s="4">
        <v>44377</v>
      </c>
      <c r="Q1" s="4">
        <v>44469</v>
      </c>
      <c r="R1" s="4">
        <v>44561</v>
      </c>
      <c r="S1" s="4">
        <v>44651</v>
      </c>
      <c r="T1" s="4">
        <v>44742</v>
      </c>
      <c r="U1" s="4">
        <v>44834</v>
      </c>
      <c r="V1" s="4">
        <v>44926</v>
      </c>
      <c r="W1" s="4">
        <v>45016</v>
      </c>
      <c r="X1" s="4">
        <v>45107</v>
      </c>
      <c r="Y1" s="4">
        <v>45199</v>
      </c>
      <c r="Z1" s="4">
        <v>45291</v>
      </c>
    </row>
    <row r="2" spans="2:48" customFormat="1" x14ac:dyDescent="0.25">
      <c r="C2" t="s">
        <v>24</v>
      </c>
      <c r="D2" t="s">
        <v>25</v>
      </c>
      <c r="E2" t="s">
        <v>26</v>
      </c>
      <c r="F2" t="s">
        <v>27</v>
      </c>
      <c r="G2" t="s">
        <v>28</v>
      </c>
      <c r="H2" t="s">
        <v>29</v>
      </c>
      <c r="I2" t="s">
        <v>30</v>
      </c>
      <c r="J2" t="s">
        <v>31</v>
      </c>
      <c r="K2" t="s">
        <v>32</v>
      </c>
      <c r="L2" t="s">
        <v>33</v>
      </c>
      <c r="M2" t="s">
        <v>34</v>
      </c>
      <c r="N2" t="s">
        <v>35</v>
      </c>
      <c r="O2" t="s">
        <v>36</v>
      </c>
      <c r="P2" t="s">
        <v>37</v>
      </c>
      <c r="Q2" t="s">
        <v>38</v>
      </c>
      <c r="R2" t="s">
        <v>39</v>
      </c>
      <c r="S2" t="s">
        <v>40</v>
      </c>
      <c r="T2" t="s">
        <v>41</v>
      </c>
      <c r="U2" t="s">
        <v>42</v>
      </c>
      <c r="V2" t="s">
        <v>43</v>
      </c>
      <c r="W2" t="s">
        <v>44</v>
      </c>
      <c r="X2" t="s">
        <v>45</v>
      </c>
      <c r="Y2" t="s">
        <v>46</v>
      </c>
      <c r="Z2" t="s">
        <v>47</v>
      </c>
      <c r="AA2" t="s">
        <v>48</v>
      </c>
      <c r="AB2" t="s">
        <v>49</v>
      </c>
      <c r="AC2" t="s">
        <v>50</v>
      </c>
      <c r="AD2" t="s">
        <v>51</v>
      </c>
      <c r="AK2">
        <v>2018</v>
      </c>
      <c r="AL2">
        <v>2019</v>
      </c>
      <c r="AM2">
        <f>AL2+1</f>
        <v>2020</v>
      </c>
      <c r="AN2">
        <f t="shared" ref="AN2:AU2" si="0">AM2+1</f>
        <v>2021</v>
      </c>
      <c r="AO2">
        <f t="shared" si="0"/>
        <v>2022</v>
      </c>
      <c r="AP2">
        <f t="shared" si="0"/>
        <v>2023</v>
      </c>
      <c r="AQ2">
        <f t="shared" si="0"/>
        <v>2024</v>
      </c>
      <c r="AR2">
        <f t="shared" si="0"/>
        <v>2025</v>
      </c>
      <c r="AS2">
        <f t="shared" si="0"/>
        <v>2026</v>
      </c>
      <c r="AT2">
        <f t="shared" si="0"/>
        <v>2027</v>
      </c>
      <c r="AU2">
        <f t="shared" si="0"/>
        <v>2028</v>
      </c>
    </row>
    <row r="3" spans="2:48" customFormat="1" x14ac:dyDescent="0.25">
      <c r="B3" t="s">
        <v>66</v>
      </c>
      <c r="C3">
        <v>70</v>
      </c>
      <c r="D3">
        <v>76</v>
      </c>
      <c r="E3">
        <v>82</v>
      </c>
      <c r="F3">
        <v>91</v>
      </c>
      <c r="G3">
        <v>93</v>
      </c>
      <c r="H3">
        <v>99</v>
      </c>
      <c r="I3">
        <v>103</v>
      </c>
      <c r="J3">
        <v>111</v>
      </c>
      <c r="K3">
        <v>103</v>
      </c>
      <c r="L3">
        <v>55</v>
      </c>
      <c r="M3" s="2">
        <v>78</v>
      </c>
      <c r="N3">
        <v>93</v>
      </c>
      <c r="O3">
        <v>98</v>
      </c>
      <c r="P3">
        <v>101</v>
      </c>
      <c r="Q3">
        <v>109</v>
      </c>
      <c r="R3">
        <v>118</v>
      </c>
      <c r="S3">
        <v>115</v>
      </c>
      <c r="T3">
        <v>122</v>
      </c>
      <c r="U3">
        <v>124</v>
      </c>
      <c r="V3">
        <v>131</v>
      </c>
      <c r="W3">
        <v>130</v>
      </c>
      <c r="X3">
        <v>137</v>
      </c>
      <c r="Y3">
        <v>142</v>
      </c>
      <c r="Z3">
        <v>150</v>
      </c>
      <c r="AA3" s="2">
        <f>W3*1.1</f>
        <v>143</v>
      </c>
      <c r="AB3" s="2">
        <f t="shared" ref="AB3:AD3" si="1">X3*1.1</f>
        <v>150.70000000000002</v>
      </c>
      <c r="AC3" s="2">
        <f t="shared" si="1"/>
        <v>156.20000000000002</v>
      </c>
      <c r="AD3" s="2">
        <f t="shared" si="1"/>
        <v>165</v>
      </c>
      <c r="AK3" s="7">
        <f>AVERAGE(C3:F3)</f>
        <v>79.75</v>
      </c>
      <c r="AL3" s="7">
        <f>AVERAGE(G3:J3)</f>
        <v>101.5</v>
      </c>
      <c r="AM3" s="7">
        <f>AVERAGE(K3:N3)</f>
        <v>82.25</v>
      </c>
      <c r="AN3" s="7">
        <f>AVERAGE(O3:R3)</f>
        <v>106.5</v>
      </c>
      <c r="AO3">
        <f>AVERAGE(S3:V3)</f>
        <v>123</v>
      </c>
      <c r="AP3" s="7">
        <f>AVERAGE(W3:Z3)</f>
        <v>139.75</v>
      </c>
      <c r="AQ3" s="2">
        <f>AVERAGE(AA3:AD3)</f>
        <v>153.72500000000002</v>
      </c>
      <c r="AR3" s="2"/>
      <c r="AS3" s="2"/>
      <c r="AT3" s="2"/>
      <c r="AU3" s="2"/>
    </row>
    <row r="4" spans="2:48" customFormat="1" x14ac:dyDescent="0.25">
      <c r="B4" t="s">
        <v>67</v>
      </c>
      <c r="G4" s="6">
        <f>G3/C3-1</f>
        <v>0.32857142857142851</v>
      </c>
      <c r="H4" s="6">
        <f>H3/D3-1</f>
        <v>0.30263157894736836</v>
      </c>
      <c r="I4" s="6">
        <f t="shared" ref="I4:Z4" si="2">I3/E3-1</f>
        <v>0.25609756097560976</v>
      </c>
      <c r="J4" s="6">
        <f t="shared" si="2"/>
        <v>0.21978021978021989</v>
      </c>
      <c r="K4" s="6">
        <f t="shared" si="2"/>
        <v>0.10752688172043001</v>
      </c>
      <c r="L4" s="6">
        <f t="shared" si="2"/>
        <v>-0.44444444444444442</v>
      </c>
      <c r="M4" s="6">
        <f t="shared" si="2"/>
        <v>-0.24271844660194175</v>
      </c>
      <c r="N4" s="6">
        <f t="shared" si="2"/>
        <v>-0.16216216216216217</v>
      </c>
      <c r="O4" s="6">
        <f t="shared" si="2"/>
        <v>-4.8543689320388328E-2</v>
      </c>
      <c r="P4" s="6">
        <f t="shared" si="2"/>
        <v>0.83636363636363642</v>
      </c>
      <c r="Q4" s="6">
        <f t="shared" si="2"/>
        <v>0.39743589743589736</v>
      </c>
      <c r="R4" s="6">
        <f t="shared" si="2"/>
        <v>0.26881720430107525</v>
      </c>
      <c r="S4" s="6">
        <f>S3/O3-1</f>
        <v>0.17346938775510212</v>
      </c>
      <c r="T4" s="6">
        <f t="shared" si="2"/>
        <v>0.20792079207920788</v>
      </c>
      <c r="U4" s="6">
        <f t="shared" si="2"/>
        <v>0.13761467889908263</v>
      </c>
      <c r="V4" s="6">
        <f t="shared" si="2"/>
        <v>0.11016949152542366</v>
      </c>
      <c r="W4" s="6">
        <f t="shared" si="2"/>
        <v>0.13043478260869557</v>
      </c>
      <c r="X4" s="6">
        <f t="shared" si="2"/>
        <v>0.12295081967213117</v>
      </c>
      <c r="Y4" s="6">
        <f t="shared" si="2"/>
        <v>0.14516129032258074</v>
      </c>
      <c r="Z4" s="6">
        <f t="shared" si="2"/>
        <v>0.14503816793893121</v>
      </c>
      <c r="AA4" s="6">
        <f t="shared" ref="AA4" si="3">AA3/W3-1</f>
        <v>0.10000000000000009</v>
      </c>
      <c r="AB4" s="6">
        <f t="shared" ref="AB4" si="4">AB3/X3-1</f>
        <v>0.10000000000000009</v>
      </c>
      <c r="AC4" s="6">
        <f t="shared" ref="AC4" si="5">AC3/Y3-1</f>
        <v>0.10000000000000009</v>
      </c>
      <c r="AD4" s="6">
        <f t="shared" ref="AD4" si="6">AD3/Z3-1</f>
        <v>0.10000000000000009</v>
      </c>
      <c r="AL4" s="6">
        <f t="shared" ref="AL4:AO4" si="7">AL3/AK3-1</f>
        <v>0.27272727272727271</v>
      </c>
      <c r="AM4" s="6">
        <f t="shared" si="7"/>
        <v>-0.18965517241379315</v>
      </c>
      <c r="AN4" s="6">
        <f t="shared" si="7"/>
        <v>0.29483282674772027</v>
      </c>
      <c r="AO4" s="6">
        <f t="shared" si="7"/>
        <v>0.15492957746478875</v>
      </c>
      <c r="AP4" s="6">
        <f>AP3/AO3-1</f>
        <v>0.13617886178861793</v>
      </c>
      <c r="AQ4" s="6">
        <f t="shared" ref="AQ4:AU4" si="8">AQ3/AP3-1</f>
        <v>0.10000000000000009</v>
      </c>
      <c r="AR4" s="6">
        <f t="shared" si="8"/>
        <v>-1</v>
      </c>
      <c r="AS4" s="6" t="e">
        <f t="shared" si="8"/>
        <v>#DIV/0!</v>
      </c>
      <c r="AT4" s="6" t="e">
        <f t="shared" si="8"/>
        <v>#DIV/0!</v>
      </c>
      <c r="AU4" s="6" t="e">
        <f t="shared" si="8"/>
        <v>#DIV/0!</v>
      </c>
      <c r="AV4" s="6"/>
    </row>
    <row r="5" spans="2:48" customFormat="1" x14ac:dyDescent="0.25"/>
    <row r="6" spans="2:48" x14ac:dyDescent="0.25">
      <c r="B6" t="s">
        <v>68</v>
      </c>
      <c r="C6" s="2">
        <v>1136</v>
      </c>
      <c r="D6" s="2">
        <v>1242</v>
      </c>
      <c r="E6" s="2">
        <v>1348</v>
      </c>
      <c r="F6" s="2">
        <v>1493</v>
      </c>
      <c r="G6" s="2">
        <v>1550</v>
      </c>
      <c r="H6" s="2">
        <v>1677</v>
      </c>
      <c r="I6" s="2">
        <v>1770</v>
      </c>
      <c r="J6" s="2">
        <v>1907</v>
      </c>
      <c r="K6" s="2">
        <v>1661</v>
      </c>
      <c r="L6" s="2">
        <v>737</v>
      </c>
      <c r="M6" s="2">
        <v>1184</v>
      </c>
      <c r="N6" s="2">
        <v>1443</v>
      </c>
      <c r="O6" s="2">
        <v>1447</v>
      </c>
      <c r="P6" s="2">
        <v>1511</v>
      </c>
      <c r="Q6" s="2">
        <v>1641</v>
      </c>
      <c r="R6" s="2">
        <v>1769</v>
      </c>
      <c r="S6" s="2">
        <v>1713</v>
      </c>
      <c r="T6" s="2">
        <v>1872</v>
      </c>
      <c r="U6" s="2">
        <v>1953</v>
      </c>
      <c r="V6" s="2">
        <v>2104</v>
      </c>
      <c r="W6" s="2">
        <v>2124</v>
      </c>
      <c r="X6" s="2">
        <v>2282</v>
      </c>
      <c r="Y6" s="2">
        <v>2441</v>
      </c>
      <c r="Z6" s="2">
        <v>2601</v>
      </c>
      <c r="AA6" s="2">
        <f>W6*1.25</f>
        <v>2655</v>
      </c>
      <c r="AB6" s="2">
        <f t="shared" ref="AB6:AD6" si="9">X6*1.25</f>
        <v>2852.5</v>
      </c>
      <c r="AC6" s="2">
        <f t="shared" si="9"/>
        <v>3051.25</v>
      </c>
      <c r="AD6" s="2">
        <f t="shared" si="9"/>
        <v>3251.25</v>
      </c>
      <c r="AK6" s="2">
        <f>SUM(C6:F6)</f>
        <v>5219</v>
      </c>
      <c r="AL6" s="2">
        <f>SUM(G6:J6)</f>
        <v>6904</v>
      </c>
      <c r="AM6" s="2">
        <f>SUM(K6:N6)</f>
        <v>5025</v>
      </c>
      <c r="AN6" s="2">
        <f>SUM(O6:R6)</f>
        <v>6368</v>
      </c>
      <c r="AO6" s="2">
        <f>SUM(S6:V6)</f>
        <v>7642</v>
      </c>
      <c r="AP6" s="2">
        <f>SUM(W6:Z6)</f>
        <v>9448</v>
      </c>
      <c r="AQ6" s="2">
        <f>SUM(AA6:AD6)</f>
        <v>11810</v>
      </c>
    </row>
    <row r="7" spans="2:48" customFormat="1" x14ac:dyDescent="0.25">
      <c r="B7" t="s">
        <v>69</v>
      </c>
      <c r="G7" s="6">
        <f>G6/C6-1</f>
        <v>0.36443661971830976</v>
      </c>
      <c r="H7" s="6">
        <f t="shared" ref="H7:Z7" si="10">H6/D6-1</f>
        <v>0.35024154589371981</v>
      </c>
      <c r="I7" s="6">
        <f t="shared" si="10"/>
        <v>0.31305637982195855</v>
      </c>
      <c r="J7" s="6">
        <f t="shared" si="10"/>
        <v>0.27729403884795722</v>
      </c>
      <c r="K7" s="6">
        <f t="shared" si="10"/>
        <v>7.1612903225806379E-2</v>
      </c>
      <c r="L7" s="6">
        <f t="shared" si="10"/>
        <v>-0.56052474657125817</v>
      </c>
      <c r="M7" s="6">
        <f t="shared" si="10"/>
        <v>-0.33107344632768365</v>
      </c>
      <c r="N7" s="6">
        <f t="shared" si="10"/>
        <v>-0.24331410592553748</v>
      </c>
      <c r="O7" s="6">
        <f t="shared" si="10"/>
        <v>-0.1288380493678507</v>
      </c>
      <c r="P7" s="6">
        <f t="shared" si="10"/>
        <v>1.050203527815468</v>
      </c>
      <c r="Q7" s="6">
        <f t="shared" si="10"/>
        <v>0.38597972972972983</v>
      </c>
      <c r="R7" s="6">
        <f t="shared" si="10"/>
        <v>0.22591822591822597</v>
      </c>
      <c r="S7" s="6">
        <f t="shared" si="10"/>
        <v>0.18382861091914315</v>
      </c>
      <c r="T7" s="6">
        <f t="shared" si="10"/>
        <v>0.23891462607544667</v>
      </c>
      <c r="U7" s="6">
        <f t="shared" si="10"/>
        <v>0.19012797074954291</v>
      </c>
      <c r="V7" s="6">
        <f t="shared" si="10"/>
        <v>0.18937252685132844</v>
      </c>
      <c r="W7" s="6">
        <f t="shared" si="10"/>
        <v>0.23992994746059537</v>
      </c>
      <c r="X7" s="6">
        <f t="shared" si="10"/>
        <v>0.21901709401709413</v>
      </c>
      <c r="Y7" s="6">
        <f t="shared" si="10"/>
        <v>0.24987199180747566</v>
      </c>
      <c r="Z7" s="6">
        <f t="shared" si="10"/>
        <v>0.2362167300380229</v>
      </c>
      <c r="AA7" s="6">
        <f t="shared" ref="AA7" si="11">AA6/W6-1</f>
        <v>0.25</v>
      </c>
      <c r="AB7" s="6">
        <f t="shared" ref="AB7" si="12">AB6/X6-1</f>
        <v>0.25</v>
      </c>
      <c r="AC7" s="6">
        <f t="shared" ref="AC7" si="13">AC6/Y6-1</f>
        <v>0.25</v>
      </c>
      <c r="AD7" s="6">
        <f t="shared" ref="AD7" si="14">AD6/Z6-1</f>
        <v>0.25</v>
      </c>
      <c r="AL7" s="6">
        <f t="shared" ref="AL7:AO7" si="15">AL6/AK6-1</f>
        <v>0.32285878520789413</v>
      </c>
      <c r="AM7" s="6">
        <f t="shared" si="15"/>
        <v>-0.27216106604866741</v>
      </c>
      <c r="AN7" s="6">
        <f t="shared" si="15"/>
        <v>0.26726368159203973</v>
      </c>
      <c r="AO7" s="6">
        <f t="shared" si="15"/>
        <v>0.20006281407035176</v>
      </c>
      <c r="AP7" s="6">
        <f>AP6/AO6-1</f>
        <v>0.23632556922271664</v>
      </c>
      <c r="AQ7" s="6">
        <f>AQ6/AP6-1</f>
        <v>0.25</v>
      </c>
    </row>
    <row r="8" spans="2:48" customFormat="1" x14ac:dyDescent="0.25"/>
    <row r="9" spans="2:48" ht="13.2" customHeight="1" x14ac:dyDescent="0.25">
      <c r="B9" t="s">
        <v>73</v>
      </c>
      <c r="C9" s="2">
        <v>2180</v>
      </c>
      <c r="D9" s="2">
        <v>2291</v>
      </c>
      <c r="E9" s="2">
        <v>2425</v>
      </c>
      <c r="F9" s="2">
        <v>2400</v>
      </c>
      <c r="G9" s="2">
        <v>2376</v>
      </c>
      <c r="H9" s="2">
        <v>2348</v>
      </c>
      <c r="I9" s="2">
        <v>2895</v>
      </c>
      <c r="J9" s="2">
        <v>3056</v>
      </c>
      <c r="K9" s="2">
        <v>2467</v>
      </c>
      <c r="L9" s="2">
        <v>886</v>
      </c>
      <c r="M9" s="2">
        <v>1364</v>
      </c>
      <c r="N9" s="2">
        <v>1471</v>
      </c>
      <c r="O9" s="2">
        <v>853</v>
      </c>
      <c r="P9" s="2">
        <v>1963</v>
      </c>
      <c r="Q9" s="2">
        <v>2205</v>
      </c>
      <c r="R9" s="2">
        <v>2278</v>
      </c>
      <c r="S9" s="2">
        <v>2518</v>
      </c>
      <c r="T9" s="2">
        <v>3553</v>
      </c>
      <c r="U9" s="2">
        <v>3822</v>
      </c>
      <c r="V9" s="2">
        <v>4136</v>
      </c>
      <c r="W9" s="2">
        <v>4330</v>
      </c>
      <c r="X9" s="2">
        <v>4894</v>
      </c>
      <c r="Y9" s="2">
        <v>5071</v>
      </c>
      <c r="Z9" s="2">
        <v>5537</v>
      </c>
      <c r="AA9" s="2">
        <f>W9*1.25</f>
        <v>5412.5</v>
      </c>
      <c r="AB9" s="2">
        <f t="shared" ref="AB9:AD9" si="16">X9*1.25</f>
        <v>6117.5</v>
      </c>
      <c r="AC9" s="2">
        <f t="shared" si="16"/>
        <v>6338.75</v>
      </c>
      <c r="AD9" s="2">
        <f t="shared" si="16"/>
        <v>6921.25</v>
      </c>
      <c r="AK9" s="2">
        <f>SUM(C9:F9)</f>
        <v>9296</v>
      </c>
      <c r="AL9" s="2">
        <f>SUM(G9:J9)</f>
        <v>10675</v>
      </c>
      <c r="AM9" s="2">
        <f t="shared" ref="AM9:AM12" si="17">SUM(K9:N9)</f>
        <v>6188</v>
      </c>
      <c r="AN9" s="2">
        <f>SUM(O9:R9)</f>
        <v>7299</v>
      </c>
      <c r="AO9" s="2">
        <f>SUM(S9:V9)</f>
        <v>14029</v>
      </c>
      <c r="AP9" s="2">
        <f>SUM(W9:Z9)</f>
        <v>19832</v>
      </c>
      <c r="AQ9" s="2">
        <f>SUM(AA9:AD9)</f>
        <v>24790</v>
      </c>
      <c r="AR9" s="2">
        <f>AQ9*1.25</f>
        <v>30987.5</v>
      </c>
      <c r="AS9" s="2">
        <f>AR9*1.2</f>
        <v>37185</v>
      </c>
      <c r="AT9" s="2">
        <f t="shared" ref="AT9:AU9" si="18">AS9*1.2</f>
        <v>44622</v>
      </c>
      <c r="AU9" s="2">
        <f t="shared" si="18"/>
        <v>53546.400000000001</v>
      </c>
    </row>
    <row r="10" spans="2:48" x14ac:dyDescent="0.25">
      <c r="B10" t="s">
        <v>74</v>
      </c>
      <c r="C10" s="2">
        <v>283</v>
      </c>
      <c r="D10" s="2">
        <v>346</v>
      </c>
      <c r="E10" s="2">
        <v>394</v>
      </c>
      <c r="F10" s="2">
        <v>437</v>
      </c>
      <c r="G10" s="2">
        <v>536</v>
      </c>
      <c r="H10" s="2">
        <v>595</v>
      </c>
      <c r="I10" s="2">
        <v>645</v>
      </c>
      <c r="J10" s="2">
        <v>734</v>
      </c>
      <c r="K10" s="2">
        <v>527</v>
      </c>
      <c r="L10" s="2">
        <v>787</v>
      </c>
      <c r="M10" s="2">
        <v>1136</v>
      </c>
      <c r="N10" s="2">
        <v>1356</v>
      </c>
      <c r="O10" s="2">
        <v>1741</v>
      </c>
      <c r="P10" s="2">
        <v>1618</v>
      </c>
      <c r="Q10" s="2">
        <v>2238</v>
      </c>
      <c r="R10" s="2">
        <v>2420</v>
      </c>
      <c r="S10" s="2">
        <v>2512</v>
      </c>
      <c r="T10" s="2">
        <v>2688</v>
      </c>
      <c r="U10" s="2">
        <v>2770</v>
      </c>
      <c r="V10" s="2">
        <v>2931</v>
      </c>
      <c r="W10" s="2">
        <v>3093</v>
      </c>
      <c r="X10" s="2">
        <v>3057</v>
      </c>
      <c r="Y10" s="2">
        <v>2935</v>
      </c>
      <c r="Z10" s="2">
        <v>3119</v>
      </c>
      <c r="AA10" s="2">
        <f>W10*1.1</f>
        <v>3402.3</v>
      </c>
      <c r="AB10" s="2">
        <f t="shared" ref="AB10:AD10" si="19">X10*1.1</f>
        <v>3362.7000000000003</v>
      </c>
      <c r="AC10" s="2">
        <f t="shared" si="19"/>
        <v>3228.5000000000005</v>
      </c>
      <c r="AD10" s="2">
        <f t="shared" si="19"/>
        <v>3430.9</v>
      </c>
      <c r="AK10" s="2">
        <f t="shared" ref="AK10:AK12" si="20">SUM(C10:F10)</f>
        <v>1460</v>
      </c>
      <c r="AL10" s="2">
        <f t="shared" ref="AL10:AL12" si="21">SUM(G10:J10)</f>
        <v>2510</v>
      </c>
      <c r="AM10" s="2">
        <f t="shared" si="17"/>
        <v>3806</v>
      </c>
      <c r="AN10" s="2">
        <f t="shared" ref="AN10:AN12" si="22">SUM(O10:R10)</f>
        <v>8017</v>
      </c>
      <c r="AO10" s="2">
        <f t="shared" ref="AO10:AO12" si="23">SUM(S10:V10)</f>
        <v>10901</v>
      </c>
      <c r="AP10" s="2">
        <f t="shared" ref="AP10:AP12" si="24">SUM(W10:Z10)</f>
        <v>12204</v>
      </c>
      <c r="AQ10" s="2">
        <f t="shared" ref="AQ10:AQ12" si="25">SUM(AA10:AD10)</f>
        <v>13424.4</v>
      </c>
      <c r="AR10" s="2">
        <f>AQ10*1.1</f>
        <v>14766.84</v>
      </c>
      <c r="AS10" s="2">
        <f t="shared" ref="AS10:AU10" si="26">AR10*1.1</f>
        <v>16243.524000000001</v>
      </c>
      <c r="AT10" s="2">
        <f t="shared" si="26"/>
        <v>17867.876400000001</v>
      </c>
      <c r="AU10" s="2">
        <f t="shared" si="26"/>
        <v>19654.664040000003</v>
      </c>
    </row>
    <row r="11" spans="2:48" x14ac:dyDescent="0.25">
      <c r="B11" t="s">
        <v>75</v>
      </c>
      <c r="C11" s="2">
        <v>55</v>
      </c>
      <c r="D11" s="2">
        <v>34</v>
      </c>
      <c r="E11" s="2">
        <v>122</v>
      </c>
      <c r="F11" s="2">
        <v>125</v>
      </c>
      <c r="G11" s="2">
        <v>10</v>
      </c>
      <c r="H11" s="2">
        <v>3</v>
      </c>
      <c r="I11" s="2">
        <v>218</v>
      </c>
      <c r="J11" s="2">
        <v>219</v>
      </c>
      <c r="K11" s="2">
        <v>199</v>
      </c>
      <c r="L11" s="2">
        <v>211</v>
      </c>
      <c r="M11" s="2">
        <v>288</v>
      </c>
      <c r="N11" s="2">
        <v>313</v>
      </c>
      <c r="O11" s="2">
        <v>301</v>
      </c>
      <c r="P11" s="2">
        <v>348</v>
      </c>
      <c r="Q11" s="2">
        <v>402</v>
      </c>
      <c r="R11" s="2">
        <v>1080</v>
      </c>
      <c r="S11" s="2">
        <v>1824</v>
      </c>
      <c r="T11" s="2">
        <v>1832</v>
      </c>
      <c r="U11" s="2">
        <v>1751</v>
      </c>
      <c r="V11" s="2">
        <v>1540</v>
      </c>
      <c r="W11" s="2">
        <v>1400</v>
      </c>
      <c r="X11" s="2">
        <v>1279</v>
      </c>
      <c r="Y11" s="2">
        <v>1286</v>
      </c>
      <c r="Z11" s="2">
        <v>1280</v>
      </c>
      <c r="AA11" s="2">
        <f>W11*0.9</f>
        <v>1260</v>
      </c>
      <c r="AB11" s="2">
        <f t="shared" ref="AB11:AD11" si="27">X11*0.9</f>
        <v>1151.1000000000001</v>
      </c>
      <c r="AC11" s="2">
        <f t="shared" si="27"/>
        <v>1157.4000000000001</v>
      </c>
      <c r="AD11" s="2">
        <f t="shared" si="27"/>
        <v>1152</v>
      </c>
      <c r="AK11" s="2">
        <f t="shared" si="20"/>
        <v>336</v>
      </c>
      <c r="AL11" s="2">
        <f t="shared" si="21"/>
        <v>450</v>
      </c>
      <c r="AM11" s="2">
        <f t="shared" si="17"/>
        <v>1011</v>
      </c>
      <c r="AN11" s="2">
        <f t="shared" si="22"/>
        <v>2131</v>
      </c>
      <c r="AO11" s="2">
        <f t="shared" si="23"/>
        <v>6947</v>
      </c>
      <c r="AP11" s="2">
        <f t="shared" si="24"/>
        <v>5245</v>
      </c>
      <c r="AQ11" s="2">
        <f t="shared" si="25"/>
        <v>4720.5</v>
      </c>
      <c r="AR11" s="2">
        <f>AQ11*0.9</f>
        <v>4248.45</v>
      </c>
      <c r="AS11" s="2">
        <f t="shared" ref="AS11:AU11" si="28">AR11*0.9</f>
        <v>3823.605</v>
      </c>
      <c r="AT11" s="2">
        <f t="shared" si="28"/>
        <v>3441.2445000000002</v>
      </c>
      <c r="AU11" s="2">
        <f t="shared" si="28"/>
        <v>3097.1200500000004</v>
      </c>
    </row>
    <row r="12" spans="2:48" x14ac:dyDescent="0.25">
      <c r="B12" t="s">
        <v>77</v>
      </c>
      <c r="C12" s="2">
        <f>26+40</f>
        <v>66</v>
      </c>
      <c r="D12" s="2">
        <f>26+71</f>
        <v>97</v>
      </c>
      <c r="E12" s="2">
        <v>3</v>
      </c>
      <c r="F12" s="2">
        <v>12</v>
      </c>
      <c r="G12" s="2">
        <f>32+145</f>
        <v>177</v>
      </c>
      <c r="H12" s="2">
        <f>25+195</f>
        <v>220</v>
      </c>
      <c r="I12" s="2">
        <f>38+17</f>
        <v>55</v>
      </c>
      <c r="J12" s="2">
        <f>35+25</f>
        <v>60</v>
      </c>
      <c r="K12" s="2">
        <v>55</v>
      </c>
      <c r="L12" s="2">
        <v>29</v>
      </c>
      <c r="M12" s="2">
        <v>25</v>
      </c>
      <c r="N12" s="2">
        <v>25</v>
      </c>
      <c r="O12" s="2">
        <v>8</v>
      </c>
      <c r="P12" s="2">
        <v>0</v>
      </c>
      <c r="Q12" s="2">
        <v>0</v>
      </c>
      <c r="R12" s="2">
        <v>0</v>
      </c>
      <c r="S12" s="2">
        <v>0</v>
      </c>
      <c r="T12" s="2">
        <v>0</v>
      </c>
      <c r="U12" s="2">
        <v>0</v>
      </c>
      <c r="V12" s="2">
        <v>0</v>
      </c>
      <c r="W12" s="2">
        <v>0</v>
      </c>
      <c r="X12" s="2">
        <v>0</v>
      </c>
      <c r="Y12" s="2">
        <v>0</v>
      </c>
      <c r="Z12" s="2">
        <v>0</v>
      </c>
      <c r="AA12" s="2">
        <f>Z12</f>
        <v>0</v>
      </c>
      <c r="AB12" s="2">
        <f t="shared" ref="AB12:AD12" si="29">AA12</f>
        <v>0</v>
      </c>
      <c r="AC12" s="2">
        <f t="shared" si="29"/>
        <v>0</v>
      </c>
      <c r="AD12" s="2">
        <f t="shared" si="29"/>
        <v>0</v>
      </c>
      <c r="AK12" s="2">
        <f t="shared" si="20"/>
        <v>178</v>
      </c>
      <c r="AL12" s="2">
        <f t="shared" si="21"/>
        <v>512</v>
      </c>
      <c r="AM12" s="2">
        <f t="shared" si="17"/>
        <v>134</v>
      </c>
      <c r="AN12" s="2">
        <f t="shared" si="22"/>
        <v>8</v>
      </c>
      <c r="AO12" s="2">
        <f t="shared" si="23"/>
        <v>0</v>
      </c>
      <c r="AP12" s="2">
        <f t="shared" si="24"/>
        <v>0</v>
      </c>
      <c r="AQ12" s="2">
        <f t="shared" si="25"/>
        <v>0</v>
      </c>
      <c r="AR12" s="2">
        <f>AQ12</f>
        <v>0</v>
      </c>
      <c r="AS12" s="2">
        <f t="shared" ref="AS12:AU12" si="30">AR12</f>
        <v>0</v>
      </c>
      <c r="AT12" s="2">
        <f t="shared" si="30"/>
        <v>0</v>
      </c>
      <c r="AU12" s="2">
        <f t="shared" si="30"/>
        <v>0</v>
      </c>
    </row>
    <row r="13" spans="2:48" customFormat="1" x14ac:dyDescent="0.25"/>
    <row r="14" spans="2:48" customFormat="1" x14ac:dyDescent="0.25">
      <c r="B14" t="s">
        <v>70</v>
      </c>
      <c r="C14" s="6"/>
      <c r="D14" s="6"/>
      <c r="E14" s="6"/>
      <c r="F14" s="6"/>
      <c r="G14" s="6">
        <f t="shared" ref="G14:P16" si="31">G9/C9-1</f>
        <v>8.9908256880733894E-2</v>
      </c>
      <c r="H14" s="6">
        <f t="shared" si="31"/>
        <v>2.4879965080750743E-2</v>
      </c>
      <c r="I14" s="6">
        <f t="shared" si="31"/>
        <v>0.1938144329896907</v>
      </c>
      <c r="J14" s="6">
        <f t="shared" si="31"/>
        <v>0.27333333333333343</v>
      </c>
      <c r="K14" s="6">
        <f t="shared" si="31"/>
        <v>3.8299663299663278E-2</v>
      </c>
      <c r="L14" s="6">
        <f t="shared" si="31"/>
        <v>-0.62265758091993184</v>
      </c>
      <c r="M14" s="6">
        <f t="shared" si="31"/>
        <v>-0.52884283246977548</v>
      </c>
      <c r="N14" s="6">
        <f t="shared" si="31"/>
        <v>-0.51865183246073299</v>
      </c>
      <c r="O14" s="6">
        <f t="shared" si="31"/>
        <v>-0.65423591406566683</v>
      </c>
      <c r="P14" s="6">
        <f t="shared" si="31"/>
        <v>1.2155756207674941</v>
      </c>
      <c r="Q14" s="6">
        <f t="shared" ref="Q14:Z16" si="32">Q9/M9-1</f>
        <v>0.61656891495601163</v>
      </c>
      <c r="R14" s="6">
        <f t="shared" si="32"/>
        <v>0.54860639021074098</v>
      </c>
      <c r="S14" s="6">
        <f t="shared" si="32"/>
        <v>1.9519343493552168</v>
      </c>
      <c r="T14" s="6">
        <f t="shared" si="32"/>
        <v>0.8099847172694854</v>
      </c>
      <c r="U14" s="6">
        <f t="shared" si="32"/>
        <v>0.73333333333333339</v>
      </c>
      <c r="V14" s="6">
        <f t="shared" si="32"/>
        <v>0.81562774363476742</v>
      </c>
      <c r="W14" s="6">
        <f t="shared" si="32"/>
        <v>0.71961874503574275</v>
      </c>
      <c r="X14" s="6">
        <f t="shared" si="32"/>
        <v>0.37742752603433716</v>
      </c>
      <c r="Y14" s="6">
        <f t="shared" si="32"/>
        <v>0.32679225536368395</v>
      </c>
      <c r="Z14" s="6">
        <f t="shared" si="32"/>
        <v>0.33873307543520315</v>
      </c>
      <c r="AA14" s="6">
        <f t="shared" ref="AA14:AD14" si="33">AA9/W9-1</f>
        <v>0.25</v>
      </c>
      <c r="AB14" s="6">
        <f t="shared" si="33"/>
        <v>0.25</v>
      </c>
      <c r="AC14" s="6">
        <f t="shared" si="33"/>
        <v>0.25</v>
      </c>
      <c r="AD14" s="6">
        <f t="shared" si="33"/>
        <v>0.25</v>
      </c>
      <c r="AL14" s="6">
        <f t="shared" ref="AL14:AP16" si="34">AL9/AK9-1</f>
        <v>0.14834337349397586</v>
      </c>
      <c r="AM14" s="6">
        <f t="shared" si="34"/>
        <v>-0.42032786885245899</v>
      </c>
      <c r="AN14" s="6">
        <f t="shared" si="34"/>
        <v>0.17954104718810604</v>
      </c>
      <c r="AO14" s="6">
        <f t="shared" si="34"/>
        <v>0.9220441156322785</v>
      </c>
      <c r="AP14" s="6">
        <f t="shared" si="34"/>
        <v>0.41364316772400023</v>
      </c>
      <c r="AQ14" s="6">
        <f t="shared" ref="AQ14:AU14" si="35">AQ9/AP9-1</f>
        <v>0.25</v>
      </c>
      <c r="AR14" s="6">
        <f t="shared" si="35"/>
        <v>0.25</v>
      </c>
      <c r="AS14" s="6">
        <f t="shared" si="35"/>
        <v>0.19999999999999996</v>
      </c>
      <c r="AT14" s="6">
        <f t="shared" si="35"/>
        <v>0.19999999999999996</v>
      </c>
      <c r="AU14" s="6">
        <f t="shared" si="35"/>
        <v>0.19999999999999996</v>
      </c>
    </row>
    <row r="15" spans="2:48" customFormat="1" x14ac:dyDescent="0.25">
      <c r="B15" t="s">
        <v>71</v>
      </c>
      <c r="C15" s="6"/>
      <c r="D15" s="6"/>
      <c r="E15" s="6"/>
      <c r="F15" s="6"/>
      <c r="G15" s="6">
        <f t="shared" si="31"/>
        <v>0.89399293286219073</v>
      </c>
      <c r="H15" s="6">
        <f t="shared" si="31"/>
        <v>0.71965317919075145</v>
      </c>
      <c r="I15" s="6">
        <f t="shared" si="31"/>
        <v>0.63705583756345185</v>
      </c>
      <c r="J15" s="6">
        <f t="shared" si="31"/>
        <v>0.67963386727688779</v>
      </c>
      <c r="K15" s="6">
        <f t="shared" si="31"/>
        <v>-1.6791044776119368E-2</v>
      </c>
      <c r="L15" s="6">
        <f t="shared" si="31"/>
        <v>0.32268907563025206</v>
      </c>
      <c r="M15" s="6">
        <f t="shared" si="31"/>
        <v>0.76124031007751936</v>
      </c>
      <c r="N15" s="6">
        <f t="shared" si="31"/>
        <v>0.84741144414168934</v>
      </c>
      <c r="O15" s="6">
        <f t="shared" si="31"/>
        <v>2.3036053130929792</v>
      </c>
      <c r="P15" s="6">
        <f t="shared" si="31"/>
        <v>1.0559085133418042</v>
      </c>
      <c r="Q15" s="6">
        <f t="shared" si="32"/>
        <v>0.97007042253521125</v>
      </c>
      <c r="R15" s="6">
        <f t="shared" si="32"/>
        <v>0.78466076696165188</v>
      </c>
      <c r="S15" s="6">
        <f t="shared" si="32"/>
        <v>0.44284893739230324</v>
      </c>
      <c r="T15" s="6">
        <f t="shared" si="32"/>
        <v>0.661310259579728</v>
      </c>
      <c r="U15" s="6">
        <f t="shared" si="32"/>
        <v>0.23771224307417338</v>
      </c>
      <c r="V15" s="6">
        <f t="shared" si="32"/>
        <v>0.21115702479338849</v>
      </c>
      <c r="W15" s="6">
        <f t="shared" si="32"/>
        <v>0.23128980891719753</v>
      </c>
      <c r="X15" s="6">
        <f t="shared" si="32"/>
        <v>0.13727678571428581</v>
      </c>
      <c r="Y15" s="6">
        <f t="shared" si="32"/>
        <v>5.9566787003610067E-2</v>
      </c>
      <c r="Z15" s="6">
        <f t="shared" si="32"/>
        <v>6.4141931081542092E-2</v>
      </c>
      <c r="AA15" s="6">
        <f t="shared" ref="AA15:AD15" si="36">AA10/W10-1</f>
        <v>0.10000000000000009</v>
      </c>
      <c r="AB15" s="6">
        <f t="shared" si="36"/>
        <v>0.10000000000000009</v>
      </c>
      <c r="AC15" s="6">
        <f t="shared" si="36"/>
        <v>0.10000000000000009</v>
      </c>
      <c r="AD15" s="6">
        <f t="shared" si="36"/>
        <v>0.10000000000000009</v>
      </c>
      <c r="AL15" s="6">
        <f t="shared" si="34"/>
        <v>0.71917808219178081</v>
      </c>
      <c r="AM15" s="6">
        <f t="shared" si="34"/>
        <v>0.51633466135458161</v>
      </c>
      <c r="AN15" s="6">
        <f t="shared" si="34"/>
        <v>1.1064109301103522</v>
      </c>
      <c r="AO15" s="6">
        <f t="shared" si="34"/>
        <v>0.35973556193089684</v>
      </c>
      <c r="AP15" s="6">
        <f t="shared" si="34"/>
        <v>0.11953031831942029</v>
      </c>
      <c r="AQ15" s="6">
        <f t="shared" ref="AQ15:AU15" si="37">AQ10/AP10-1</f>
        <v>9.9999999999999867E-2</v>
      </c>
      <c r="AR15" s="6">
        <f t="shared" si="37"/>
        <v>0.10000000000000009</v>
      </c>
      <c r="AS15" s="6">
        <f t="shared" si="37"/>
        <v>0.10000000000000009</v>
      </c>
      <c r="AT15" s="6">
        <f t="shared" si="37"/>
        <v>9.9999999999999867E-2</v>
      </c>
      <c r="AU15" s="6">
        <f t="shared" si="37"/>
        <v>0.10000000000000009</v>
      </c>
    </row>
    <row r="16" spans="2:48" customFormat="1" x14ac:dyDescent="0.25">
      <c r="B16" t="s">
        <v>72</v>
      </c>
      <c r="C16" s="6"/>
      <c r="D16" s="6"/>
      <c r="E16" s="6"/>
      <c r="F16" s="6"/>
      <c r="G16" s="6">
        <f t="shared" si="31"/>
        <v>-0.81818181818181812</v>
      </c>
      <c r="H16" s="6">
        <f t="shared" si="31"/>
        <v>-0.91176470588235292</v>
      </c>
      <c r="I16" s="6">
        <f t="shared" si="31"/>
        <v>0.78688524590163933</v>
      </c>
      <c r="J16" s="6">
        <f t="shared" si="31"/>
        <v>0.752</v>
      </c>
      <c r="K16" s="6">
        <f t="shared" si="31"/>
        <v>18.899999999999999</v>
      </c>
      <c r="L16" s="6">
        <f t="shared" si="31"/>
        <v>69.333333333333329</v>
      </c>
      <c r="M16" s="6">
        <f t="shared" si="31"/>
        <v>0.32110091743119273</v>
      </c>
      <c r="N16" s="6">
        <f t="shared" si="31"/>
        <v>0.42922374429223753</v>
      </c>
      <c r="O16" s="6">
        <f t="shared" si="31"/>
        <v>0.51256281407035176</v>
      </c>
      <c r="P16" s="6">
        <f t="shared" si="31"/>
        <v>0.64928909952606628</v>
      </c>
      <c r="Q16" s="6">
        <f t="shared" si="32"/>
        <v>0.39583333333333326</v>
      </c>
      <c r="R16" s="6">
        <f t="shared" si="32"/>
        <v>2.450479233226837</v>
      </c>
      <c r="S16" s="6">
        <f t="shared" si="32"/>
        <v>5.059800664451827</v>
      </c>
      <c r="T16" s="6">
        <f t="shared" si="32"/>
        <v>4.264367816091954</v>
      </c>
      <c r="U16" s="6">
        <f t="shared" si="32"/>
        <v>3.355721393034826</v>
      </c>
      <c r="V16" s="6">
        <f t="shared" si="32"/>
        <v>0.42592592592592582</v>
      </c>
      <c r="W16" s="6">
        <f t="shared" si="32"/>
        <v>-0.23245614035087714</v>
      </c>
      <c r="X16" s="6">
        <f t="shared" si="32"/>
        <v>-0.30185589519650657</v>
      </c>
      <c r="Y16" s="6">
        <f t="shared" si="32"/>
        <v>-0.26556253569388921</v>
      </c>
      <c r="Z16" s="6">
        <f t="shared" si="32"/>
        <v>-0.16883116883116878</v>
      </c>
      <c r="AA16" s="6">
        <f t="shared" ref="AA16:AD16" si="38">AA11/W11-1</f>
        <v>-9.9999999999999978E-2</v>
      </c>
      <c r="AB16" s="6">
        <f t="shared" si="38"/>
        <v>-9.9999999999999867E-2</v>
      </c>
      <c r="AC16" s="6">
        <f t="shared" si="38"/>
        <v>-9.9999999999999978E-2</v>
      </c>
      <c r="AD16" s="6">
        <f t="shared" si="38"/>
        <v>-9.9999999999999978E-2</v>
      </c>
      <c r="AL16" s="6">
        <f t="shared" si="34"/>
        <v>0.33928571428571419</v>
      </c>
      <c r="AM16" s="6">
        <f t="shared" si="34"/>
        <v>1.2466666666666666</v>
      </c>
      <c r="AN16" s="6">
        <f t="shared" si="34"/>
        <v>1.1078140454995054</v>
      </c>
      <c r="AO16" s="6">
        <f t="shared" si="34"/>
        <v>2.2599718442045988</v>
      </c>
      <c r="AP16" s="6">
        <f t="shared" si="34"/>
        <v>-0.24499784079458764</v>
      </c>
      <c r="AQ16" s="6">
        <f t="shared" ref="AQ16:AU16" si="39">AQ11/AP11-1</f>
        <v>-9.9999999999999978E-2</v>
      </c>
      <c r="AR16" s="6">
        <f t="shared" si="39"/>
        <v>-0.10000000000000009</v>
      </c>
      <c r="AS16" s="6">
        <f t="shared" si="39"/>
        <v>-9.9999999999999978E-2</v>
      </c>
      <c r="AT16" s="6">
        <f t="shared" si="39"/>
        <v>-9.9999999999999978E-2</v>
      </c>
      <c r="AU16" s="6">
        <f t="shared" si="39"/>
        <v>-9.9999999999999978E-2</v>
      </c>
    </row>
    <row r="17" spans="1:47" customFormat="1" x14ac:dyDescent="0.25"/>
    <row r="18" spans="1:47" s="5" customFormat="1" x14ac:dyDescent="0.25">
      <c r="A18" s="3"/>
      <c r="B18" s="3" t="s">
        <v>65</v>
      </c>
      <c r="C18" s="5">
        <f t="shared" ref="C18:Y18" si="40">SUM(C9:C12)</f>
        <v>2584</v>
      </c>
      <c r="D18" s="5">
        <f t="shared" si="40"/>
        <v>2768</v>
      </c>
      <c r="E18" s="5">
        <f t="shared" si="40"/>
        <v>2944</v>
      </c>
      <c r="F18" s="5">
        <f t="shared" si="40"/>
        <v>2974</v>
      </c>
      <c r="G18" s="5">
        <f t="shared" si="40"/>
        <v>3099</v>
      </c>
      <c r="H18" s="5">
        <f t="shared" si="40"/>
        <v>3166</v>
      </c>
      <c r="I18" s="5">
        <f t="shared" si="40"/>
        <v>3813</v>
      </c>
      <c r="J18" s="5">
        <f t="shared" si="40"/>
        <v>4069</v>
      </c>
      <c r="K18" s="5">
        <f t="shared" si="40"/>
        <v>3248</v>
      </c>
      <c r="L18" s="5">
        <f t="shared" si="40"/>
        <v>1913</v>
      </c>
      <c r="M18" s="5">
        <f t="shared" si="40"/>
        <v>2813</v>
      </c>
      <c r="N18" s="5">
        <f t="shared" si="40"/>
        <v>3165</v>
      </c>
      <c r="O18" s="5">
        <f t="shared" si="40"/>
        <v>2903</v>
      </c>
      <c r="P18" s="5">
        <f t="shared" si="40"/>
        <v>3929</v>
      </c>
      <c r="Q18" s="5">
        <f t="shared" si="40"/>
        <v>4845</v>
      </c>
      <c r="R18" s="5">
        <f t="shared" si="40"/>
        <v>5778</v>
      </c>
      <c r="S18" s="5">
        <f t="shared" si="40"/>
        <v>6854</v>
      </c>
      <c r="T18" s="5">
        <f t="shared" si="40"/>
        <v>8073</v>
      </c>
      <c r="U18" s="5">
        <f t="shared" si="40"/>
        <v>8343</v>
      </c>
      <c r="V18" s="5">
        <f t="shared" si="40"/>
        <v>8607</v>
      </c>
      <c r="W18" s="5">
        <f t="shared" si="40"/>
        <v>8823</v>
      </c>
      <c r="X18" s="5">
        <f t="shared" si="40"/>
        <v>9230</v>
      </c>
      <c r="Y18" s="5">
        <f t="shared" si="40"/>
        <v>9292</v>
      </c>
      <c r="Z18" s="5">
        <f>SUM(Z9:Z12)</f>
        <v>9936</v>
      </c>
      <c r="AA18" s="5">
        <f t="shared" ref="AA18:AD18" si="41">SUM(AA9:AA12)</f>
        <v>10074.799999999999</v>
      </c>
      <c r="AB18" s="5">
        <f t="shared" si="41"/>
        <v>10631.300000000001</v>
      </c>
      <c r="AC18" s="5">
        <f t="shared" si="41"/>
        <v>10724.65</v>
      </c>
      <c r="AD18" s="5">
        <f t="shared" si="41"/>
        <v>11504.15</v>
      </c>
      <c r="AK18" s="5">
        <f t="shared" ref="AK18:AU18" si="42">SUM(AK9:AK12)</f>
        <v>11270</v>
      </c>
      <c r="AL18" s="5">
        <f t="shared" si="42"/>
        <v>14147</v>
      </c>
      <c r="AM18" s="5">
        <f t="shared" si="42"/>
        <v>11139</v>
      </c>
      <c r="AN18" s="5">
        <f t="shared" si="42"/>
        <v>17455</v>
      </c>
      <c r="AO18" s="5">
        <f t="shared" si="42"/>
        <v>31877</v>
      </c>
      <c r="AP18" s="5">
        <f t="shared" si="42"/>
        <v>37281</v>
      </c>
      <c r="AQ18" s="5">
        <f>SUM(AQ9:AQ12)</f>
        <v>42934.9</v>
      </c>
      <c r="AR18" s="5">
        <f t="shared" si="42"/>
        <v>50002.789999999994</v>
      </c>
      <c r="AS18" s="5">
        <f t="shared" si="42"/>
        <v>57252.129000000008</v>
      </c>
      <c r="AT18" s="5">
        <f t="shared" si="42"/>
        <v>65931.120899999994</v>
      </c>
      <c r="AU18" s="5">
        <f t="shared" si="42"/>
        <v>76298.184089999995</v>
      </c>
    </row>
    <row r="19" spans="1:47" x14ac:dyDescent="0.25">
      <c r="B19" t="s">
        <v>7</v>
      </c>
      <c r="C19" s="2">
        <v>1156</v>
      </c>
      <c r="D19" s="2">
        <v>1342</v>
      </c>
      <c r="E19" s="2">
        <v>1510</v>
      </c>
      <c r="F19" s="2">
        <v>1615</v>
      </c>
      <c r="G19" s="2">
        <v>1681</v>
      </c>
      <c r="H19" s="2">
        <v>1740</v>
      </c>
      <c r="I19" s="2">
        <v>1860</v>
      </c>
      <c r="J19" s="2">
        <v>1927</v>
      </c>
      <c r="K19" s="2">
        <v>1491</v>
      </c>
      <c r="L19" s="2">
        <v>924</v>
      </c>
      <c r="M19" s="2">
        <v>1298</v>
      </c>
      <c r="N19" s="2">
        <v>1441</v>
      </c>
      <c r="O19" s="2">
        <v>1710</v>
      </c>
      <c r="P19" s="2">
        <v>2099</v>
      </c>
      <c r="Q19" s="2">
        <v>2438</v>
      </c>
      <c r="R19" s="2">
        <v>3104</v>
      </c>
      <c r="S19" s="2">
        <v>4026</v>
      </c>
      <c r="T19" s="2">
        <v>5153</v>
      </c>
      <c r="U19" s="2">
        <v>5173</v>
      </c>
      <c r="V19" s="2">
        <v>5307</v>
      </c>
      <c r="W19" s="2">
        <v>5259</v>
      </c>
      <c r="X19" s="2">
        <v>5515</v>
      </c>
      <c r="Y19" s="2">
        <v>5626</v>
      </c>
      <c r="Z19" s="2">
        <v>6057</v>
      </c>
      <c r="AA19" s="2">
        <f>W19*1.15</f>
        <v>6047.8499999999995</v>
      </c>
      <c r="AB19" s="2">
        <f t="shared" ref="AB19:AD19" si="43">X19*1.15</f>
        <v>6342.2499999999991</v>
      </c>
      <c r="AC19" s="2">
        <f t="shared" si="43"/>
        <v>6469.9</v>
      </c>
      <c r="AD19" s="2">
        <f t="shared" si="43"/>
        <v>6965.5499999999993</v>
      </c>
      <c r="AK19" s="2">
        <f>SUM(C19:F19)</f>
        <v>5623</v>
      </c>
      <c r="AL19" s="2">
        <f>SUM(G19:J19)</f>
        <v>7208</v>
      </c>
      <c r="AM19" s="2">
        <f>SUM(K19:N19)</f>
        <v>5154</v>
      </c>
      <c r="AN19" s="2">
        <f>SUM(O19:R19)</f>
        <v>9351</v>
      </c>
      <c r="AO19" s="2">
        <f>SUM(S19:V19)</f>
        <v>19659</v>
      </c>
      <c r="AP19" s="2">
        <f>SUM(W19:Z19)</f>
        <v>22457</v>
      </c>
      <c r="AQ19" s="2">
        <f>SUM(AA19:AD19)</f>
        <v>25825.55</v>
      </c>
      <c r="AR19" s="2">
        <f>AQ19*1.15</f>
        <v>29699.382499999996</v>
      </c>
      <c r="AS19" s="2">
        <f t="shared" ref="AS19:AU19" si="44">AR19*1.15</f>
        <v>34154.289874999995</v>
      </c>
      <c r="AT19" s="2">
        <f t="shared" si="44"/>
        <v>39277.433356249989</v>
      </c>
      <c r="AU19" s="2">
        <f t="shared" si="44"/>
        <v>45169.048359687484</v>
      </c>
    </row>
    <row r="20" spans="1:47" s="5" customFormat="1" x14ac:dyDescent="0.25">
      <c r="A20" s="3"/>
      <c r="B20" s="3" t="s">
        <v>8</v>
      </c>
      <c r="C20" s="5">
        <f>C18-C19</f>
        <v>1428</v>
      </c>
      <c r="D20" s="5">
        <f t="shared" ref="D20:Y20" si="45">D18-D19</f>
        <v>1426</v>
      </c>
      <c r="E20" s="5">
        <f t="shared" si="45"/>
        <v>1434</v>
      </c>
      <c r="F20" s="5">
        <f t="shared" si="45"/>
        <v>1359</v>
      </c>
      <c r="G20" s="5">
        <f t="shared" si="45"/>
        <v>1418</v>
      </c>
      <c r="H20" s="5">
        <f t="shared" si="45"/>
        <v>1426</v>
      </c>
      <c r="I20" s="5">
        <f t="shared" si="45"/>
        <v>1953</v>
      </c>
      <c r="J20" s="5">
        <f t="shared" si="45"/>
        <v>2142</v>
      </c>
      <c r="K20" s="5">
        <f t="shared" si="45"/>
        <v>1757</v>
      </c>
      <c r="L20" s="5">
        <f t="shared" si="45"/>
        <v>989</v>
      </c>
      <c r="M20" s="5">
        <f t="shared" si="45"/>
        <v>1515</v>
      </c>
      <c r="N20" s="5">
        <f t="shared" si="45"/>
        <v>1724</v>
      </c>
      <c r="O20" s="5">
        <f t="shared" si="45"/>
        <v>1193</v>
      </c>
      <c r="P20" s="5">
        <f t="shared" si="45"/>
        <v>1830</v>
      </c>
      <c r="Q20" s="5">
        <f t="shared" si="45"/>
        <v>2407</v>
      </c>
      <c r="R20" s="5">
        <f t="shared" si="45"/>
        <v>2674</v>
      </c>
      <c r="S20" s="5">
        <f t="shared" si="45"/>
        <v>2828</v>
      </c>
      <c r="T20" s="5">
        <f t="shared" si="45"/>
        <v>2920</v>
      </c>
      <c r="U20" s="5">
        <f t="shared" si="45"/>
        <v>3170</v>
      </c>
      <c r="V20" s="5">
        <f t="shared" si="45"/>
        <v>3300</v>
      </c>
      <c r="W20" s="5">
        <f t="shared" si="45"/>
        <v>3564</v>
      </c>
      <c r="X20" s="5">
        <f t="shared" si="45"/>
        <v>3715</v>
      </c>
      <c r="Y20" s="5">
        <f t="shared" si="45"/>
        <v>3666</v>
      </c>
      <c r="Z20" s="5">
        <f>Z18-Z19</f>
        <v>3879</v>
      </c>
      <c r="AA20" s="5">
        <f t="shared" ref="AA20:AD20" si="46">AA18-AA19</f>
        <v>4026.95</v>
      </c>
      <c r="AB20" s="5">
        <f t="shared" si="46"/>
        <v>4289.050000000002</v>
      </c>
      <c r="AC20" s="5">
        <f t="shared" si="46"/>
        <v>4254.75</v>
      </c>
      <c r="AD20" s="5">
        <f t="shared" si="46"/>
        <v>4538.6000000000004</v>
      </c>
      <c r="AK20" s="5">
        <f t="shared" ref="AK20:AO20" si="47">AK18-AK19</f>
        <v>5647</v>
      </c>
      <c r="AL20" s="5">
        <f t="shared" si="47"/>
        <v>6939</v>
      </c>
      <c r="AM20" s="5">
        <f t="shared" si="47"/>
        <v>5985</v>
      </c>
      <c r="AN20" s="5">
        <f t="shared" si="47"/>
        <v>8104</v>
      </c>
      <c r="AO20" s="5">
        <f t="shared" si="47"/>
        <v>12218</v>
      </c>
      <c r="AP20" s="5">
        <f>AP18-AP19</f>
        <v>14824</v>
      </c>
      <c r="AQ20" s="5">
        <f t="shared" ref="AQ20:AU20" si="48">AQ18-AQ19</f>
        <v>17109.350000000002</v>
      </c>
      <c r="AR20" s="5">
        <f t="shared" si="48"/>
        <v>20303.407499999998</v>
      </c>
      <c r="AS20" s="5">
        <f t="shared" si="48"/>
        <v>23097.839125000013</v>
      </c>
      <c r="AT20" s="5">
        <f t="shared" si="48"/>
        <v>26653.687543750006</v>
      </c>
      <c r="AU20" s="5">
        <f t="shared" si="48"/>
        <v>31129.135730312511</v>
      </c>
    </row>
    <row r="21" spans="1:47" x14ac:dyDescent="0.25">
      <c r="B21" t="s">
        <v>9</v>
      </c>
      <c r="C21" s="2">
        <v>372</v>
      </c>
      <c r="D21" s="2">
        <v>349</v>
      </c>
      <c r="E21" s="2">
        <v>387</v>
      </c>
      <c r="F21" s="2">
        <v>408</v>
      </c>
      <c r="G21" s="2">
        <v>434</v>
      </c>
      <c r="H21" s="2">
        <v>864</v>
      </c>
      <c r="I21" s="2">
        <v>498</v>
      </c>
      <c r="J21" s="2">
        <v>506</v>
      </c>
      <c r="K21" s="2">
        <v>503</v>
      </c>
      <c r="L21" s="2">
        <v>582</v>
      </c>
      <c r="M21" s="2">
        <v>365</v>
      </c>
      <c r="N21" s="2">
        <v>369</v>
      </c>
      <c r="O21" s="2">
        <v>423</v>
      </c>
      <c r="P21" s="2">
        <v>432</v>
      </c>
      <c r="Q21" s="2">
        <v>475</v>
      </c>
      <c r="R21" s="2">
        <v>547</v>
      </c>
      <c r="S21" s="2">
        <v>574</v>
      </c>
      <c r="T21" s="2">
        <v>617</v>
      </c>
      <c r="U21" s="2">
        <v>617</v>
      </c>
      <c r="V21" s="2">
        <v>605</v>
      </c>
      <c r="W21" s="2">
        <v>640</v>
      </c>
      <c r="X21" s="2">
        <v>664</v>
      </c>
      <c r="Y21" s="2">
        <v>683</v>
      </c>
      <c r="Z21" s="2">
        <v>702</v>
      </c>
      <c r="AA21" s="2">
        <f>W21*1.05</f>
        <v>672</v>
      </c>
      <c r="AB21" s="2">
        <f t="shared" ref="AB21:AB24" si="49">X21*1.05</f>
        <v>697.2</v>
      </c>
      <c r="AC21" s="2">
        <f t="shared" ref="AC21:AC24" si="50">Y21*1.05</f>
        <v>717.15</v>
      </c>
      <c r="AD21" s="2">
        <f t="shared" ref="AD21:AD24" si="51">Z21*1.05</f>
        <v>737.1</v>
      </c>
      <c r="AK21" s="2">
        <f t="shared" ref="AK21:AK24" si="52">SUM(C21:F21)</f>
        <v>1516</v>
      </c>
      <c r="AL21" s="2">
        <f t="shared" ref="AL21:AL24" si="53">SUM(G21:J21)</f>
        <v>2302</v>
      </c>
      <c r="AM21" s="2">
        <f t="shared" ref="AM21:AM24" si="54">SUM(K21:N21)</f>
        <v>1819</v>
      </c>
      <c r="AN21" s="2">
        <f t="shared" ref="AN21:AN24" si="55">SUM(O21:R21)</f>
        <v>1877</v>
      </c>
      <c r="AO21" s="2">
        <f t="shared" ref="AO21:AO24" si="56">SUM(S21:V21)</f>
        <v>2413</v>
      </c>
      <c r="AP21" s="2">
        <f>SUM(W21:Z21)</f>
        <v>2689</v>
      </c>
      <c r="AQ21" s="2">
        <f t="shared" ref="AQ21:AQ24" si="57">SUM(AA21:AD21)</f>
        <v>2823.45</v>
      </c>
      <c r="AR21" s="2">
        <f>AQ21*1.05</f>
        <v>2964.6224999999999</v>
      </c>
      <c r="AS21" s="2">
        <f t="shared" ref="AS21:AU21" si="58">AR21*1.05</f>
        <v>3112.8536250000002</v>
      </c>
      <c r="AT21" s="2">
        <f t="shared" si="58"/>
        <v>3268.4963062500005</v>
      </c>
      <c r="AU21" s="2">
        <f t="shared" si="58"/>
        <v>3431.9211215625005</v>
      </c>
    </row>
    <row r="22" spans="1:47" x14ac:dyDescent="0.25">
      <c r="B22" t="s">
        <v>10</v>
      </c>
      <c r="C22" s="2">
        <v>677</v>
      </c>
      <c r="D22" s="2">
        <v>715</v>
      </c>
      <c r="E22" s="2">
        <v>785</v>
      </c>
      <c r="F22" s="2">
        <v>974</v>
      </c>
      <c r="G22" s="2">
        <v>1040</v>
      </c>
      <c r="H22" s="2">
        <v>1222</v>
      </c>
      <c r="I22" s="2">
        <v>1113</v>
      </c>
      <c r="J22" s="2">
        <v>1251</v>
      </c>
      <c r="K22" s="2">
        <v>885</v>
      </c>
      <c r="L22" s="2">
        <v>736</v>
      </c>
      <c r="M22" s="2">
        <v>924</v>
      </c>
      <c r="N22" s="2">
        <v>1038</v>
      </c>
      <c r="O22" s="2">
        <v>1103</v>
      </c>
      <c r="P22" s="2">
        <v>1256</v>
      </c>
      <c r="Q22" s="2">
        <v>1168</v>
      </c>
      <c r="R22" s="2">
        <v>1262</v>
      </c>
      <c r="S22" s="2">
        <v>1263</v>
      </c>
      <c r="T22" s="2">
        <v>1218</v>
      </c>
      <c r="U22" s="2">
        <v>1153</v>
      </c>
      <c r="V22" s="2">
        <v>1122</v>
      </c>
      <c r="W22" s="2">
        <v>1262</v>
      </c>
      <c r="X22" s="2">
        <v>1218</v>
      </c>
      <c r="Y22" s="2">
        <v>941</v>
      </c>
      <c r="Z22" s="2">
        <v>935</v>
      </c>
      <c r="AA22" s="2">
        <f t="shared" ref="AA22:AA24" si="59">W22*1.05</f>
        <v>1325.1000000000001</v>
      </c>
      <c r="AB22" s="2">
        <f t="shared" si="49"/>
        <v>1278.9000000000001</v>
      </c>
      <c r="AC22" s="2">
        <f t="shared" si="50"/>
        <v>988.05000000000007</v>
      </c>
      <c r="AD22" s="2">
        <f t="shared" si="51"/>
        <v>981.75</v>
      </c>
      <c r="AK22" s="2">
        <f t="shared" si="52"/>
        <v>3151</v>
      </c>
      <c r="AL22" s="2">
        <f t="shared" si="53"/>
        <v>4626</v>
      </c>
      <c r="AM22" s="2">
        <f t="shared" si="54"/>
        <v>3583</v>
      </c>
      <c r="AN22" s="2">
        <f t="shared" si="55"/>
        <v>4789</v>
      </c>
      <c r="AO22" s="2">
        <f t="shared" si="56"/>
        <v>4756</v>
      </c>
      <c r="AP22" s="2">
        <f t="shared" ref="AP22:AP24" si="60">SUM(W22:Z22)</f>
        <v>4356</v>
      </c>
      <c r="AQ22" s="2">
        <f t="shared" si="57"/>
        <v>4573.8</v>
      </c>
      <c r="AR22" s="2">
        <f t="shared" ref="AR22:AU22" si="61">AQ22*1.05</f>
        <v>4802.4900000000007</v>
      </c>
      <c r="AS22" s="2">
        <f t="shared" si="61"/>
        <v>5042.6145000000006</v>
      </c>
      <c r="AT22" s="2">
        <f t="shared" si="61"/>
        <v>5294.7452250000006</v>
      </c>
      <c r="AU22" s="2">
        <f t="shared" si="61"/>
        <v>5559.4824862500009</v>
      </c>
    </row>
    <row r="23" spans="1:47" x14ac:dyDescent="0.25">
      <c r="B23" t="s">
        <v>11</v>
      </c>
      <c r="C23" s="2">
        <v>340</v>
      </c>
      <c r="D23" s="2">
        <v>365</v>
      </c>
      <c r="E23" s="2">
        <v>434</v>
      </c>
      <c r="F23" s="2">
        <v>366</v>
      </c>
      <c r="G23" s="2">
        <v>409</v>
      </c>
      <c r="H23" s="2">
        <v>3064</v>
      </c>
      <c r="I23" s="2">
        <v>755</v>
      </c>
      <c r="J23" s="2">
        <v>608</v>
      </c>
      <c r="K23" s="2">
        <v>645</v>
      </c>
      <c r="L23" s="2">
        <v>584</v>
      </c>
      <c r="M23" s="2">
        <v>493</v>
      </c>
      <c r="N23" s="2">
        <v>483</v>
      </c>
      <c r="O23" s="2">
        <v>515</v>
      </c>
      <c r="P23" s="2">
        <v>488</v>
      </c>
      <c r="Q23" s="2">
        <v>493</v>
      </c>
      <c r="R23" s="2">
        <v>558</v>
      </c>
      <c r="S23" s="2">
        <v>587</v>
      </c>
      <c r="T23" s="2">
        <v>704</v>
      </c>
      <c r="U23" s="2">
        <v>760</v>
      </c>
      <c r="V23" s="2">
        <v>747</v>
      </c>
      <c r="W23" s="2">
        <v>775</v>
      </c>
      <c r="X23" s="2">
        <v>808</v>
      </c>
      <c r="Y23" s="2">
        <v>797</v>
      </c>
      <c r="Z23" s="2">
        <v>784</v>
      </c>
      <c r="AA23" s="2">
        <f t="shared" si="59"/>
        <v>813.75</v>
      </c>
      <c r="AB23" s="2">
        <f t="shared" si="49"/>
        <v>848.40000000000009</v>
      </c>
      <c r="AC23" s="2">
        <f t="shared" si="50"/>
        <v>836.85</v>
      </c>
      <c r="AD23" s="2">
        <f t="shared" si="51"/>
        <v>823.2</v>
      </c>
      <c r="AK23" s="2">
        <f t="shared" si="52"/>
        <v>1505</v>
      </c>
      <c r="AL23" s="2">
        <f t="shared" si="53"/>
        <v>4836</v>
      </c>
      <c r="AM23" s="2">
        <f t="shared" si="54"/>
        <v>2205</v>
      </c>
      <c r="AN23" s="2">
        <f t="shared" si="55"/>
        <v>2054</v>
      </c>
      <c r="AO23" s="2">
        <f t="shared" si="56"/>
        <v>2798</v>
      </c>
      <c r="AP23" s="2">
        <f t="shared" si="60"/>
        <v>3164</v>
      </c>
      <c r="AQ23" s="2">
        <f t="shared" si="57"/>
        <v>3322.2</v>
      </c>
      <c r="AR23" s="2">
        <f t="shared" ref="AR23:AU23" si="62">AQ23*1.05</f>
        <v>3488.31</v>
      </c>
      <c r="AS23" s="2">
        <f t="shared" si="62"/>
        <v>3662.7255</v>
      </c>
      <c r="AT23" s="2">
        <f t="shared" si="62"/>
        <v>3845.8617750000003</v>
      </c>
      <c r="AU23" s="2">
        <f t="shared" si="62"/>
        <v>4038.1548637500005</v>
      </c>
    </row>
    <row r="24" spans="1:47" x14ac:dyDescent="0.25">
      <c r="B24" t="s">
        <v>12</v>
      </c>
      <c r="C24" s="2">
        <v>429</v>
      </c>
      <c r="D24" s="2">
        <v>638</v>
      </c>
      <c r="E24" s="2">
        <v>460</v>
      </c>
      <c r="F24" s="2">
        <v>555</v>
      </c>
      <c r="G24" s="2">
        <v>423</v>
      </c>
      <c r="H24" s="2">
        <v>1638</v>
      </c>
      <c r="I24" s="2">
        <v>591</v>
      </c>
      <c r="J24" s="2">
        <v>647</v>
      </c>
      <c r="K24" s="2">
        <v>859</v>
      </c>
      <c r="L24" s="2">
        <v>565</v>
      </c>
      <c r="M24" s="2">
        <v>711</v>
      </c>
      <c r="N24" s="2">
        <v>531</v>
      </c>
      <c r="O24" s="2">
        <v>464</v>
      </c>
      <c r="P24" s="2">
        <v>616</v>
      </c>
      <c r="Q24" s="2">
        <v>625</v>
      </c>
      <c r="R24" s="2">
        <v>611</v>
      </c>
      <c r="S24" s="2">
        <v>632</v>
      </c>
      <c r="T24" s="2">
        <v>851</v>
      </c>
      <c r="U24" s="2">
        <v>908</v>
      </c>
      <c r="V24" s="2">
        <v>745</v>
      </c>
      <c r="W24" s="2">
        <v>942</v>
      </c>
      <c r="X24" s="2">
        <v>491</v>
      </c>
      <c r="Y24" s="2">
        <v>646</v>
      </c>
      <c r="Z24" s="2">
        <v>603</v>
      </c>
      <c r="AA24" s="2">
        <f t="shared" si="59"/>
        <v>989.1</v>
      </c>
      <c r="AB24" s="2">
        <f t="shared" si="49"/>
        <v>515.55000000000007</v>
      </c>
      <c r="AC24" s="2">
        <f t="shared" si="50"/>
        <v>678.30000000000007</v>
      </c>
      <c r="AD24" s="2">
        <f t="shared" si="51"/>
        <v>633.15</v>
      </c>
      <c r="AK24" s="2">
        <f t="shared" si="52"/>
        <v>2082</v>
      </c>
      <c r="AL24" s="2">
        <f t="shared" si="53"/>
        <v>3299</v>
      </c>
      <c r="AM24" s="2">
        <f t="shared" si="54"/>
        <v>2666</v>
      </c>
      <c r="AN24" s="2">
        <f t="shared" si="55"/>
        <v>2316</v>
      </c>
      <c r="AO24" s="2">
        <f t="shared" si="56"/>
        <v>3136</v>
      </c>
      <c r="AP24" s="2">
        <f t="shared" si="60"/>
        <v>2682</v>
      </c>
      <c r="AQ24" s="2">
        <f t="shared" si="57"/>
        <v>2816.1000000000004</v>
      </c>
      <c r="AR24" s="2">
        <f t="shared" ref="AR24:AU24" si="63">AQ24*1.05</f>
        <v>2956.9050000000007</v>
      </c>
      <c r="AS24" s="2">
        <f t="shared" si="63"/>
        <v>3104.750250000001</v>
      </c>
      <c r="AT24" s="2">
        <f t="shared" si="63"/>
        <v>3259.9877625000013</v>
      </c>
      <c r="AU24" s="2">
        <f t="shared" si="63"/>
        <v>3422.9871506250015</v>
      </c>
    </row>
    <row r="25" spans="1:47" s="5" customFormat="1" x14ac:dyDescent="0.25">
      <c r="A25" s="3"/>
      <c r="B25" s="3" t="s">
        <v>13</v>
      </c>
      <c r="C25" s="5">
        <f t="shared" ref="C25:Y25" si="64">SUM(C21:C24)</f>
        <v>1818</v>
      </c>
      <c r="D25" s="5">
        <f t="shared" si="64"/>
        <v>2067</v>
      </c>
      <c r="E25" s="5">
        <f t="shared" si="64"/>
        <v>2066</v>
      </c>
      <c r="F25" s="5">
        <f t="shared" si="64"/>
        <v>2303</v>
      </c>
      <c r="G25" s="5">
        <f t="shared" si="64"/>
        <v>2306</v>
      </c>
      <c r="H25" s="5">
        <f t="shared" si="64"/>
        <v>6788</v>
      </c>
      <c r="I25" s="5">
        <f t="shared" si="64"/>
        <v>2957</v>
      </c>
      <c r="J25" s="5">
        <f t="shared" si="64"/>
        <v>3012</v>
      </c>
      <c r="K25" s="5">
        <f t="shared" si="64"/>
        <v>2892</v>
      </c>
      <c r="L25" s="5">
        <f t="shared" si="64"/>
        <v>2467</v>
      </c>
      <c r="M25" s="5">
        <f t="shared" si="64"/>
        <v>2493</v>
      </c>
      <c r="N25" s="5">
        <f t="shared" si="64"/>
        <v>2421</v>
      </c>
      <c r="O25" s="5">
        <f t="shared" si="64"/>
        <v>2505</v>
      </c>
      <c r="P25" s="5">
        <f t="shared" si="64"/>
        <v>2792</v>
      </c>
      <c r="Q25" s="5">
        <f t="shared" si="64"/>
        <v>2761</v>
      </c>
      <c r="R25" s="5">
        <f t="shared" si="64"/>
        <v>2978</v>
      </c>
      <c r="S25" s="5">
        <f t="shared" si="64"/>
        <v>3056</v>
      </c>
      <c r="T25" s="5">
        <f t="shared" si="64"/>
        <v>3390</v>
      </c>
      <c r="U25" s="5">
        <f t="shared" si="64"/>
        <v>3438</v>
      </c>
      <c r="V25" s="5">
        <f t="shared" si="64"/>
        <v>3219</v>
      </c>
      <c r="W25" s="5">
        <f t="shared" si="64"/>
        <v>3619</v>
      </c>
      <c r="X25" s="5">
        <f t="shared" si="64"/>
        <v>3181</v>
      </c>
      <c r="Y25" s="5">
        <f t="shared" si="64"/>
        <v>3067</v>
      </c>
      <c r="Z25" s="5">
        <f>SUM(Z21:Z24)</f>
        <v>3024</v>
      </c>
      <c r="AA25" s="5">
        <f t="shared" ref="AA25:AD25" si="65">SUM(AA21:AA24)</f>
        <v>3799.9500000000003</v>
      </c>
      <c r="AB25" s="5">
        <f t="shared" si="65"/>
        <v>3340.05</v>
      </c>
      <c r="AC25" s="5">
        <f t="shared" si="65"/>
        <v>3220.3500000000004</v>
      </c>
      <c r="AD25" s="5">
        <f t="shared" si="65"/>
        <v>3175.2000000000003</v>
      </c>
      <c r="AK25" s="5">
        <f t="shared" ref="AK25:AO25" si="66">SUM(AK21:AK24)</f>
        <v>8254</v>
      </c>
      <c r="AL25" s="5">
        <f t="shared" si="66"/>
        <v>15063</v>
      </c>
      <c r="AM25" s="5">
        <f t="shared" si="66"/>
        <v>10273</v>
      </c>
      <c r="AN25" s="5">
        <f t="shared" si="66"/>
        <v>11036</v>
      </c>
      <c r="AO25" s="5">
        <f t="shared" si="66"/>
        <v>13103</v>
      </c>
      <c r="AP25" s="5">
        <f>SUM(AP21:AP24)</f>
        <v>12891</v>
      </c>
      <c r="AQ25" s="5">
        <f t="shared" ref="AQ25:AU25" si="67">SUM(AQ21:AQ24)</f>
        <v>13535.550000000001</v>
      </c>
      <c r="AR25" s="5">
        <f t="shared" si="67"/>
        <v>14212.327500000001</v>
      </c>
      <c r="AS25" s="5">
        <f t="shared" si="67"/>
        <v>14922.943875000003</v>
      </c>
      <c r="AT25" s="5">
        <f t="shared" si="67"/>
        <v>15669.091068750004</v>
      </c>
      <c r="AU25" s="5">
        <f t="shared" si="67"/>
        <v>16452.545622187503</v>
      </c>
    </row>
    <row r="26" spans="1:47" s="5" customFormat="1" x14ac:dyDescent="0.25">
      <c r="A26" s="3"/>
      <c r="B26" s="3" t="s">
        <v>14</v>
      </c>
      <c r="C26" s="5">
        <f t="shared" ref="C26:Y26" si="68">C20-C25</f>
        <v>-390</v>
      </c>
      <c r="D26" s="5">
        <f t="shared" si="68"/>
        <v>-641</v>
      </c>
      <c r="E26" s="5">
        <f t="shared" si="68"/>
        <v>-632</v>
      </c>
      <c r="F26" s="5">
        <f t="shared" si="68"/>
        <v>-944</v>
      </c>
      <c r="G26" s="5">
        <f t="shared" si="68"/>
        <v>-888</v>
      </c>
      <c r="H26" s="5">
        <f t="shared" si="68"/>
        <v>-5362</v>
      </c>
      <c r="I26" s="5">
        <f t="shared" si="68"/>
        <v>-1004</v>
      </c>
      <c r="J26" s="5">
        <f t="shared" si="68"/>
        <v>-870</v>
      </c>
      <c r="K26" s="5">
        <f t="shared" si="68"/>
        <v>-1135</v>
      </c>
      <c r="L26" s="5">
        <f t="shared" si="68"/>
        <v>-1478</v>
      </c>
      <c r="M26" s="5">
        <f t="shared" si="68"/>
        <v>-978</v>
      </c>
      <c r="N26" s="5">
        <f t="shared" si="68"/>
        <v>-697</v>
      </c>
      <c r="O26" s="5">
        <f t="shared" si="68"/>
        <v>-1312</v>
      </c>
      <c r="P26" s="5">
        <f t="shared" si="68"/>
        <v>-962</v>
      </c>
      <c r="Q26" s="5">
        <f t="shared" si="68"/>
        <v>-354</v>
      </c>
      <c r="R26" s="5">
        <f t="shared" si="68"/>
        <v>-304</v>
      </c>
      <c r="S26" s="5">
        <f t="shared" si="68"/>
        <v>-228</v>
      </c>
      <c r="T26" s="5">
        <f t="shared" si="68"/>
        <v>-470</v>
      </c>
      <c r="U26" s="5">
        <f t="shared" si="68"/>
        <v>-268</v>
      </c>
      <c r="V26" s="5">
        <f t="shared" si="68"/>
        <v>81</v>
      </c>
      <c r="W26" s="5">
        <f t="shared" si="68"/>
        <v>-55</v>
      </c>
      <c r="X26" s="5">
        <f t="shared" si="68"/>
        <v>534</v>
      </c>
      <c r="Y26" s="5">
        <f t="shared" si="68"/>
        <v>599</v>
      </c>
      <c r="Z26" s="5">
        <f>Z20-Z25</f>
        <v>855</v>
      </c>
      <c r="AA26" s="5">
        <f t="shared" ref="AA26:AD26" si="69">AA20-AA25</f>
        <v>226.99999999999955</v>
      </c>
      <c r="AB26" s="5">
        <f t="shared" si="69"/>
        <v>949.00000000000182</v>
      </c>
      <c r="AC26" s="5">
        <f t="shared" si="69"/>
        <v>1034.3999999999996</v>
      </c>
      <c r="AD26" s="5">
        <f t="shared" si="69"/>
        <v>1363.4</v>
      </c>
      <c r="AK26" s="5">
        <f t="shared" ref="AK26:AO26" si="70">AK20-AK25</f>
        <v>-2607</v>
      </c>
      <c r="AL26" s="5">
        <f t="shared" si="70"/>
        <v>-8124</v>
      </c>
      <c r="AM26" s="5">
        <f t="shared" si="70"/>
        <v>-4288</v>
      </c>
      <c r="AN26" s="5">
        <f t="shared" si="70"/>
        <v>-2932</v>
      </c>
      <c r="AO26" s="5">
        <f t="shared" si="70"/>
        <v>-885</v>
      </c>
      <c r="AP26" s="5">
        <f>AP20-AP25</f>
        <v>1933</v>
      </c>
      <c r="AQ26" s="5">
        <f t="shared" ref="AQ26:AU26" si="71">AQ20-AQ25</f>
        <v>3573.8000000000011</v>
      </c>
      <c r="AR26" s="5">
        <f t="shared" si="71"/>
        <v>6091.0799999999963</v>
      </c>
      <c r="AS26" s="5">
        <f t="shared" si="71"/>
        <v>8174.8952500000105</v>
      </c>
      <c r="AT26" s="5">
        <f t="shared" si="71"/>
        <v>10984.596475000002</v>
      </c>
      <c r="AU26" s="5">
        <f t="shared" si="71"/>
        <v>14676.590108125009</v>
      </c>
    </row>
    <row r="27" spans="1:47" x14ac:dyDescent="0.25">
      <c r="B27" t="s">
        <v>15</v>
      </c>
      <c r="C27" s="2">
        <v>132</v>
      </c>
      <c r="D27" s="2">
        <v>160</v>
      </c>
      <c r="E27" s="2">
        <v>161</v>
      </c>
      <c r="F27" s="2">
        <v>195</v>
      </c>
      <c r="G27" s="2">
        <v>217</v>
      </c>
      <c r="H27" s="2">
        <v>151</v>
      </c>
      <c r="I27" s="2">
        <v>90</v>
      </c>
      <c r="J27" s="2">
        <v>101</v>
      </c>
      <c r="K27" s="2">
        <v>118</v>
      </c>
      <c r="L27" s="2">
        <v>110</v>
      </c>
      <c r="M27" s="2">
        <v>112</v>
      </c>
      <c r="N27" s="2">
        <v>118</v>
      </c>
      <c r="O27" s="2">
        <v>115</v>
      </c>
      <c r="P27" s="2">
        <v>115</v>
      </c>
      <c r="Q27" s="2">
        <v>123</v>
      </c>
      <c r="R27" s="2">
        <v>130</v>
      </c>
      <c r="S27" s="2">
        <v>129</v>
      </c>
      <c r="T27" s="2">
        <v>139</v>
      </c>
      <c r="U27" s="2">
        <v>146</v>
      </c>
      <c r="V27" s="2">
        <v>151</v>
      </c>
      <c r="W27" s="2">
        <v>168</v>
      </c>
      <c r="X27" s="2">
        <v>144</v>
      </c>
      <c r="Y27" s="2">
        <v>166</v>
      </c>
      <c r="Z27" s="2">
        <v>155</v>
      </c>
      <c r="AA27" s="2">
        <f>W27*0.99</f>
        <v>166.32</v>
      </c>
      <c r="AB27" s="2">
        <f t="shared" ref="AB27:AD27" si="72">X27*0.99</f>
        <v>142.56</v>
      </c>
      <c r="AC27" s="2">
        <f t="shared" si="72"/>
        <v>164.34</v>
      </c>
      <c r="AD27" s="2">
        <f t="shared" si="72"/>
        <v>153.44999999999999</v>
      </c>
      <c r="AK27" s="2">
        <f t="shared" ref="AK27:AK28" si="73">SUM(C27:F27)</f>
        <v>648</v>
      </c>
      <c r="AL27" s="2">
        <f t="shared" ref="AL27:AL28" si="74">SUM(G27:J27)</f>
        <v>559</v>
      </c>
      <c r="AM27" s="2">
        <f t="shared" ref="AM27:AM28" si="75">SUM(K27:N27)</f>
        <v>458</v>
      </c>
      <c r="AN27" s="2">
        <f t="shared" ref="AN27:AN28" si="76">SUM(O27:R27)</f>
        <v>483</v>
      </c>
      <c r="AO27" s="2">
        <f t="shared" ref="AO27:AO28" si="77">SUM(S27:V27)</f>
        <v>565</v>
      </c>
      <c r="AP27" s="2">
        <f t="shared" ref="AP27:AP28" si="78">SUM(W27:Z27)</f>
        <v>633</v>
      </c>
      <c r="AQ27" s="2">
        <f t="shared" ref="AQ27:AQ28" si="79">SUM(AA27:AD27)</f>
        <v>626.67000000000007</v>
      </c>
      <c r="AR27" s="2">
        <f>AQ27*1.01</f>
        <v>632.93670000000009</v>
      </c>
      <c r="AS27" s="2">
        <f t="shared" ref="AS27:AU27" si="80">AR27*1.01</f>
        <v>639.26606700000013</v>
      </c>
      <c r="AT27" s="2">
        <f t="shared" si="80"/>
        <v>645.65872767000019</v>
      </c>
      <c r="AU27" s="2">
        <f t="shared" si="80"/>
        <v>652.11531494670021</v>
      </c>
    </row>
    <row r="28" spans="1:47" x14ac:dyDescent="0.25">
      <c r="B28" t="s">
        <v>16</v>
      </c>
      <c r="C28" s="2">
        <v>4937</v>
      </c>
      <c r="D28" s="2">
        <v>63</v>
      </c>
      <c r="E28" s="2">
        <v>-54</v>
      </c>
      <c r="F28" s="2">
        <v>47</v>
      </c>
      <c r="G28" s="2">
        <v>260</v>
      </c>
      <c r="H28" s="2">
        <v>398</v>
      </c>
      <c r="I28" s="2">
        <v>49</v>
      </c>
      <c r="J28" s="2">
        <v>15</v>
      </c>
      <c r="K28" s="2">
        <v>-1795</v>
      </c>
      <c r="L28" s="2">
        <v>-44</v>
      </c>
      <c r="M28" s="2">
        <v>151</v>
      </c>
      <c r="N28" s="2">
        <v>63</v>
      </c>
      <c r="O28" s="2">
        <v>1710</v>
      </c>
      <c r="P28" s="2">
        <v>1943</v>
      </c>
      <c r="Q28" s="2">
        <v>-1832</v>
      </c>
      <c r="R28" s="2">
        <v>1471</v>
      </c>
      <c r="S28" s="2">
        <v>-5557</v>
      </c>
      <c r="T28" s="2">
        <v>-1704</v>
      </c>
      <c r="U28" s="2">
        <v>-535</v>
      </c>
      <c r="V28" s="2">
        <v>767</v>
      </c>
      <c r="W28" s="2">
        <v>292</v>
      </c>
      <c r="X28" s="2">
        <v>273</v>
      </c>
      <c r="Y28" s="2">
        <v>-52</v>
      </c>
      <c r="Z28" s="2">
        <v>1331</v>
      </c>
      <c r="AA28" s="2">
        <f>W28*1.01</f>
        <v>294.92</v>
      </c>
      <c r="AB28" s="2">
        <f t="shared" ref="AB28:AD28" si="81">X28*1.01</f>
        <v>275.73</v>
      </c>
      <c r="AC28" s="2">
        <f t="shared" si="81"/>
        <v>-52.52</v>
      </c>
      <c r="AD28" s="2">
        <f t="shared" si="81"/>
        <v>1344.31</v>
      </c>
      <c r="AK28" s="2">
        <f t="shared" si="73"/>
        <v>4993</v>
      </c>
      <c r="AL28" s="2">
        <f t="shared" si="74"/>
        <v>722</v>
      </c>
      <c r="AM28" s="2">
        <f t="shared" si="75"/>
        <v>-1625</v>
      </c>
      <c r="AN28" s="2">
        <f t="shared" si="76"/>
        <v>3292</v>
      </c>
      <c r="AO28" s="2">
        <f t="shared" si="77"/>
        <v>-7029</v>
      </c>
      <c r="AP28" s="2">
        <f t="shared" si="78"/>
        <v>1844</v>
      </c>
      <c r="AQ28" s="2">
        <f t="shared" si="79"/>
        <v>1862.44</v>
      </c>
      <c r="AR28" s="2">
        <f t="shared" ref="AR28:AU28" si="82">AQ28*1.01</f>
        <v>1881.0644</v>
      </c>
      <c r="AS28" s="2">
        <f t="shared" si="82"/>
        <v>1899.8750439999999</v>
      </c>
      <c r="AT28" s="2">
        <f t="shared" si="82"/>
        <v>1918.87379444</v>
      </c>
      <c r="AU28" s="2">
        <f t="shared" si="82"/>
        <v>1938.0625323843999</v>
      </c>
    </row>
    <row r="29" spans="1:47" s="5" customFormat="1" x14ac:dyDescent="0.25">
      <c r="A29" s="3"/>
      <c r="B29" s="3" t="s">
        <v>17</v>
      </c>
      <c r="C29" s="5">
        <f t="shared" ref="C29:Y29" si="83">C26-C27+C28</f>
        <v>4415</v>
      </c>
      <c r="D29" s="5">
        <f t="shared" si="83"/>
        <v>-738</v>
      </c>
      <c r="E29" s="5">
        <f t="shared" si="83"/>
        <v>-847</v>
      </c>
      <c r="F29" s="5">
        <f t="shared" si="83"/>
        <v>-1092</v>
      </c>
      <c r="G29" s="5">
        <f t="shared" si="83"/>
        <v>-845</v>
      </c>
      <c r="H29" s="5">
        <f t="shared" si="83"/>
        <v>-5115</v>
      </c>
      <c r="I29" s="5">
        <f t="shared" si="83"/>
        <v>-1045</v>
      </c>
      <c r="J29" s="5">
        <f t="shared" si="83"/>
        <v>-956</v>
      </c>
      <c r="K29" s="5">
        <f t="shared" si="83"/>
        <v>-3048</v>
      </c>
      <c r="L29" s="5">
        <f t="shared" si="83"/>
        <v>-1632</v>
      </c>
      <c r="M29" s="5">
        <f t="shared" si="83"/>
        <v>-939</v>
      </c>
      <c r="N29" s="5">
        <f t="shared" si="83"/>
        <v>-752</v>
      </c>
      <c r="O29" s="5">
        <f t="shared" si="83"/>
        <v>283</v>
      </c>
      <c r="P29" s="5">
        <f t="shared" si="83"/>
        <v>866</v>
      </c>
      <c r="Q29" s="5">
        <f t="shared" si="83"/>
        <v>-2309</v>
      </c>
      <c r="R29" s="5">
        <f t="shared" si="83"/>
        <v>1037</v>
      </c>
      <c r="S29" s="5">
        <f t="shared" si="83"/>
        <v>-5914</v>
      </c>
      <c r="T29" s="5">
        <f t="shared" si="83"/>
        <v>-2313</v>
      </c>
      <c r="U29" s="5">
        <f t="shared" si="83"/>
        <v>-949</v>
      </c>
      <c r="V29" s="5">
        <f t="shared" si="83"/>
        <v>697</v>
      </c>
      <c r="W29" s="5">
        <f t="shared" si="83"/>
        <v>69</v>
      </c>
      <c r="X29" s="5">
        <f t="shared" si="83"/>
        <v>663</v>
      </c>
      <c r="Y29" s="5">
        <f t="shared" si="83"/>
        <v>381</v>
      </c>
      <c r="Z29" s="5">
        <f>Z26-Z27+Z28</f>
        <v>2031</v>
      </c>
      <c r="AA29" s="5">
        <f t="shared" ref="AA29:AD29" si="84">AA26-AA27+AA28</f>
        <v>355.59999999999957</v>
      </c>
      <c r="AB29" s="5">
        <f t="shared" si="84"/>
        <v>1082.1700000000019</v>
      </c>
      <c r="AC29" s="5">
        <f t="shared" si="84"/>
        <v>817.53999999999962</v>
      </c>
      <c r="AD29" s="5">
        <f t="shared" si="84"/>
        <v>2554.2600000000002</v>
      </c>
      <c r="AK29" s="5">
        <f t="shared" ref="AK29:AO29" si="85">AK26-AK27+AK28</f>
        <v>1738</v>
      </c>
      <c r="AL29" s="5">
        <f t="shared" si="85"/>
        <v>-7961</v>
      </c>
      <c r="AM29" s="5">
        <f t="shared" si="85"/>
        <v>-6371</v>
      </c>
      <c r="AN29" s="5">
        <f t="shared" si="85"/>
        <v>-123</v>
      </c>
      <c r="AO29" s="5">
        <f t="shared" si="85"/>
        <v>-8479</v>
      </c>
      <c r="AP29" s="5">
        <f>AP26-AP27+AP28</f>
        <v>3144</v>
      </c>
      <c r="AQ29" s="5">
        <f t="shared" ref="AQ29:AU29" si="86">AQ26-AQ27+AQ28</f>
        <v>4809.5700000000015</v>
      </c>
      <c r="AR29" s="5">
        <f t="shared" si="86"/>
        <v>7339.2076999999963</v>
      </c>
      <c r="AS29" s="5">
        <f t="shared" si="86"/>
        <v>9435.5042270000104</v>
      </c>
      <c r="AT29" s="5">
        <f t="shared" si="86"/>
        <v>12257.811541770001</v>
      </c>
      <c r="AU29" s="5">
        <f t="shared" si="86"/>
        <v>15962.537325562707</v>
      </c>
    </row>
    <row r="30" spans="1:47" x14ac:dyDescent="0.25">
      <c r="B30" t="s">
        <v>18</v>
      </c>
      <c r="C30" s="2">
        <v>576</v>
      </c>
      <c r="D30" s="2">
        <v>28</v>
      </c>
      <c r="E30" s="2">
        <v>1</v>
      </c>
      <c r="F30" s="2">
        <v>-322</v>
      </c>
      <c r="G30" s="2">
        <v>19</v>
      </c>
      <c r="H30" s="2">
        <v>-2</v>
      </c>
      <c r="I30" s="2">
        <v>3</v>
      </c>
      <c r="J30" s="2">
        <v>25</v>
      </c>
      <c r="K30" s="2">
        <v>-242</v>
      </c>
      <c r="L30" s="2">
        <v>4</v>
      </c>
      <c r="M30" s="2">
        <v>23</v>
      </c>
      <c r="N30" s="2">
        <v>23</v>
      </c>
      <c r="O30" s="2">
        <v>185</v>
      </c>
      <c r="P30" s="2">
        <v>-479</v>
      </c>
      <c r="Q30" s="2">
        <v>-101</v>
      </c>
      <c r="R30" s="2">
        <v>-97</v>
      </c>
      <c r="S30" s="2">
        <v>-232</v>
      </c>
      <c r="T30" s="2">
        <v>77</v>
      </c>
      <c r="U30" s="2">
        <v>58</v>
      </c>
      <c r="V30" s="2">
        <v>-84</v>
      </c>
      <c r="W30" s="2">
        <v>55</v>
      </c>
      <c r="X30" s="2">
        <v>65</v>
      </c>
      <c r="Y30" s="2">
        <v>-40</v>
      </c>
      <c r="Z30" s="2">
        <v>133</v>
      </c>
      <c r="AA30" s="2">
        <f>AA29*AVERAGE($C$49:$Z$49)</f>
        <v>16.116162465091975</v>
      </c>
      <c r="AB30" s="2">
        <f t="shared" ref="AB30:AD30" si="87">AB29*AVERAGE($C$49:$Z$49)</f>
        <v>49.04507180778581</v>
      </c>
      <c r="AC30" s="2">
        <f t="shared" si="87"/>
        <v>37.051764515498604</v>
      </c>
      <c r="AD30" s="2">
        <f t="shared" si="87"/>
        <v>115.76172423533713</v>
      </c>
      <c r="AK30" s="2">
        <f t="shared" ref="AK30:AK31" si="88">SUM(C30:F30)</f>
        <v>283</v>
      </c>
      <c r="AL30" s="2">
        <f t="shared" ref="AL30:AL31" si="89">SUM(G30:J30)</f>
        <v>45</v>
      </c>
      <c r="AM30" s="2">
        <f t="shared" ref="AM30:AM31" si="90">SUM(K30:N30)</f>
        <v>-192</v>
      </c>
      <c r="AN30" s="2">
        <f t="shared" ref="AN30:AN31" si="91">SUM(O30:R30)</f>
        <v>-492</v>
      </c>
      <c r="AO30" s="2">
        <f t="shared" ref="AO30:AO31" si="92">SUM(S30:V30)</f>
        <v>-181</v>
      </c>
      <c r="AP30" s="2">
        <f t="shared" ref="AP30:AP31" si="93">SUM(W30:Z30)</f>
        <v>213</v>
      </c>
      <c r="AQ30" s="2">
        <f t="shared" ref="AQ30:AQ31" si="94">SUM(AA30:AD30)</f>
        <v>217.97472302371352</v>
      </c>
      <c r="AR30" s="2">
        <f>AR29*0.21</f>
        <v>1541.2336169999992</v>
      </c>
      <c r="AS30" s="2">
        <f t="shared" ref="AS30:AU30" si="95">AS29*0.21</f>
        <v>1981.4558876700021</v>
      </c>
      <c r="AT30" s="2">
        <f t="shared" si="95"/>
        <v>2574.1404237717002</v>
      </c>
      <c r="AU30" s="2">
        <f t="shared" si="95"/>
        <v>3352.1328383681684</v>
      </c>
    </row>
    <row r="31" spans="1:47" x14ac:dyDescent="0.25">
      <c r="B31" t="s">
        <v>19</v>
      </c>
      <c r="C31" s="2">
        <v>-3</v>
      </c>
      <c r="D31" s="2">
        <v>-14</v>
      </c>
      <c r="E31" s="2">
        <v>-15</v>
      </c>
      <c r="F31" s="2">
        <v>-10</v>
      </c>
      <c r="G31" s="2">
        <v>-6</v>
      </c>
      <c r="H31" s="2">
        <v>-10</v>
      </c>
      <c r="I31" s="2">
        <v>-9</v>
      </c>
      <c r="J31" s="2">
        <v>-9</v>
      </c>
      <c r="K31" s="2">
        <v>-12</v>
      </c>
      <c r="L31" s="2">
        <v>-7</v>
      </c>
      <c r="M31" s="2">
        <v>-8</v>
      </c>
      <c r="N31" s="2">
        <v>-7</v>
      </c>
      <c r="O31" s="2">
        <v>-8</v>
      </c>
      <c r="P31" s="2">
        <v>-7</v>
      </c>
      <c r="Q31" s="2">
        <v>-13</v>
      </c>
      <c r="R31" s="2">
        <v>-9</v>
      </c>
      <c r="S31" s="2">
        <v>18</v>
      </c>
      <c r="T31" s="2">
        <v>17</v>
      </c>
      <c r="U31" s="2">
        <v>30</v>
      </c>
      <c r="V31" s="2">
        <v>42</v>
      </c>
      <c r="W31" s="2">
        <v>36</v>
      </c>
      <c r="X31" s="2">
        <v>4</v>
      </c>
      <c r="Y31" s="2">
        <v>3</v>
      </c>
      <c r="Z31" s="2">
        <v>5</v>
      </c>
      <c r="AA31" s="2">
        <f>W31*0.99</f>
        <v>35.64</v>
      </c>
      <c r="AB31" s="2">
        <f t="shared" ref="AB31:AD31" si="96">X31*0.99</f>
        <v>3.96</v>
      </c>
      <c r="AC31" s="2">
        <f t="shared" si="96"/>
        <v>2.9699999999999998</v>
      </c>
      <c r="AD31" s="2">
        <f t="shared" si="96"/>
        <v>4.95</v>
      </c>
      <c r="AK31" s="2">
        <f t="shared" si="88"/>
        <v>-42</v>
      </c>
      <c r="AL31" s="2">
        <f t="shared" si="89"/>
        <v>-34</v>
      </c>
      <c r="AM31" s="2">
        <f t="shared" si="90"/>
        <v>-34</v>
      </c>
      <c r="AN31" s="2">
        <f t="shared" si="91"/>
        <v>-37</v>
      </c>
      <c r="AO31" s="2">
        <f t="shared" si="92"/>
        <v>107</v>
      </c>
      <c r="AP31" s="2">
        <f t="shared" si="93"/>
        <v>48</v>
      </c>
      <c r="AQ31" s="2">
        <f t="shared" si="94"/>
        <v>47.52</v>
      </c>
      <c r="AR31" s="2">
        <f>AQ31*1.01</f>
        <v>47.995200000000004</v>
      </c>
      <c r="AS31" s="2">
        <f t="shared" ref="AS31:AU31" si="97">AR31*1.01</f>
        <v>48.475152000000001</v>
      </c>
      <c r="AT31" s="2">
        <f t="shared" si="97"/>
        <v>48.959903520000005</v>
      </c>
      <c r="AU31" s="2">
        <f t="shared" si="97"/>
        <v>49.449502555200006</v>
      </c>
    </row>
    <row r="32" spans="1:47" x14ac:dyDescent="0.25">
      <c r="B32" t="s">
        <v>20</v>
      </c>
      <c r="C32" s="2">
        <f>C29-C30+C31</f>
        <v>3836</v>
      </c>
      <c r="D32" s="2">
        <f t="shared" ref="D32:Y32" si="98">D29-D30+D31</f>
        <v>-780</v>
      </c>
      <c r="E32" s="2">
        <f t="shared" si="98"/>
        <v>-863</v>
      </c>
      <c r="F32" s="2">
        <f t="shared" si="98"/>
        <v>-780</v>
      </c>
      <c r="G32" s="2">
        <f t="shared" si="98"/>
        <v>-870</v>
      </c>
      <c r="H32" s="2">
        <f t="shared" si="98"/>
        <v>-5123</v>
      </c>
      <c r="I32" s="2">
        <f t="shared" si="98"/>
        <v>-1057</v>
      </c>
      <c r="J32" s="2">
        <f t="shared" si="98"/>
        <v>-990</v>
      </c>
      <c r="K32" s="2">
        <f t="shared" si="98"/>
        <v>-2818</v>
      </c>
      <c r="L32" s="2">
        <f t="shared" si="98"/>
        <v>-1643</v>
      </c>
      <c r="M32" s="2">
        <f t="shared" si="98"/>
        <v>-970</v>
      </c>
      <c r="N32" s="2">
        <f t="shared" si="98"/>
        <v>-782</v>
      </c>
      <c r="O32" s="2">
        <f t="shared" si="98"/>
        <v>90</v>
      </c>
      <c r="P32" s="2">
        <f t="shared" si="98"/>
        <v>1338</v>
      </c>
      <c r="Q32" s="2">
        <f t="shared" si="98"/>
        <v>-2221</v>
      </c>
      <c r="R32" s="2">
        <f t="shared" si="98"/>
        <v>1125</v>
      </c>
      <c r="S32" s="2">
        <f t="shared" si="98"/>
        <v>-5664</v>
      </c>
      <c r="T32" s="2">
        <f t="shared" si="98"/>
        <v>-2373</v>
      </c>
      <c r="U32" s="2">
        <f t="shared" si="98"/>
        <v>-977</v>
      </c>
      <c r="V32" s="2">
        <f t="shared" si="98"/>
        <v>823</v>
      </c>
      <c r="W32" s="2">
        <f t="shared" si="98"/>
        <v>50</v>
      </c>
      <c r="X32" s="2">
        <f t="shared" si="98"/>
        <v>602</v>
      </c>
      <c r="Y32" s="2">
        <f t="shared" si="98"/>
        <v>424</v>
      </c>
      <c r="Z32" s="2">
        <f>Z29-Z30+Z31</f>
        <v>1903</v>
      </c>
      <c r="AA32" s="2">
        <f t="shared" ref="AA32:AD32" si="99">AA29-AA30+AA31</f>
        <v>375.12383753490758</v>
      </c>
      <c r="AB32" s="2">
        <f t="shared" si="99"/>
        <v>1037.084928192216</v>
      </c>
      <c r="AC32" s="2">
        <f t="shared" si="99"/>
        <v>783.45823548450107</v>
      </c>
      <c r="AD32" s="2">
        <f t="shared" si="99"/>
        <v>2443.4482757646629</v>
      </c>
      <c r="AK32" s="2">
        <f t="shared" ref="AK32:AO32" si="100">AK29-AK30+AK31</f>
        <v>1413</v>
      </c>
      <c r="AL32" s="2">
        <f t="shared" si="100"/>
        <v>-8040</v>
      </c>
      <c r="AM32" s="2">
        <f t="shared" si="100"/>
        <v>-6213</v>
      </c>
      <c r="AN32" s="2">
        <f t="shared" si="100"/>
        <v>332</v>
      </c>
      <c r="AO32" s="2">
        <f t="shared" si="100"/>
        <v>-8191</v>
      </c>
      <c r="AP32" s="2">
        <f>AP29-AP30+AP31</f>
        <v>2979</v>
      </c>
      <c r="AQ32" s="2">
        <f t="shared" ref="AQ32:AU32" si="101">AQ29-AQ30+AQ31</f>
        <v>4639.1152769762884</v>
      </c>
      <c r="AR32" s="2">
        <f t="shared" si="101"/>
        <v>5845.9692829999976</v>
      </c>
      <c r="AS32" s="2">
        <f t="shared" si="101"/>
        <v>7502.5234913300083</v>
      </c>
      <c r="AT32" s="2">
        <f t="shared" si="101"/>
        <v>9732.6310215183021</v>
      </c>
      <c r="AU32" s="2">
        <f t="shared" si="101"/>
        <v>12659.853989749739</v>
      </c>
    </row>
    <row r="33" spans="1:538" x14ac:dyDescent="0.25">
      <c r="B33" t="s">
        <v>21</v>
      </c>
      <c r="C33" s="2">
        <v>0</v>
      </c>
      <c r="D33" s="2">
        <v>0</v>
      </c>
      <c r="E33" s="2">
        <v>-8</v>
      </c>
      <c r="F33" s="2">
        <v>-2</v>
      </c>
      <c r="G33" s="2">
        <v>-4</v>
      </c>
      <c r="H33" s="2">
        <v>-10</v>
      </c>
      <c r="I33" s="2">
        <v>3</v>
      </c>
      <c r="J33" s="2">
        <v>5</v>
      </c>
      <c r="K33" s="2">
        <v>-10</v>
      </c>
      <c r="L33" s="2">
        <v>3</v>
      </c>
      <c r="M33" s="2">
        <v>-19</v>
      </c>
      <c r="N33" s="2">
        <v>6</v>
      </c>
      <c r="O33" s="2">
        <v>-14</v>
      </c>
      <c r="P33" s="2">
        <v>-32</v>
      </c>
      <c r="Q33" s="2">
        <v>-15</v>
      </c>
      <c r="R33" s="2">
        <v>-13</v>
      </c>
      <c r="S33" s="2">
        <v>12</v>
      </c>
      <c r="T33" s="2">
        <v>-15</v>
      </c>
      <c r="U33" s="2">
        <v>2</v>
      </c>
      <c r="V33" s="2">
        <v>5</v>
      </c>
      <c r="W33" s="2">
        <v>0</v>
      </c>
      <c r="X33" s="2">
        <v>0</v>
      </c>
      <c r="Y33" s="2">
        <v>-2</v>
      </c>
      <c r="Z33" s="2">
        <v>271</v>
      </c>
      <c r="AA33" s="2">
        <f>W33</f>
        <v>0</v>
      </c>
      <c r="AB33" s="2">
        <f t="shared" ref="AB33:AD33" si="102">X33</f>
        <v>0</v>
      </c>
      <c r="AC33" s="2">
        <f t="shared" si="102"/>
        <v>-2</v>
      </c>
      <c r="AD33" s="2">
        <f t="shared" si="102"/>
        <v>271</v>
      </c>
      <c r="AK33" s="2">
        <f>SUM(C33:F33)</f>
        <v>-10</v>
      </c>
      <c r="AL33" s="2">
        <f>SUM(G33:J33)</f>
        <v>-6</v>
      </c>
      <c r="AM33" s="2">
        <f>SUM(K33:N33)</f>
        <v>-20</v>
      </c>
      <c r="AN33" s="2">
        <f>SUM(O33:R33)</f>
        <v>-74</v>
      </c>
      <c r="AO33" s="2">
        <f>SUM(S33:V33)</f>
        <v>4</v>
      </c>
      <c r="AP33" s="2">
        <f>SUM(W33:Z33)</f>
        <v>269</v>
      </c>
      <c r="AQ33" s="2">
        <f>SUM(AA33:AD33)</f>
        <v>269</v>
      </c>
      <c r="AR33" s="2">
        <f>AQ33*1.01</f>
        <v>271.69</v>
      </c>
      <c r="AS33" s="2">
        <f t="shared" ref="AS33:AU33" si="103">AR33*1.01</f>
        <v>274.40690000000001</v>
      </c>
      <c r="AT33" s="2">
        <f t="shared" si="103"/>
        <v>277.15096900000003</v>
      </c>
      <c r="AU33" s="2">
        <f t="shared" si="103"/>
        <v>279.92247869000005</v>
      </c>
    </row>
    <row r="34" spans="1:538" s="5" customFormat="1" x14ac:dyDescent="0.25">
      <c r="A34" s="3"/>
      <c r="B34" s="3" t="s">
        <v>22</v>
      </c>
      <c r="C34" s="5">
        <f t="shared" ref="C34:Y34" si="104">C32-C33</f>
        <v>3836</v>
      </c>
      <c r="D34" s="5">
        <f t="shared" si="104"/>
        <v>-780</v>
      </c>
      <c r="E34" s="5">
        <f t="shared" si="104"/>
        <v>-855</v>
      </c>
      <c r="F34" s="5">
        <f t="shared" si="104"/>
        <v>-778</v>
      </c>
      <c r="G34" s="5">
        <f t="shared" si="104"/>
        <v>-866</v>
      </c>
      <c r="H34" s="5">
        <f t="shared" si="104"/>
        <v>-5113</v>
      </c>
      <c r="I34" s="5">
        <f t="shared" si="104"/>
        <v>-1060</v>
      </c>
      <c r="J34" s="5">
        <f t="shared" si="104"/>
        <v>-995</v>
      </c>
      <c r="K34" s="5">
        <f t="shared" si="104"/>
        <v>-2808</v>
      </c>
      <c r="L34" s="5">
        <f t="shared" si="104"/>
        <v>-1646</v>
      </c>
      <c r="M34" s="5">
        <f t="shared" si="104"/>
        <v>-951</v>
      </c>
      <c r="N34" s="5">
        <f t="shared" si="104"/>
        <v>-788</v>
      </c>
      <c r="O34" s="5">
        <f t="shared" si="104"/>
        <v>104</v>
      </c>
      <c r="P34" s="5">
        <f t="shared" si="104"/>
        <v>1370</v>
      </c>
      <c r="Q34" s="5">
        <f t="shared" si="104"/>
        <v>-2206</v>
      </c>
      <c r="R34" s="5">
        <f t="shared" si="104"/>
        <v>1138</v>
      </c>
      <c r="S34" s="5">
        <f t="shared" si="104"/>
        <v>-5676</v>
      </c>
      <c r="T34" s="5">
        <f t="shared" si="104"/>
        <v>-2358</v>
      </c>
      <c r="U34" s="5">
        <f t="shared" si="104"/>
        <v>-979</v>
      </c>
      <c r="V34" s="5">
        <f t="shared" si="104"/>
        <v>818</v>
      </c>
      <c r="W34" s="5">
        <f t="shared" si="104"/>
        <v>50</v>
      </c>
      <c r="X34" s="5">
        <f t="shared" si="104"/>
        <v>602</v>
      </c>
      <c r="Y34" s="5">
        <f t="shared" si="104"/>
        <v>426</v>
      </c>
      <c r="Z34" s="5">
        <f>Z32-Z33</f>
        <v>1632</v>
      </c>
      <c r="AA34" s="5">
        <f t="shared" ref="AA34:AD34" si="105">AA32-AA33</f>
        <v>375.12383753490758</v>
      </c>
      <c r="AB34" s="5">
        <f t="shared" si="105"/>
        <v>1037.084928192216</v>
      </c>
      <c r="AC34" s="5">
        <f t="shared" si="105"/>
        <v>785.45823548450107</v>
      </c>
      <c r="AD34" s="5">
        <f t="shared" si="105"/>
        <v>2172.4482757646629</v>
      </c>
      <c r="AK34" s="5">
        <f t="shared" ref="AK34:AO34" si="106">AK32-AK33</f>
        <v>1423</v>
      </c>
      <c r="AL34" s="5">
        <f t="shared" si="106"/>
        <v>-8034</v>
      </c>
      <c r="AM34" s="5">
        <f t="shared" si="106"/>
        <v>-6193</v>
      </c>
      <c r="AN34" s="5">
        <f t="shared" si="106"/>
        <v>406</v>
      </c>
      <c r="AO34" s="5">
        <f t="shared" si="106"/>
        <v>-8195</v>
      </c>
      <c r="AP34" s="5">
        <f>AP32-AP33</f>
        <v>2710</v>
      </c>
      <c r="AQ34" s="5">
        <f t="shared" ref="AQ34:AU34" si="107">AQ32-AQ33</f>
        <v>4370.1152769762884</v>
      </c>
      <c r="AR34" s="5">
        <f t="shared" si="107"/>
        <v>5574.279282999998</v>
      </c>
      <c r="AS34" s="5">
        <f t="shared" si="107"/>
        <v>7228.1165913300083</v>
      </c>
      <c r="AT34" s="5">
        <f t="shared" si="107"/>
        <v>9455.4800525183018</v>
      </c>
      <c r="AU34" s="5">
        <f t="shared" si="107"/>
        <v>12379.93151105974</v>
      </c>
      <c r="AV34" s="5">
        <f>AU34*(1+$BB$40)</f>
        <v>12256.132195949142</v>
      </c>
      <c r="AW34" s="5">
        <f t="shared" ref="AW34:DH34" si="108">AV34*(1+$BB$40)</f>
        <v>12133.570873989651</v>
      </c>
      <c r="AX34" s="5">
        <f t="shared" si="108"/>
        <v>12012.235165249755</v>
      </c>
      <c r="AY34" s="5">
        <f t="shared" si="108"/>
        <v>11892.112813597258</v>
      </c>
      <c r="AZ34" s="5">
        <f t="shared" si="108"/>
        <v>11773.191685461285</v>
      </c>
      <c r="BA34" s="5">
        <f t="shared" si="108"/>
        <v>11655.459768606672</v>
      </c>
      <c r="BB34" s="5">
        <f t="shared" si="108"/>
        <v>11538.905170920605</v>
      </c>
      <c r="BC34" s="5">
        <f t="shared" si="108"/>
        <v>11423.516119211399</v>
      </c>
      <c r="BD34" s="5">
        <f t="shared" si="108"/>
        <v>11309.280958019284</v>
      </c>
      <c r="BE34" s="5">
        <f t="shared" si="108"/>
        <v>11196.188148439091</v>
      </c>
      <c r="BF34" s="5">
        <f t="shared" si="108"/>
        <v>11084.2262669547</v>
      </c>
      <c r="BG34" s="5">
        <f t="shared" si="108"/>
        <v>10973.384004285153</v>
      </c>
      <c r="BH34" s="5">
        <f t="shared" si="108"/>
        <v>10863.650164242301</v>
      </c>
      <c r="BI34" s="5">
        <f t="shared" si="108"/>
        <v>10755.013662599878</v>
      </c>
      <c r="BJ34" s="5">
        <f t="shared" si="108"/>
        <v>10647.463525973879</v>
      </c>
      <c r="BK34" s="5">
        <f t="shared" si="108"/>
        <v>10540.988890714139</v>
      </c>
      <c r="BL34" s="5">
        <f t="shared" si="108"/>
        <v>10435.579001806998</v>
      </c>
      <c r="BM34" s="5">
        <f t="shared" si="108"/>
        <v>10331.223211788929</v>
      </c>
      <c r="BN34" s="5">
        <f t="shared" si="108"/>
        <v>10227.91097967104</v>
      </c>
      <c r="BO34" s="5">
        <f t="shared" si="108"/>
        <v>10125.631869874329</v>
      </c>
      <c r="BP34" s="5">
        <f t="shared" si="108"/>
        <v>10024.375551175586</v>
      </c>
      <c r="BQ34" s="5">
        <f t="shared" si="108"/>
        <v>9924.1317956638304</v>
      </c>
      <c r="BR34" s="5">
        <f t="shared" si="108"/>
        <v>9824.8904777071912</v>
      </c>
      <c r="BS34" s="5">
        <f t="shared" si="108"/>
        <v>9726.6415729301189</v>
      </c>
      <c r="BT34" s="5">
        <f t="shared" si="108"/>
        <v>9629.3751572008168</v>
      </c>
      <c r="BU34" s="5">
        <f t="shared" si="108"/>
        <v>9533.0814056288091</v>
      </c>
      <c r="BV34" s="5">
        <f t="shared" si="108"/>
        <v>9437.7505915725214</v>
      </c>
      <c r="BW34" s="5">
        <f t="shared" si="108"/>
        <v>9343.3730856567963</v>
      </c>
      <c r="BX34" s="5">
        <f t="shared" si="108"/>
        <v>9249.9393548002281</v>
      </c>
      <c r="BY34" s="5">
        <f t="shared" si="108"/>
        <v>9157.4399612522266</v>
      </c>
      <c r="BZ34" s="5">
        <f t="shared" si="108"/>
        <v>9065.8655616397045</v>
      </c>
      <c r="CA34" s="5">
        <f t="shared" si="108"/>
        <v>8975.206906023308</v>
      </c>
      <c r="CB34" s="5">
        <f t="shared" si="108"/>
        <v>8885.4548369630756</v>
      </c>
      <c r="CC34" s="5">
        <f t="shared" si="108"/>
        <v>8796.6002885934449</v>
      </c>
      <c r="CD34" s="5">
        <f t="shared" si="108"/>
        <v>8708.6342857075106</v>
      </c>
      <c r="CE34" s="5">
        <f t="shared" si="108"/>
        <v>8621.547942850435</v>
      </c>
      <c r="CF34" s="5">
        <f t="shared" si="108"/>
        <v>8535.3324634219298</v>
      </c>
      <c r="CG34" s="5">
        <f t="shared" si="108"/>
        <v>8449.9791387877103</v>
      </c>
      <c r="CH34" s="5">
        <f t="shared" si="108"/>
        <v>8365.4793473998325</v>
      </c>
      <c r="CI34" s="5">
        <f t="shared" si="108"/>
        <v>8281.8245539258332</v>
      </c>
      <c r="CJ34" s="5">
        <f t="shared" si="108"/>
        <v>8199.0063083865753</v>
      </c>
      <c r="CK34" s="5">
        <f t="shared" si="108"/>
        <v>8117.0162453027096</v>
      </c>
      <c r="CL34" s="5">
        <f t="shared" si="108"/>
        <v>8035.8460828496827</v>
      </c>
      <c r="CM34" s="5">
        <f t="shared" si="108"/>
        <v>7955.4876220211854</v>
      </c>
      <c r="CN34" s="5">
        <f t="shared" si="108"/>
        <v>7875.9327458009739</v>
      </c>
      <c r="CO34" s="5">
        <f t="shared" si="108"/>
        <v>7797.1734183429644</v>
      </c>
      <c r="CP34" s="5">
        <f t="shared" si="108"/>
        <v>7719.201684159535</v>
      </c>
      <c r="CQ34" s="5">
        <f t="shared" si="108"/>
        <v>7642.0096673179396</v>
      </c>
      <c r="CR34" s="5">
        <f t="shared" si="108"/>
        <v>7565.58957064476</v>
      </c>
      <c r="CS34" s="5">
        <f t="shared" si="108"/>
        <v>7489.9336749383119</v>
      </c>
      <c r="CT34" s="5">
        <f t="shared" si="108"/>
        <v>7415.0343381889288</v>
      </c>
      <c r="CU34" s="5">
        <f t="shared" si="108"/>
        <v>7340.883994807039</v>
      </c>
      <c r="CV34" s="5">
        <f t="shared" si="108"/>
        <v>7267.4751548589684</v>
      </c>
      <c r="CW34" s="5">
        <f t="shared" si="108"/>
        <v>7194.8004033103789</v>
      </c>
      <c r="CX34" s="5">
        <f t="shared" si="108"/>
        <v>7122.8523992772753</v>
      </c>
      <c r="CY34" s="5">
        <f t="shared" si="108"/>
        <v>7051.623875284502</v>
      </c>
      <c r="CZ34" s="5">
        <f t="shared" si="108"/>
        <v>6981.1076365316567</v>
      </c>
      <c r="DA34" s="5">
        <f t="shared" si="108"/>
        <v>6911.29656016634</v>
      </c>
      <c r="DB34" s="5">
        <f t="shared" si="108"/>
        <v>6842.1835945646762</v>
      </c>
      <c r="DC34" s="5">
        <f t="shared" si="108"/>
        <v>6773.761758619029</v>
      </c>
      <c r="DD34" s="5">
        <f t="shared" si="108"/>
        <v>6706.024141032839</v>
      </c>
      <c r="DE34" s="5">
        <f t="shared" si="108"/>
        <v>6638.9638996225103</v>
      </c>
      <c r="DF34" s="5">
        <f t="shared" si="108"/>
        <v>6572.5742606262847</v>
      </c>
      <c r="DG34" s="5">
        <f t="shared" si="108"/>
        <v>6506.8485180200214</v>
      </c>
      <c r="DH34" s="5">
        <f t="shared" si="108"/>
        <v>6441.7800328398207</v>
      </c>
      <c r="DI34" s="5">
        <f t="shared" ref="DI34:FT34" si="109">DH34*(1+$BB$40)</f>
        <v>6377.362232511422</v>
      </c>
      <c r="DJ34" s="5">
        <f t="shared" si="109"/>
        <v>6313.588610186308</v>
      </c>
      <c r="DK34" s="5">
        <f t="shared" si="109"/>
        <v>6250.4527240844445</v>
      </c>
      <c r="DL34" s="5">
        <f t="shared" si="109"/>
        <v>6187.9481968436003</v>
      </c>
      <c r="DM34" s="5">
        <f t="shared" si="109"/>
        <v>6126.068714875164</v>
      </c>
      <c r="DN34" s="5">
        <f t="shared" si="109"/>
        <v>6064.8080277264125</v>
      </c>
      <c r="DO34" s="5">
        <f t="shared" si="109"/>
        <v>6004.1599474491486</v>
      </c>
      <c r="DP34" s="5">
        <f t="shared" si="109"/>
        <v>5944.1183479746569</v>
      </c>
      <c r="DQ34" s="5">
        <f t="shared" si="109"/>
        <v>5884.6771644949104</v>
      </c>
      <c r="DR34" s="5">
        <f t="shared" si="109"/>
        <v>5825.8303928499608</v>
      </c>
      <c r="DS34" s="5">
        <f t="shared" si="109"/>
        <v>5767.5720889214608</v>
      </c>
      <c r="DT34" s="5">
        <f t="shared" si="109"/>
        <v>5709.8963680322458</v>
      </c>
      <c r="DU34" s="5">
        <f t="shared" si="109"/>
        <v>5652.7974043519234</v>
      </c>
      <c r="DV34" s="5">
        <f t="shared" si="109"/>
        <v>5596.2694303084045</v>
      </c>
      <c r="DW34" s="5">
        <f t="shared" si="109"/>
        <v>5540.3067360053201</v>
      </c>
      <c r="DX34" s="5">
        <f t="shared" si="109"/>
        <v>5484.9036686452664</v>
      </c>
      <c r="DY34" s="5">
        <f t="shared" si="109"/>
        <v>5430.0546319588138</v>
      </c>
      <c r="DZ34" s="5">
        <f t="shared" si="109"/>
        <v>5375.7540856392261</v>
      </c>
      <c r="EA34" s="5">
        <f t="shared" si="109"/>
        <v>5321.9965447828336</v>
      </c>
      <c r="EB34" s="5">
        <f t="shared" si="109"/>
        <v>5268.7765793350054</v>
      </c>
      <c r="EC34" s="5">
        <f t="shared" si="109"/>
        <v>5216.0888135416553</v>
      </c>
      <c r="ED34" s="5">
        <f t="shared" si="109"/>
        <v>5163.9279254062385</v>
      </c>
      <c r="EE34" s="5">
        <f t="shared" si="109"/>
        <v>5112.2886461521757</v>
      </c>
      <c r="EF34" s="5">
        <f t="shared" si="109"/>
        <v>5061.1657596906543</v>
      </c>
      <c r="EG34" s="5">
        <f t="shared" si="109"/>
        <v>5010.554102093748</v>
      </c>
      <c r="EH34" s="5">
        <f t="shared" si="109"/>
        <v>4960.4485610728107</v>
      </c>
      <c r="EI34" s="5">
        <f t="shared" si="109"/>
        <v>4910.8440754620824</v>
      </c>
      <c r="EJ34" s="5">
        <f t="shared" si="109"/>
        <v>4861.7356347074619</v>
      </c>
      <c r="EK34" s="5">
        <f t="shared" si="109"/>
        <v>4813.1182783603872</v>
      </c>
      <c r="EL34" s="5">
        <f t="shared" si="109"/>
        <v>4764.9870955767828</v>
      </c>
      <c r="EM34" s="5">
        <f t="shared" si="109"/>
        <v>4717.3372246210147</v>
      </c>
      <c r="EN34" s="5">
        <f t="shared" si="109"/>
        <v>4670.1638523748043</v>
      </c>
      <c r="EO34" s="5">
        <f t="shared" si="109"/>
        <v>4623.4622138510558</v>
      </c>
      <c r="EP34" s="5">
        <f t="shared" si="109"/>
        <v>4577.2275917125453</v>
      </c>
      <c r="EQ34" s="5">
        <f t="shared" si="109"/>
        <v>4531.4553157954197</v>
      </c>
      <c r="ER34" s="5">
        <f t="shared" si="109"/>
        <v>4486.1407626374657</v>
      </c>
      <c r="ES34" s="5">
        <f t="shared" si="109"/>
        <v>4441.279355011091</v>
      </c>
      <c r="ET34" s="5">
        <f t="shared" si="109"/>
        <v>4396.8665614609799</v>
      </c>
      <c r="EU34" s="5">
        <f t="shared" si="109"/>
        <v>4352.8978958463704</v>
      </c>
      <c r="EV34" s="5">
        <f t="shared" si="109"/>
        <v>4309.3689168879064</v>
      </c>
      <c r="EW34" s="5">
        <f t="shared" si="109"/>
        <v>4266.2752277190275</v>
      </c>
      <c r="EX34" s="5">
        <f t="shared" si="109"/>
        <v>4223.612475441837</v>
      </c>
      <c r="EY34" s="5">
        <f t="shared" si="109"/>
        <v>4181.3763506874184</v>
      </c>
      <c r="EZ34" s="5">
        <f t="shared" si="109"/>
        <v>4139.5625871805441</v>
      </c>
      <c r="FA34" s="5">
        <f t="shared" si="109"/>
        <v>4098.1669613087388</v>
      </c>
      <c r="FB34" s="5">
        <f t="shared" si="109"/>
        <v>4057.1852916956514</v>
      </c>
      <c r="FC34" s="5">
        <f t="shared" si="109"/>
        <v>4016.6134387786947</v>
      </c>
      <c r="FD34" s="5">
        <f t="shared" si="109"/>
        <v>3976.4473043909079</v>
      </c>
      <c r="FE34" s="5">
        <f t="shared" si="109"/>
        <v>3936.6828313469987</v>
      </c>
      <c r="FF34" s="5">
        <f t="shared" si="109"/>
        <v>3897.3160030335289</v>
      </c>
      <c r="FG34" s="5">
        <f t="shared" si="109"/>
        <v>3858.3428430031936</v>
      </c>
      <c r="FH34" s="5">
        <f t="shared" si="109"/>
        <v>3819.7594145731618</v>
      </c>
      <c r="FI34" s="5">
        <f t="shared" si="109"/>
        <v>3781.5618204274301</v>
      </c>
      <c r="FJ34" s="5">
        <f t="shared" si="109"/>
        <v>3743.7462022231557</v>
      </c>
      <c r="FK34" s="5">
        <f t="shared" si="109"/>
        <v>3706.3087402009241</v>
      </c>
      <c r="FL34" s="5">
        <f t="shared" si="109"/>
        <v>3669.2456527989148</v>
      </c>
      <c r="FM34" s="5">
        <f t="shared" si="109"/>
        <v>3632.5531962709256</v>
      </c>
      <c r="FN34" s="5">
        <f t="shared" si="109"/>
        <v>3596.2276643082164</v>
      </c>
      <c r="FO34" s="5">
        <f t="shared" si="109"/>
        <v>3560.2653876651343</v>
      </c>
      <c r="FP34" s="5">
        <f t="shared" si="109"/>
        <v>3524.6627337884829</v>
      </c>
      <c r="FQ34" s="5">
        <f t="shared" si="109"/>
        <v>3489.4161064505979</v>
      </c>
      <c r="FR34" s="5">
        <f t="shared" si="109"/>
        <v>3454.5219453860918</v>
      </c>
      <c r="FS34" s="5">
        <f t="shared" si="109"/>
        <v>3419.9767259322307</v>
      </c>
      <c r="FT34" s="5">
        <f t="shared" si="109"/>
        <v>3385.7769586729082</v>
      </c>
      <c r="FU34" s="5">
        <f t="shared" ref="FU34:IF34" si="110">FT34*(1+$BB$40)</f>
        <v>3351.9191890861789</v>
      </c>
      <c r="FV34" s="5">
        <f t="shared" si="110"/>
        <v>3318.3999971953172</v>
      </c>
      <c r="FW34" s="5">
        <f t="shared" si="110"/>
        <v>3285.215997223364</v>
      </c>
      <c r="FX34" s="5">
        <f t="shared" si="110"/>
        <v>3252.3638372511305</v>
      </c>
      <c r="FY34" s="5">
        <f t="shared" si="110"/>
        <v>3219.840198878619</v>
      </c>
      <c r="FZ34" s="5">
        <f t="shared" si="110"/>
        <v>3187.6417968898327</v>
      </c>
      <c r="GA34" s="5">
        <f t="shared" si="110"/>
        <v>3155.7653789209344</v>
      </c>
      <c r="GB34" s="5">
        <f t="shared" si="110"/>
        <v>3124.2077251317251</v>
      </c>
      <c r="GC34" s="5">
        <f t="shared" si="110"/>
        <v>3092.9656478804077</v>
      </c>
      <c r="GD34" s="5">
        <f t="shared" si="110"/>
        <v>3062.0359914016035</v>
      </c>
      <c r="GE34" s="5">
        <f t="shared" si="110"/>
        <v>3031.4156314875872</v>
      </c>
      <c r="GF34" s="5">
        <f t="shared" si="110"/>
        <v>3001.1014751727112</v>
      </c>
      <c r="GG34" s="5">
        <f t="shared" si="110"/>
        <v>2971.0904604209841</v>
      </c>
      <c r="GH34" s="5">
        <f t="shared" si="110"/>
        <v>2941.3795558167744</v>
      </c>
      <c r="GI34" s="5">
        <f t="shared" si="110"/>
        <v>2911.9657602586067</v>
      </c>
      <c r="GJ34" s="5">
        <f t="shared" si="110"/>
        <v>2882.8461026560208</v>
      </c>
      <c r="GK34" s="5">
        <f t="shared" si="110"/>
        <v>2854.0176416294607</v>
      </c>
      <c r="GL34" s="5">
        <f t="shared" si="110"/>
        <v>2825.4774652131659</v>
      </c>
      <c r="GM34" s="5">
        <f t="shared" si="110"/>
        <v>2797.2226905610341</v>
      </c>
      <c r="GN34" s="5">
        <f t="shared" si="110"/>
        <v>2769.2504636554236</v>
      </c>
      <c r="GO34" s="5">
        <f t="shared" si="110"/>
        <v>2741.5579590188695</v>
      </c>
      <c r="GP34" s="5">
        <f t="shared" si="110"/>
        <v>2714.1423794286807</v>
      </c>
      <c r="GQ34" s="5">
        <f t="shared" si="110"/>
        <v>2687.0009556343939</v>
      </c>
      <c r="GR34" s="5">
        <f t="shared" si="110"/>
        <v>2660.1309460780499</v>
      </c>
      <c r="GS34" s="5">
        <f t="shared" si="110"/>
        <v>2633.5296366172693</v>
      </c>
      <c r="GT34" s="5">
        <f t="shared" si="110"/>
        <v>2607.1943402510965</v>
      </c>
      <c r="GU34" s="5">
        <f t="shared" si="110"/>
        <v>2581.1223968485856</v>
      </c>
      <c r="GV34" s="5">
        <f t="shared" si="110"/>
        <v>2555.3111728800995</v>
      </c>
      <c r="GW34" s="5">
        <f t="shared" si="110"/>
        <v>2529.7580611512985</v>
      </c>
      <c r="GX34" s="5">
        <f t="shared" si="110"/>
        <v>2504.4604805397857</v>
      </c>
      <c r="GY34" s="5">
        <f t="shared" si="110"/>
        <v>2479.415875734388</v>
      </c>
      <c r="GZ34" s="5">
        <f t="shared" si="110"/>
        <v>2454.6217169770439</v>
      </c>
      <c r="HA34" s="5">
        <f t="shared" si="110"/>
        <v>2430.0754998072734</v>
      </c>
      <c r="HB34" s="5">
        <f t="shared" si="110"/>
        <v>2405.7747448092009</v>
      </c>
      <c r="HC34" s="5">
        <f t="shared" si="110"/>
        <v>2381.716997361109</v>
      </c>
      <c r="HD34" s="5">
        <f t="shared" si="110"/>
        <v>2357.8998273874977</v>
      </c>
      <c r="HE34" s="5">
        <f t="shared" si="110"/>
        <v>2334.3208291136225</v>
      </c>
      <c r="HF34" s="5">
        <f t="shared" si="110"/>
        <v>2310.9776208224862</v>
      </c>
      <c r="HG34" s="5">
        <f t="shared" si="110"/>
        <v>2287.8678446142612</v>
      </c>
      <c r="HH34" s="5">
        <f t="shared" si="110"/>
        <v>2264.9891661681186</v>
      </c>
      <c r="HI34" s="5">
        <f t="shared" si="110"/>
        <v>2242.3392745064375</v>
      </c>
      <c r="HJ34" s="5">
        <f t="shared" si="110"/>
        <v>2219.9158817613729</v>
      </c>
      <c r="HK34" s="5">
        <f t="shared" si="110"/>
        <v>2197.7167229437591</v>
      </c>
      <c r="HL34" s="5">
        <f t="shared" si="110"/>
        <v>2175.7395557143213</v>
      </c>
      <c r="HM34" s="5">
        <f t="shared" si="110"/>
        <v>2153.982160157178</v>
      </c>
      <c r="HN34" s="5">
        <f t="shared" si="110"/>
        <v>2132.4423385556061</v>
      </c>
      <c r="HO34" s="5">
        <f t="shared" si="110"/>
        <v>2111.1179151700499</v>
      </c>
      <c r="HP34" s="5">
        <f t="shared" si="110"/>
        <v>2090.0067360183493</v>
      </c>
      <c r="HQ34" s="5">
        <f t="shared" si="110"/>
        <v>2069.1066686581657</v>
      </c>
      <c r="HR34" s="5">
        <f t="shared" si="110"/>
        <v>2048.4156019715842</v>
      </c>
      <c r="HS34" s="5">
        <f t="shared" si="110"/>
        <v>2027.9314459518685</v>
      </c>
      <c r="HT34" s="5">
        <f t="shared" si="110"/>
        <v>2007.6521314923498</v>
      </c>
      <c r="HU34" s="5">
        <f t="shared" si="110"/>
        <v>1987.5756101774264</v>
      </c>
      <c r="HV34" s="5">
        <f t="shared" si="110"/>
        <v>1967.6998540756522</v>
      </c>
      <c r="HW34" s="5">
        <f t="shared" si="110"/>
        <v>1948.0228555348956</v>
      </c>
      <c r="HX34" s="5">
        <f t="shared" si="110"/>
        <v>1928.5426269795466</v>
      </c>
      <c r="HY34" s="5">
        <f t="shared" si="110"/>
        <v>1909.2572007097513</v>
      </c>
      <c r="HZ34" s="5">
        <f t="shared" si="110"/>
        <v>1890.1646287026538</v>
      </c>
      <c r="IA34" s="5">
        <f t="shared" si="110"/>
        <v>1871.2629824156272</v>
      </c>
      <c r="IB34" s="5">
        <f t="shared" si="110"/>
        <v>1852.550352591471</v>
      </c>
      <c r="IC34" s="5">
        <f t="shared" si="110"/>
        <v>1834.0248490655563</v>
      </c>
      <c r="ID34" s="5">
        <f t="shared" si="110"/>
        <v>1815.6846005749007</v>
      </c>
      <c r="IE34" s="5">
        <f t="shared" si="110"/>
        <v>1797.5277545691517</v>
      </c>
      <c r="IF34" s="5">
        <f t="shared" si="110"/>
        <v>1779.5524770234601</v>
      </c>
      <c r="IG34" s="5">
        <f t="shared" ref="IG34:KR34" si="111">IF34*(1+$BB$40)</f>
        <v>1761.7569522532256</v>
      </c>
      <c r="IH34" s="5">
        <f t="shared" si="111"/>
        <v>1744.1393827306933</v>
      </c>
      <c r="II34" s="5">
        <f t="shared" si="111"/>
        <v>1726.6979889033864</v>
      </c>
      <c r="IJ34" s="5">
        <f t="shared" si="111"/>
        <v>1709.4310090143526</v>
      </c>
      <c r="IK34" s="5">
        <f t="shared" si="111"/>
        <v>1692.336698924209</v>
      </c>
      <c r="IL34" s="5">
        <f t="shared" si="111"/>
        <v>1675.4133319349669</v>
      </c>
      <c r="IM34" s="5">
        <f t="shared" si="111"/>
        <v>1658.6591986156172</v>
      </c>
      <c r="IN34" s="5">
        <f t="shared" si="111"/>
        <v>1642.072606629461</v>
      </c>
      <c r="IO34" s="5">
        <f t="shared" si="111"/>
        <v>1625.6518805631663</v>
      </c>
      <c r="IP34" s="5">
        <f t="shared" si="111"/>
        <v>1609.3953617575346</v>
      </c>
      <c r="IQ34" s="5">
        <f t="shared" si="111"/>
        <v>1593.3014081399592</v>
      </c>
      <c r="IR34" s="5">
        <f t="shared" si="111"/>
        <v>1577.3683940585597</v>
      </c>
      <c r="IS34" s="5">
        <f t="shared" si="111"/>
        <v>1561.594710117974</v>
      </c>
      <c r="IT34" s="5">
        <f t="shared" si="111"/>
        <v>1545.9787630167943</v>
      </c>
      <c r="IU34" s="5">
        <f t="shared" si="111"/>
        <v>1530.5189753866264</v>
      </c>
      <c r="IV34" s="5">
        <f t="shared" si="111"/>
        <v>1515.2137856327602</v>
      </c>
      <c r="IW34" s="5">
        <f t="shared" si="111"/>
        <v>1500.0616477764324</v>
      </c>
      <c r="IX34" s="5">
        <f t="shared" si="111"/>
        <v>1485.061031298668</v>
      </c>
      <c r="IY34" s="5">
        <f t="shared" si="111"/>
        <v>1470.2104209856814</v>
      </c>
      <c r="IZ34" s="5">
        <f t="shared" si="111"/>
        <v>1455.5083167758246</v>
      </c>
      <c r="JA34" s="5">
        <f t="shared" si="111"/>
        <v>1440.9532336080663</v>
      </c>
      <c r="JB34" s="5">
        <f t="shared" si="111"/>
        <v>1426.5437012719856</v>
      </c>
      <c r="JC34" s="5">
        <f t="shared" si="111"/>
        <v>1412.2782642592658</v>
      </c>
      <c r="JD34" s="5">
        <f t="shared" si="111"/>
        <v>1398.1554816166731</v>
      </c>
      <c r="JE34" s="5">
        <f t="shared" si="111"/>
        <v>1384.1739268005065</v>
      </c>
      <c r="JF34" s="5">
        <f t="shared" si="111"/>
        <v>1370.3321875325014</v>
      </c>
      <c r="JG34" s="5">
        <f t="shared" si="111"/>
        <v>1356.6288656571764</v>
      </c>
      <c r="JH34" s="5">
        <f t="shared" si="111"/>
        <v>1343.0625770006047</v>
      </c>
      <c r="JI34" s="5">
        <f t="shared" si="111"/>
        <v>1329.6319512305986</v>
      </c>
      <c r="JJ34" s="5">
        <f t="shared" si="111"/>
        <v>1316.3356317182927</v>
      </c>
      <c r="JK34" s="5">
        <f t="shared" si="111"/>
        <v>1303.1722754011098</v>
      </c>
      <c r="JL34" s="5">
        <f t="shared" si="111"/>
        <v>1290.1405526470987</v>
      </c>
      <c r="JM34" s="5">
        <f t="shared" si="111"/>
        <v>1277.2391471206276</v>
      </c>
      <c r="JN34" s="5">
        <f t="shared" si="111"/>
        <v>1264.4667556494214</v>
      </c>
      <c r="JO34" s="5">
        <f t="shared" si="111"/>
        <v>1251.8220880929273</v>
      </c>
      <c r="JP34" s="5">
        <f t="shared" si="111"/>
        <v>1239.3038672119981</v>
      </c>
      <c r="JQ34" s="5">
        <f t="shared" si="111"/>
        <v>1226.9108285398781</v>
      </c>
      <c r="JR34" s="5">
        <f t="shared" si="111"/>
        <v>1214.6417202544794</v>
      </c>
      <c r="JS34" s="5">
        <f t="shared" si="111"/>
        <v>1202.4953030519346</v>
      </c>
      <c r="JT34" s="5">
        <f t="shared" si="111"/>
        <v>1190.4703500214152</v>
      </c>
      <c r="JU34" s="5">
        <f t="shared" si="111"/>
        <v>1178.5656465212012</v>
      </c>
      <c r="JV34" s="5">
        <f t="shared" si="111"/>
        <v>1166.7799900559892</v>
      </c>
      <c r="JW34" s="5">
        <f t="shared" si="111"/>
        <v>1155.1121901554293</v>
      </c>
      <c r="JX34" s="5">
        <f t="shared" si="111"/>
        <v>1143.561068253875</v>
      </c>
      <c r="JY34" s="5">
        <f t="shared" si="111"/>
        <v>1132.1254575713363</v>
      </c>
      <c r="JZ34" s="5">
        <f t="shared" si="111"/>
        <v>1120.804202995623</v>
      </c>
      <c r="KA34" s="5">
        <f t="shared" si="111"/>
        <v>1109.5961609656667</v>
      </c>
      <c r="KB34" s="5">
        <f t="shared" si="111"/>
        <v>1098.5001993560102</v>
      </c>
      <c r="KC34" s="5">
        <f t="shared" si="111"/>
        <v>1087.51519736245</v>
      </c>
      <c r="KD34" s="5">
        <f t="shared" si="111"/>
        <v>1076.6400453888255</v>
      </c>
      <c r="KE34" s="5">
        <f t="shared" si="111"/>
        <v>1065.8736449349371</v>
      </c>
      <c r="KF34" s="5">
        <f t="shared" si="111"/>
        <v>1055.2149084855878</v>
      </c>
      <c r="KG34" s="5">
        <f t="shared" si="111"/>
        <v>1044.6627594007318</v>
      </c>
      <c r="KH34" s="5">
        <f t="shared" si="111"/>
        <v>1034.2161318067244</v>
      </c>
      <c r="KI34" s="5">
        <f t="shared" si="111"/>
        <v>1023.8739704886572</v>
      </c>
      <c r="KJ34" s="5">
        <f t="shared" si="111"/>
        <v>1013.6352307837706</v>
      </c>
      <c r="KK34" s="5">
        <f t="shared" si="111"/>
        <v>1003.4988784759329</v>
      </c>
      <c r="KL34" s="5">
        <f t="shared" si="111"/>
        <v>993.46388969117356</v>
      </c>
      <c r="KM34" s="5">
        <f t="shared" si="111"/>
        <v>983.52925079426177</v>
      </c>
      <c r="KN34" s="5">
        <f t="shared" si="111"/>
        <v>973.69395828631912</v>
      </c>
      <c r="KO34" s="5">
        <f t="shared" si="111"/>
        <v>963.9570187034559</v>
      </c>
      <c r="KP34" s="5">
        <f t="shared" si="111"/>
        <v>954.31744851642134</v>
      </c>
      <c r="KQ34" s="5">
        <f t="shared" si="111"/>
        <v>944.77427403125716</v>
      </c>
      <c r="KR34" s="5">
        <f t="shared" si="111"/>
        <v>935.32653129094456</v>
      </c>
      <c r="KS34" s="5">
        <f t="shared" ref="KS34:ND34" si="112">KR34*(1+$BB$40)</f>
        <v>925.9732659780351</v>
      </c>
      <c r="KT34" s="5">
        <f t="shared" si="112"/>
        <v>916.71353331825469</v>
      </c>
      <c r="KU34" s="5">
        <f t="shared" si="112"/>
        <v>907.54639798507219</v>
      </c>
      <c r="KV34" s="5">
        <f t="shared" si="112"/>
        <v>898.47093400522147</v>
      </c>
      <c r="KW34" s="5">
        <f t="shared" si="112"/>
        <v>889.48622466516929</v>
      </c>
      <c r="KX34" s="5">
        <f t="shared" si="112"/>
        <v>880.59136241851763</v>
      </c>
      <c r="KY34" s="5">
        <f t="shared" si="112"/>
        <v>871.78544879433241</v>
      </c>
      <c r="KZ34" s="5">
        <f t="shared" si="112"/>
        <v>863.06759430638908</v>
      </c>
      <c r="LA34" s="5">
        <f t="shared" si="112"/>
        <v>854.43691836332516</v>
      </c>
      <c r="LB34" s="5">
        <f t="shared" si="112"/>
        <v>845.89254917969185</v>
      </c>
      <c r="LC34" s="5">
        <f t="shared" si="112"/>
        <v>837.43362368789496</v>
      </c>
      <c r="LD34" s="5">
        <f t="shared" si="112"/>
        <v>829.05928745101596</v>
      </c>
      <c r="LE34" s="5">
        <f t="shared" si="112"/>
        <v>820.76869457650582</v>
      </c>
      <c r="LF34" s="5">
        <f t="shared" si="112"/>
        <v>812.56100763074073</v>
      </c>
      <c r="LG34" s="5">
        <f t="shared" si="112"/>
        <v>804.43539755443328</v>
      </c>
      <c r="LH34" s="5">
        <f t="shared" si="112"/>
        <v>796.39104357888891</v>
      </c>
      <c r="LI34" s="5">
        <f t="shared" si="112"/>
        <v>788.42713314310004</v>
      </c>
      <c r="LJ34" s="5">
        <f t="shared" si="112"/>
        <v>780.54286181166901</v>
      </c>
      <c r="LK34" s="5">
        <f t="shared" si="112"/>
        <v>772.73743319355231</v>
      </c>
      <c r="LL34" s="5">
        <f t="shared" si="112"/>
        <v>765.01005886161681</v>
      </c>
      <c r="LM34" s="5">
        <f t="shared" si="112"/>
        <v>757.35995827300064</v>
      </c>
      <c r="LN34" s="5">
        <f t="shared" si="112"/>
        <v>749.78635869027062</v>
      </c>
      <c r="LO34" s="5">
        <f t="shared" si="112"/>
        <v>742.28849510336795</v>
      </c>
      <c r="LP34" s="5">
        <f t="shared" si="112"/>
        <v>734.86561015233428</v>
      </c>
      <c r="LQ34" s="5">
        <f t="shared" si="112"/>
        <v>727.51695405081091</v>
      </c>
      <c r="LR34" s="5">
        <f t="shared" si="112"/>
        <v>720.24178451030275</v>
      </c>
      <c r="LS34" s="5">
        <f t="shared" si="112"/>
        <v>713.03936666519974</v>
      </c>
      <c r="LT34" s="5">
        <f t="shared" si="112"/>
        <v>705.90897299854771</v>
      </c>
      <c r="LU34" s="5">
        <f t="shared" si="112"/>
        <v>698.84988326856228</v>
      </c>
      <c r="LV34" s="5">
        <f t="shared" si="112"/>
        <v>691.86138443587663</v>
      </c>
      <c r="LW34" s="5">
        <f t="shared" si="112"/>
        <v>684.94277059151784</v>
      </c>
      <c r="LX34" s="5">
        <f t="shared" si="112"/>
        <v>678.09334288560262</v>
      </c>
      <c r="LY34" s="5">
        <f t="shared" si="112"/>
        <v>671.31240945674654</v>
      </c>
      <c r="LZ34" s="5">
        <f t="shared" si="112"/>
        <v>664.5992853621791</v>
      </c>
      <c r="MA34" s="5">
        <f t="shared" si="112"/>
        <v>657.9532925085573</v>
      </c>
      <c r="MB34" s="5">
        <f t="shared" si="112"/>
        <v>651.37375958347172</v>
      </c>
      <c r="MC34" s="5">
        <f t="shared" si="112"/>
        <v>644.86002198763697</v>
      </c>
      <c r="MD34" s="5">
        <f t="shared" si="112"/>
        <v>638.41142176776054</v>
      </c>
      <c r="ME34" s="5">
        <f t="shared" si="112"/>
        <v>632.02730755008292</v>
      </c>
      <c r="MF34" s="5">
        <f t="shared" si="112"/>
        <v>625.70703447458209</v>
      </c>
      <c r="MG34" s="5">
        <f t="shared" si="112"/>
        <v>619.4499641298363</v>
      </c>
      <c r="MH34" s="5">
        <f t="shared" si="112"/>
        <v>613.25546448853788</v>
      </c>
      <c r="MI34" s="5">
        <f t="shared" si="112"/>
        <v>607.12290984365245</v>
      </c>
      <c r="MJ34" s="5">
        <f t="shared" si="112"/>
        <v>601.05168074521589</v>
      </c>
      <c r="MK34" s="5">
        <f t="shared" si="112"/>
        <v>595.04116393776371</v>
      </c>
      <c r="ML34" s="5">
        <f t="shared" si="112"/>
        <v>589.09075229838606</v>
      </c>
      <c r="MM34" s="5">
        <f t="shared" si="112"/>
        <v>583.1998447754022</v>
      </c>
      <c r="MN34" s="5">
        <f t="shared" si="112"/>
        <v>577.36784632764818</v>
      </c>
      <c r="MO34" s="5">
        <f t="shared" si="112"/>
        <v>571.59416786437168</v>
      </c>
      <c r="MP34" s="5">
        <f t="shared" si="112"/>
        <v>565.87822618572795</v>
      </c>
      <c r="MQ34" s="5">
        <f t="shared" si="112"/>
        <v>560.2194439238707</v>
      </c>
      <c r="MR34" s="5">
        <f t="shared" si="112"/>
        <v>554.617249484632</v>
      </c>
      <c r="MS34" s="5">
        <f t="shared" si="112"/>
        <v>549.07107698978564</v>
      </c>
      <c r="MT34" s="5">
        <f t="shared" si="112"/>
        <v>543.58036621988776</v>
      </c>
      <c r="MU34" s="5">
        <f t="shared" si="112"/>
        <v>538.14456255768891</v>
      </c>
      <c r="MV34" s="5">
        <f t="shared" si="112"/>
        <v>532.76311693211198</v>
      </c>
      <c r="MW34" s="5">
        <f t="shared" si="112"/>
        <v>527.4354857627909</v>
      </c>
      <c r="MX34" s="5">
        <f t="shared" si="112"/>
        <v>522.16113090516296</v>
      </c>
      <c r="MY34" s="5">
        <f t="shared" si="112"/>
        <v>516.93951959611138</v>
      </c>
      <c r="MZ34" s="5">
        <f t="shared" si="112"/>
        <v>511.77012440015028</v>
      </c>
      <c r="NA34" s="5">
        <f t="shared" si="112"/>
        <v>506.65242315614876</v>
      </c>
      <c r="NB34" s="5">
        <f t="shared" si="112"/>
        <v>501.58589892458724</v>
      </c>
      <c r="NC34" s="5">
        <f t="shared" si="112"/>
        <v>496.57003993534136</v>
      </c>
      <c r="ND34" s="5">
        <f t="shared" si="112"/>
        <v>491.60433953598795</v>
      </c>
      <c r="NE34" s="5">
        <f t="shared" ref="NE34:PP34" si="113">ND34*(1+$BB$40)</f>
        <v>486.68829614062804</v>
      </c>
      <c r="NF34" s="5">
        <f t="shared" si="113"/>
        <v>481.82141317922174</v>
      </c>
      <c r="NG34" s="5">
        <f t="shared" si="113"/>
        <v>477.00319904742952</v>
      </c>
      <c r="NH34" s="5">
        <f t="shared" si="113"/>
        <v>472.23316705695521</v>
      </c>
      <c r="NI34" s="5">
        <f t="shared" si="113"/>
        <v>467.51083538638568</v>
      </c>
      <c r="NJ34" s="5">
        <f t="shared" si="113"/>
        <v>462.83572703252185</v>
      </c>
      <c r="NK34" s="5">
        <f t="shared" si="113"/>
        <v>458.20736976219661</v>
      </c>
      <c r="NL34" s="5">
        <f t="shared" si="113"/>
        <v>453.62529606457463</v>
      </c>
      <c r="NM34" s="5">
        <f t="shared" si="113"/>
        <v>449.08904310392887</v>
      </c>
      <c r="NN34" s="5">
        <f t="shared" si="113"/>
        <v>444.59815267288957</v>
      </c>
      <c r="NO34" s="5">
        <f t="shared" si="113"/>
        <v>440.1521711461607</v>
      </c>
      <c r="NP34" s="5">
        <f t="shared" si="113"/>
        <v>435.75064943469908</v>
      </c>
      <c r="NQ34" s="5">
        <f t="shared" si="113"/>
        <v>431.39314294035211</v>
      </c>
      <c r="NR34" s="5">
        <f t="shared" si="113"/>
        <v>427.0792115109486</v>
      </c>
      <c r="NS34" s="5">
        <f t="shared" si="113"/>
        <v>422.80841939583911</v>
      </c>
      <c r="NT34" s="5">
        <f t="shared" si="113"/>
        <v>418.5803352018807</v>
      </c>
      <c r="NU34" s="5">
        <f t="shared" si="113"/>
        <v>414.39453184986189</v>
      </c>
      <c r="NV34" s="5">
        <f t="shared" si="113"/>
        <v>410.2505865313633</v>
      </c>
      <c r="NW34" s="5">
        <f t="shared" si="113"/>
        <v>406.14808066604968</v>
      </c>
      <c r="NX34" s="5">
        <f t="shared" si="113"/>
        <v>402.0865998593892</v>
      </c>
      <c r="NY34" s="5">
        <f t="shared" si="113"/>
        <v>398.06573386079532</v>
      </c>
      <c r="NZ34" s="5">
        <f t="shared" si="113"/>
        <v>394.08507652218736</v>
      </c>
      <c r="OA34" s="5">
        <f t="shared" si="113"/>
        <v>390.14422575696551</v>
      </c>
      <c r="OB34" s="5">
        <f t="shared" si="113"/>
        <v>386.24278349939584</v>
      </c>
      <c r="OC34" s="5">
        <f t="shared" si="113"/>
        <v>382.38035566440186</v>
      </c>
      <c r="OD34" s="5">
        <f t="shared" si="113"/>
        <v>378.55655210775785</v>
      </c>
      <c r="OE34" s="5">
        <f t="shared" si="113"/>
        <v>374.77098658668029</v>
      </c>
      <c r="OF34" s="5">
        <f t="shared" si="113"/>
        <v>371.0232767208135</v>
      </c>
      <c r="OG34" s="5">
        <f t="shared" si="113"/>
        <v>367.31304395360536</v>
      </c>
      <c r="OH34" s="5">
        <f t="shared" si="113"/>
        <v>363.63991351406929</v>
      </c>
      <c r="OI34" s="5">
        <f t="shared" si="113"/>
        <v>360.00351437892857</v>
      </c>
      <c r="OJ34" s="5">
        <f t="shared" si="113"/>
        <v>356.40347923513929</v>
      </c>
      <c r="OK34" s="5">
        <f t="shared" si="113"/>
        <v>352.83944444278791</v>
      </c>
      <c r="OL34" s="5">
        <f t="shared" si="113"/>
        <v>349.31104999836003</v>
      </c>
      <c r="OM34" s="5">
        <f t="shared" si="113"/>
        <v>345.8179394983764</v>
      </c>
      <c r="ON34" s="5">
        <f t="shared" si="113"/>
        <v>342.35976010339266</v>
      </c>
      <c r="OO34" s="5">
        <f t="shared" si="113"/>
        <v>338.93616250235874</v>
      </c>
      <c r="OP34" s="5">
        <f t="shared" si="113"/>
        <v>335.54680087733516</v>
      </c>
      <c r="OQ34" s="5">
        <f t="shared" si="113"/>
        <v>332.1913328685618</v>
      </c>
      <c r="OR34" s="5">
        <f t="shared" si="113"/>
        <v>328.86941953987616</v>
      </c>
      <c r="OS34" s="5">
        <f t="shared" si="113"/>
        <v>325.5807253444774</v>
      </c>
      <c r="OT34" s="5">
        <f t="shared" si="113"/>
        <v>322.3249180910326</v>
      </c>
      <c r="OU34" s="5">
        <f t="shared" si="113"/>
        <v>319.10166891012227</v>
      </c>
      <c r="OV34" s="5">
        <f t="shared" si="113"/>
        <v>315.91065222102105</v>
      </c>
      <c r="OW34" s="5">
        <f t="shared" si="113"/>
        <v>312.75154569881084</v>
      </c>
      <c r="OX34" s="5">
        <f t="shared" si="113"/>
        <v>309.62403024182271</v>
      </c>
      <c r="OY34" s="5">
        <f t="shared" si="113"/>
        <v>306.5277899394045</v>
      </c>
      <c r="OZ34" s="5">
        <f t="shared" si="113"/>
        <v>303.46251204001044</v>
      </c>
      <c r="PA34" s="5">
        <f t="shared" si="113"/>
        <v>300.42788691961033</v>
      </c>
      <c r="PB34" s="5">
        <f t="shared" si="113"/>
        <v>297.4236080504142</v>
      </c>
      <c r="PC34" s="5">
        <f t="shared" si="113"/>
        <v>294.44937196991003</v>
      </c>
      <c r="PD34" s="5">
        <f t="shared" si="113"/>
        <v>291.50487825021094</v>
      </c>
      <c r="PE34" s="5">
        <f t="shared" si="113"/>
        <v>288.5898294677088</v>
      </c>
      <c r="PF34" s="5">
        <f t="shared" si="113"/>
        <v>285.70393117303172</v>
      </c>
      <c r="PG34" s="5">
        <f t="shared" si="113"/>
        <v>282.8468918613014</v>
      </c>
      <c r="PH34" s="5">
        <f t="shared" si="113"/>
        <v>280.0184229426884</v>
      </c>
      <c r="PI34" s="5">
        <f t="shared" si="113"/>
        <v>277.21823871326154</v>
      </c>
      <c r="PJ34" s="5">
        <f t="shared" si="113"/>
        <v>274.44605632612894</v>
      </c>
      <c r="PK34" s="5">
        <f t="shared" si="113"/>
        <v>271.70159576286767</v>
      </c>
      <c r="PL34" s="5">
        <f t="shared" si="113"/>
        <v>268.98457980523898</v>
      </c>
      <c r="PM34" s="5">
        <f t="shared" si="113"/>
        <v>266.29473400718661</v>
      </c>
      <c r="PN34" s="5">
        <f t="shared" si="113"/>
        <v>263.63178666711474</v>
      </c>
      <c r="PO34" s="5">
        <f t="shared" si="113"/>
        <v>260.99546880044358</v>
      </c>
      <c r="PP34" s="5">
        <f t="shared" si="113"/>
        <v>258.38551411243913</v>
      </c>
      <c r="PQ34" s="5">
        <f t="shared" ref="PQ34:SB34" si="114">PP34*(1+$BB$40)</f>
        <v>255.80165897131474</v>
      </c>
      <c r="PR34" s="5">
        <f t="shared" si="114"/>
        <v>253.24364238160157</v>
      </c>
      <c r="PS34" s="5">
        <f t="shared" si="114"/>
        <v>250.71120595778555</v>
      </c>
      <c r="PT34" s="5">
        <f t="shared" si="114"/>
        <v>248.2040938982077</v>
      </c>
      <c r="PU34" s="5">
        <f t="shared" si="114"/>
        <v>245.72205295922564</v>
      </c>
      <c r="PV34" s="5">
        <f t="shared" si="114"/>
        <v>243.26483242963337</v>
      </c>
      <c r="PW34" s="5">
        <f t="shared" si="114"/>
        <v>240.83218410533703</v>
      </c>
      <c r="PX34" s="5">
        <f t="shared" si="114"/>
        <v>238.42386226428366</v>
      </c>
      <c r="PY34" s="5">
        <f t="shared" si="114"/>
        <v>236.03962364164082</v>
      </c>
      <c r="PZ34" s="5">
        <f t="shared" si="114"/>
        <v>233.6792274052244</v>
      </c>
      <c r="QA34" s="5">
        <f t="shared" si="114"/>
        <v>231.34243513117215</v>
      </c>
      <c r="QB34" s="5">
        <f t="shared" si="114"/>
        <v>229.02901077986044</v>
      </c>
      <c r="QC34" s="5">
        <f t="shared" si="114"/>
        <v>226.73872067206185</v>
      </c>
      <c r="QD34" s="5">
        <f t="shared" si="114"/>
        <v>224.47133346534122</v>
      </c>
      <c r="QE34" s="5">
        <f t="shared" si="114"/>
        <v>222.22662013068779</v>
      </c>
      <c r="QF34" s="5">
        <f t="shared" si="114"/>
        <v>220.00435392938093</v>
      </c>
      <c r="QG34" s="5">
        <f t="shared" si="114"/>
        <v>217.80431039008712</v>
      </c>
      <c r="QH34" s="5">
        <f t="shared" si="114"/>
        <v>215.62626728618625</v>
      </c>
      <c r="QI34" s="5">
        <f t="shared" si="114"/>
        <v>213.47000461332439</v>
      </c>
      <c r="QJ34" s="5">
        <f t="shared" si="114"/>
        <v>211.33530456719114</v>
      </c>
      <c r="QK34" s="5">
        <f t="shared" si="114"/>
        <v>209.22195152151923</v>
      </c>
      <c r="QL34" s="5">
        <f t="shared" si="114"/>
        <v>207.12973200630404</v>
      </c>
      <c r="QM34" s="5">
        <f t="shared" si="114"/>
        <v>205.05843468624099</v>
      </c>
      <c r="QN34" s="5">
        <f t="shared" si="114"/>
        <v>203.00785033937856</v>
      </c>
      <c r="QO34" s="5">
        <f t="shared" si="114"/>
        <v>200.97777183598478</v>
      </c>
      <c r="QP34" s="5">
        <f t="shared" si="114"/>
        <v>198.96799411762493</v>
      </c>
      <c r="QQ34" s="5">
        <f t="shared" si="114"/>
        <v>196.97831417644866</v>
      </c>
      <c r="QR34" s="5">
        <f t="shared" si="114"/>
        <v>195.00853103468418</v>
      </c>
      <c r="QS34" s="5">
        <f t="shared" si="114"/>
        <v>193.05844572433733</v>
      </c>
      <c r="QT34" s="5">
        <f t="shared" si="114"/>
        <v>191.12786126709395</v>
      </c>
      <c r="QU34" s="5">
        <f t="shared" si="114"/>
        <v>189.21658265442301</v>
      </c>
      <c r="QV34" s="5">
        <f t="shared" si="114"/>
        <v>187.32441682787876</v>
      </c>
      <c r="QW34" s="5">
        <f t="shared" si="114"/>
        <v>185.45117265959996</v>
      </c>
      <c r="QX34" s="5">
        <f t="shared" si="114"/>
        <v>183.59666093300396</v>
      </c>
      <c r="QY34" s="5">
        <f t="shared" si="114"/>
        <v>181.76069432367393</v>
      </c>
      <c r="QZ34" s="5">
        <f t="shared" si="114"/>
        <v>179.94308738043719</v>
      </c>
      <c r="RA34" s="5">
        <f t="shared" si="114"/>
        <v>178.14365650663282</v>
      </c>
      <c r="RB34" s="5">
        <f t="shared" si="114"/>
        <v>176.36221994156648</v>
      </c>
      <c r="RC34" s="5">
        <f t="shared" si="114"/>
        <v>174.59859774215082</v>
      </c>
      <c r="RD34" s="5">
        <f t="shared" si="114"/>
        <v>172.85261176472932</v>
      </c>
      <c r="RE34" s="5">
        <f t="shared" si="114"/>
        <v>171.12408564708201</v>
      </c>
      <c r="RF34" s="5">
        <f t="shared" si="114"/>
        <v>169.41284479061119</v>
      </c>
      <c r="RG34" s="5">
        <f t="shared" si="114"/>
        <v>167.71871634270508</v>
      </c>
      <c r="RH34" s="5">
        <f t="shared" si="114"/>
        <v>166.04152917927803</v>
      </c>
      <c r="RI34" s="5">
        <f t="shared" si="114"/>
        <v>164.38111388748524</v>
      </c>
      <c r="RJ34" s="5">
        <f t="shared" si="114"/>
        <v>162.73730274861038</v>
      </c>
      <c r="RK34" s="5">
        <f t="shared" si="114"/>
        <v>161.10992972112427</v>
      </c>
      <c r="RL34" s="5">
        <f t="shared" si="114"/>
        <v>159.49883042391303</v>
      </c>
      <c r="RM34" s="5">
        <f t="shared" si="114"/>
        <v>157.9038421196739</v>
      </c>
      <c r="RN34" s="5">
        <f t="shared" si="114"/>
        <v>156.32480369847715</v>
      </c>
      <c r="RO34" s="5">
        <f t="shared" si="114"/>
        <v>154.76155566149239</v>
      </c>
      <c r="RP34" s="5">
        <f t="shared" si="114"/>
        <v>153.21394010487748</v>
      </c>
      <c r="RQ34" s="5">
        <f t="shared" si="114"/>
        <v>151.68180070382871</v>
      </c>
      <c r="RR34" s="5">
        <f t="shared" si="114"/>
        <v>150.16498269679042</v>
      </c>
      <c r="RS34" s="5">
        <f t="shared" si="114"/>
        <v>148.66333286982251</v>
      </c>
      <c r="RT34" s="5">
        <f t="shared" si="114"/>
        <v>147.17669954112429</v>
      </c>
      <c r="RU34" s="5">
        <f t="shared" si="114"/>
        <v>145.70493254571304</v>
      </c>
      <c r="RV34" s="5">
        <f t="shared" si="114"/>
        <v>144.24788322025591</v>
      </c>
      <c r="RW34" s="5">
        <f t="shared" si="114"/>
        <v>142.80540438805335</v>
      </c>
      <c r="RX34" s="5">
        <f t="shared" si="114"/>
        <v>141.37735034417281</v>
      </c>
      <c r="RY34" s="5">
        <f t="shared" si="114"/>
        <v>139.96357684073109</v>
      </c>
      <c r="RZ34" s="5">
        <f t="shared" si="114"/>
        <v>138.56394107232379</v>
      </c>
      <c r="SA34" s="5">
        <f t="shared" si="114"/>
        <v>137.17830166160056</v>
      </c>
      <c r="SB34" s="5">
        <f t="shared" si="114"/>
        <v>135.80651864498455</v>
      </c>
      <c r="SC34" s="5">
        <f t="shared" ref="SC34:TR34" si="115">SB34*(1+$BB$40)</f>
        <v>134.44845345853471</v>
      </c>
      <c r="SD34" s="5">
        <f t="shared" si="115"/>
        <v>133.10396892394937</v>
      </c>
      <c r="SE34" s="5">
        <f t="shared" si="115"/>
        <v>131.77292923470986</v>
      </c>
      <c r="SF34" s="5">
        <f t="shared" si="115"/>
        <v>130.45519994236275</v>
      </c>
      <c r="SG34" s="5">
        <f t="shared" si="115"/>
        <v>129.15064794293912</v>
      </c>
      <c r="SH34" s="5">
        <f t="shared" si="115"/>
        <v>127.85914146350973</v>
      </c>
      <c r="SI34" s="5">
        <f t="shared" si="115"/>
        <v>126.58055004887463</v>
      </c>
      <c r="SJ34" s="5">
        <f t="shared" si="115"/>
        <v>125.31474454838587</v>
      </c>
      <c r="SK34" s="5">
        <f t="shared" si="115"/>
        <v>124.06159710290201</v>
      </c>
      <c r="SL34" s="5">
        <f t="shared" si="115"/>
        <v>122.820981131873</v>
      </c>
      <c r="SM34" s="5">
        <f t="shared" si="115"/>
        <v>121.59277132055426</v>
      </c>
      <c r="SN34" s="5">
        <f t="shared" si="115"/>
        <v>120.37684360734872</v>
      </c>
      <c r="SO34" s="5">
        <f t="shared" si="115"/>
        <v>119.17307517127523</v>
      </c>
      <c r="SP34" s="5">
        <f t="shared" si="115"/>
        <v>117.98134441956248</v>
      </c>
      <c r="SQ34" s="5">
        <f t="shared" si="115"/>
        <v>116.80153097536684</v>
      </c>
      <c r="SR34" s="5">
        <f t="shared" si="115"/>
        <v>115.63351566561317</v>
      </c>
      <c r="SS34" s="5">
        <f t="shared" si="115"/>
        <v>114.47718050895705</v>
      </c>
      <c r="ST34" s="5">
        <f t="shared" si="115"/>
        <v>113.33240870386747</v>
      </c>
      <c r="SU34" s="5">
        <f t="shared" si="115"/>
        <v>112.1990846168288</v>
      </c>
      <c r="SV34" s="5">
        <f t="shared" si="115"/>
        <v>111.07709377066051</v>
      </c>
      <c r="SW34" s="5">
        <f t="shared" si="115"/>
        <v>109.96632283295391</v>
      </c>
      <c r="SX34" s="5">
        <f t="shared" si="115"/>
        <v>108.86665960462436</v>
      </c>
      <c r="SY34" s="5">
        <f t="shared" si="115"/>
        <v>107.77799300857812</v>
      </c>
      <c r="SZ34" s="5">
        <f t="shared" si="115"/>
        <v>106.70021307849234</v>
      </c>
      <c r="TA34" s="5">
        <f t="shared" si="115"/>
        <v>105.63321094770741</v>
      </c>
      <c r="TB34" s="5">
        <f t="shared" si="115"/>
        <v>104.57687883823034</v>
      </c>
      <c r="TC34" s="5">
        <f t="shared" si="115"/>
        <v>103.53111004984804</v>
      </c>
      <c r="TD34" s="5">
        <f t="shared" si="115"/>
        <v>102.49579894934956</v>
      </c>
      <c r="TE34" s="5">
        <f t="shared" si="115"/>
        <v>101.47084095985606</v>
      </c>
      <c r="TF34" s="5">
        <f t="shared" si="115"/>
        <v>100.45613255025751</v>
      </c>
      <c r="TG34" s="5">
        <f t="shared" si="115"/>
        <v>99.451571224754929</v>
      </c>
      <c r="TH34" s="5">
        <f t="shared" si="115"/>
        <v>98.457055512507381</v>
      </c>
      <c r="TI34" s="5">
        <f t="shared" si="115"/>
        <v>97.472484957382306</v>
      </c>
      <c r="TJ34" s="5">
        <f t="shared" si="115"/>
        <v>96.497760107808489</v>
      </c>
      <c r="TK34" s="5">
        <f t="shared" si="115"/>
        <v>95.532782506730399</v>
      </c>
      <c r="TL34" s="5">
        <f t="shared" si="115"/>
        <v>94.577454681663099</v>
      </c>
      <c r="TM34" s="5">
        <f t="shared" si="115"/>
        <v>93.631680134846462</v>
      </c>
      <c r="TN34" s="5">
        <f t="shared" si="115"/>
        <v>92.695363333497994</v>
      </c>
      <c r="TO34" s="5">
        <f t="shared" si="115"/>
        <v>91.768409700163019</v>
      </c>
      <c r="TP34" s="5">
        <f t="shared" si="115"/>
        <v>90.850725603161393</v>
      </c>
      <c r="TQ34" s="5">
        <f t="shared" si="115"/>
        <v>89.942218347129781</v>
      </c>
      <c r="TR34" s="5">
        <f t="shared" si="115"/>
        <v>89.04279616365848</v>
      </c>
    </row>
    <row r="35" spans="1:538" x14ac:dyDescent="0.25">
      <c r="B35" t="s">
        <v>2</v>
      </c>
      <c r="C35" s="2">
        <v>475.15300000000002</v>
      </c>
      <c r="D35" s="2">
        <v>441.40800000000002</v>
      </c>
      <c r="E35" s="2">
        <v>445.78300000000002</v>
      </c>
      <c r="F35" s="2">
        <v>449.74400000000003</v>
      </c>
      <c r="G35" s="2">
        <v>453.61900000000003</v>
      </c>
      <c r="H35" s="2">
        <v>1110.704</v>
      </c>
      <c r="I35" s="2">
        <v>1700.213</v>
      </c>
      <c r="J35" s="2">
        <v>1710.26</v>
      </c>
      <c r="K35" s="2">
        <v>1724.367</v>
      </c>
      <c r="L35" s="2">
        <v>1738.8969999999999</v>
      </c>
      <c r="M35" s="2">
        <v>1755.029</v>
      </c>
      <c r="N35" s="2">
        <v>1793.0840000000001</v>
      </c>
      <c r="O35" s="2">
        <v>1858.5250000000001</v>
      </c>
      <c r="P35" s="2">
        <v>1955.9749999999999</v>
      </c>
      <c r="Q35" s="2">
        <v>1898.954</v>
      </c>
      <c r="R35" s="2">
        <v>2005.5909999999999</v>
      </c>
      <c r="S35" s="2">
        <v>1957.731</v>
      </c>
      <c r="T35" s="2">
        <v>1968.8820000000001</v>
      </c>
      <c r="U35" s="2">
        <v>1979.299</v>
      </c>
      <c r="V35" s="2">
        <v>2060.5749999999998</v>
      </c>
      <c r="W35" s="2">
        <v>2009.557</v>
      </c>
      <c r="X35" s="2">
        <v>2079.2649999999999</v>
      </c>
      <c r="Y35" s="2">
        <v>2108.4789999999998</v>
      </c>
      <c r="Z35" s="2">
        <v>2121.9290000000001</v>
      </c>
      <c r="AA35" s="2">
        <f>W35*1.07</f>
        <v>2150.2259900000004</v>
      </c>
      <c r="AB35" s="2">
        <f t="shared" ref="AB35:AD35" si="116">X35*1.07</f>
        <v>2224.8135499999999</v>
      </c>
      <c r="AC35" s="2">
        <f t="shared" si="116"/>
        <v>2256.0725299999999</v>
      </c>
      <c r="AD35" s="2">
        <f t="shared" si="116"/>
        <v>2270.4640300000001</v>
      </c>
      <c r="AK35" s="2">
        <f>F35</f>
        <v>449.74400000000003</v>
      </c>
      <c r="AL35" s="2">
        <f>J35</f>
        <v>1710.26</v>
      </c>
      <c r="AM35" s="2">
        <f>N35</f>
        <v>1793.0840000000001</v>
      </c>
      <c r="AN35" s="2">
        <f>R35</f>
        <v>2005.5909999999999</v>
      </c>
      <c r="AO35" s="2">
        <f>V35</f>
        <v>2060.5749999999998</v>
      </c>
      <c r="AP35" s="2">
        <f>Z35</f>
        <v>2121.9290000000001</v>
      </c>
      <c r="AQ35" s="2">
        <f>AD35</f>
        <v>2270.4640300000001</v>
      </c>
      <c r="AR35" s="2">
        <f>AQ35*1.01</f>
        <v>2293.1686703</v>
      </c>
      <c r="AS35" s="2">
        <f t="shared" ref="AS35:AU35" si="117">AR35*1.01</f>
        <v>2316.1003570030002</v>
      </c>
      <c r="AT35" s="2">
        <f t="shared" si="117"/>
        <v>2339.2613605730303</v>
      </c>
      <c r="AU35" s="2">
        <f t="shared" si="117"/>
        <v>2362.6539741787606</v>
      </c>
    </row>
    <row r="36" spans="1:538" x14ac:dyDescent="0.25">
      <c r="B36" t="s">
        <v>23</v>
      </c>
      <c r="C36" s="1">
        <f t="shared" ref="C36:Y36" si="118">C34/C35</f>
        <v>8.0731890569984817</v>
      </c>
      <c r="D36" s="1">
        <f t="shared" si="118"/>
        <v>-1.7670726402783818</v>
      </c>
      <c r="E36" s="1">
        <f t="shared" si="118"/>
        <v>-1.9179735431813236</v>
      </c>
      <c r="F36" s="1">
        <f t="shared" si="118"/>
        <v>-1.7298729944146003</v>
      </c>
      <c r="G36" s="1">
        <f t="shared" si="118"/>
        <v>-1.9090911094993814</v>
      </c>
      <c r="H36" s="1">
        <f t="shared" si="118"/>
        <v>-4.6033866808798747</v>
      </c>
      <c r="I36" s="1">
        <f t="shared" si="118"/>
        <v>-0.62345129698455426</v>
      </c>
      <c r="J36" s="1">
        <f t="shared" si="118"/>
        <v>-0.58178288681253143</v>
      </c>
      <c r="K36" s="1">
        <f t="shared" si="118"/>
        <v>-1.6284236476341754</v>
      </c>
      <c r="L36" s="1">
        <f t="shared" si="118"/>
        <v>-0.94657705430511418</v>
      </c>
      <c r="M36" s="1">
        <f t="shared" si="118"/>
        <v>-0.54187138788020028</v>
      </c>
      <c r="N36" s="1">
        <f t="shared" si="118"/>
        <v>-0.43946630498069245</v>
      </c>
      <c r="O36" s="1">
        <f t="shared" si="118"/>
        <v>5.595835407110477E-2</v>
      </c>
      <c r="P36" s="1">
        <f t="shared" si="118"/>
        <v>0.70041795012717445</v>
      </c>
      <c r="Q36" s="1">
        <f t="shared" si="118"/>
        <v>-1.1616921736914112</v>
      </c>
      <c r="R36" s="1">
        <f t="shared" si="118"/>
        <v>0.5674137947368133</v>
      </c>
      <c r="S36" s="1">
        <f t="shared" si="118"/>
        <v>-2.8992747216037342</v>
      </c>
      <c r="T36" s="1">
        <f t="shared" si="118"/>
        <v>-1.197633987206953</v>
      </c>
      <c r="U36" s="1">
        <f t="shared" si="118"/>
        <v>-0.49461955975322575</v>
      </c>
      <c r="V36" s="1">
        <f t="shared" si="118"/>
        <v>0.39697657207332909</v>
      </c>
      <c r="W36" s="1">
        <f t="shared" si="118"/>
        <v>2.4881105636714956E-2</v>
      </c>
      <c r="X36" s="1">
        <f t="shared" si="118"/>
        <v>0.2895253851721642</v>
      </c>
      <c r="Y36" s="1">
        <f t="shared" si="118"/>
        <v>0.2020413767459861</v>
      </c>
      <c r="Z36" s="1">
        <f>Z34/Z35</f>
        <v>0.76911150184572619</v>
      </c>
      <c r="AA36" s="1">
        <f t="shared" ref="AA36:AD36" si="119">AA34/AA35</f>
        <v>0.1744578659543165</v>
      </c>
      <c r="AB36" s="1">
        <f t="shared" si="119"/>
        <v>0.46614464757831781</v>
      </c>
      <c r="AC36" s="1">
        <f t="shared" si="119"/>
        <v>0.34815291841902846</v>
      </c>
      <c r="AD36" s="1">
        <f t="shared" si="119"/>
        <v>0.9568300783715401</v>
      </c>
      <c r="AK36" s="1">
        <f t="shared" ref="AK36:AO36" si="120">AK34/AK35</f>
        <v>3.1640221992955992</v>
      </c>
      <c r="AL36" s="1">
        <f t="shared" si="120"/>
        <v>-4.6975313694993748</v>
      </c>
      <c r="AM36" s="1">
        <f t="shared" si="120"/>
        <v>-3.4538259222657723</v>
      </c>
      <c r="AN36" s="1">
        <f t="shared" si="120"/>
        <v>0.20243409548606869</v>
      </c>
      <c r="AO36" s="1">
        <f t="shared" si="120"/>
        <v>-3.9770452422260778</v>
      </c>
      <c r="AP36" s="1">
        <f>AP34/AP35</f>
        <v>1.2771398100501949</v>
      </c>
      <c r="AQ36" s="1">
        <f t="shared" ref="AQ36:AU36" si="121">AQ34/AQ35</f>
        <v>1.9247674568869027</v>
      </c>
      <c r="AR36" s="1">
        <f t="shared" si="121"/>
        <v>2.4308195708389615</v>
      </c>
      <c r="AS36" s="1">
        <f t="shared" si="121"/>
        <v>3.1208132106516682</v>
      </c>
      <c r="AT36" s="1">
        <f t="shared" si="121"/>
        <v>4.0420793554261367</v>
      </c>
      <c r="AU36" s="1">
        <f t="shared" si="121"/>
        <v>5.2398411474379802</v>
      </c>
    </row>
    <row r="40" spans="1:538" x14ac:dyDescent="0.25">
      <c r="B40" t="s">
        <v>52</v>
      </c>
      <c r="G40" s="6">
        <f t="shared" ref="G40:Y41" si="122">G18/C18-1</f>
        <v>0.19930340557275539</v>
      </c>
      <c r="H40" s="6">
        <f t="shared" si="122"/>
        <v>0.14378612716762995</v>
      </c>
      <c r="I40" s="6">
        <f t="shared" si="122"/>
        <v>0.29517663043478271</v>
      </c>
      <c r="J40" s="6">
        <f t="shared" si="122"/>
        <v>0.36819098856758581</v>
      </c>
      <c r="K40" s="6">
        <f t="shared" si="122"/>
        <v>4.8080025814778882E-2</v>
      </c>
      <c r="L40" s="6">
        <f t="shared" si="122"/>
        <v>-0.39576753000631715</v>
      </c>
      <c r="M40" s="6">
        <f t="shared" si="122"/>
        <v>-0.26226068712300021</v>
      </c>
      <c r="N40" s="6">
        <f t="shared" si="122"/>
        <v>-0.22216760874907837</v>
      </c>
      <c r="O40" s="6">
        <f t="shared" si="122"/>
        <v>-0.10621921182266014</v>
      </c>
      <c r="P40" s="6">
        <f t="shared" si="122"/>
        <v>1.053842132775745</v>
      </c>
      <c r="Q40" s="6">
        <f t="shared" si="122"/>
        <v>0.72236046924991104</v>
      </c>
      <c r="R40" s="6">
        <f t="shared" si="122"/>
        <v>0.82559241706161135</v>
      </c>
      <c r="S40" s="6">
        <f t="shared" si="122"/>
        <v>1.361005856011023</v>
      </c>
      <c r="T40" s="6">
        <f t="shared" si="122"/>
        <v>1.0547213031305676</v>
      </c>
      <c r="U40" s="6">
        <f t="shared" si="122"/>
        <v>0.72198142414860689</v>
      </c>
      <c r="V40" s="6">
        <f t="shared" si="122"/>
        <v>0.4896157840083073</v>
      </c>
      <c r="W40" s="6">
        <f t="shared" si="122"/>
        <v>0.28727750218850301</v>
      </c>
      <c r="X40" s="6">
        <f t="shared" si="122"/>
        <v>0.14331723027375198</v>
      </c>
      <c r="Y40" s="6">
        <f t="shared" si="122"/>
        <v>0.11374805225937923</v>
      </c>
      <c r="Z40" s="6">
        <f>Z18/V18-1</f>
        <v>0.1544092018124783</v>
      </c>
      <c r="AA40" s="6">
        <f t="shared" ref="AA40:AD41" si="123">AA18/W18-1</f>
        <v>0.14187917941743167</v>
      </c>
      <c r="AB40" s="6">
        <f t="shared" si="123"/>
        <v>0.15182015167930674</v>
      </c>
      <c r="AC40" s="6">
        <f t="shared" si="123"/>
        <v>0.15418101592767974</v>
      </c>
      <c r="AD40" s="6">
        <f t="shared" si="123"/>
        <v>0.15782508051529787</v>
      </c>
      <c r="AK40" s="6"/>
      <c r="AL40" s="6">
        <f>AL18/AK18-1</f>
        <v>0.25527950310559011</v>
      </c>
      <c r="AM40" s="6">
        <f t="shared" ref="AM40:AU40" si="124">AM18/AL18-1</f>
        <v>-0.21262458471760792</v>
      </c>
      <c r="AN40" s="6">
        <f t="shared" si="124"/>
        <v>0.56701678786246523</v>
      </c>
      <c r="AO40" s="6">
        <f t="shared" si="124"/>
        <v>0.8262389000286452</v>
      </c>
      <c r="AP40" s="6">
        <f t="shared" si="124"/>
        <v>0.16952661793769797</v>
      </c>
      <c r="AQ40" s="6">
        <f t="shared" si="124"/>
        <v>0.15165633969045889</v>
      </c>
      <c r="AR40" s="6">
        <f t="shared" si="124"/>
        <v>0.16461876002971931</v>
      </c>
      <c r="AS40" s="6">
        <f t="shared" si="124"/>
        <v>0.14497869018908771</v>
      </c>
      <c r="AT40" s="6">
        <f t="shared" si="124"/>
        <v>0.15159247440387746</v>
      </c>
      <c r="AU40" s="6">
        <f t="shared" si="124"/>
        <v>0.15724081508828114</v>
      </c>
      <c r="BA40" s="12" t="s">
        <v>92</v>
      </c>
      <c r="BB40" s="6">
        <v>-0.01</v>
      </c>
    </row>
    <row r="41" spans="1:538" x14ac:dyDescent="0.25">
      <c r="B41" t="s">
        <v>53</v>
      </c>
      <c r="G41" s="6">
        <f t="shared" si="122"/>
        <v>0.45415224913494812</v>
      </c>
      <c r="H41" s="6">
        <f t="shared" si="122"/>
        <v>0.29657228017883752</v>
      </c>
      <c r="I41" s="6">
        <f t="shared" si="122"/>
        <v>0.23178807947019875</v>
      </c>
      <c r="J41" s="6">
        <f t="shared" si="122"/>
        <v>0.19318885448916401</v>
      </c>
      <c r="K41" s="6">
        <f t="shared" si="122"/>
        <v>-0.11302795954788813</v>
      </c>
      <c r="L41" s="6">
        <f t="shared" si="122"/>
        <v>-0.46896551724137936</v>
      </c>
      <c r="M41" s="6">
        <f t="shared" si="122"/>
        <v>-0.30215053763440858</v>
      </c>
      <c r="N41" s="6">
        <f t="shared" si="122"/>
        <v>-0.25220550077841208</v>
      </c>
      <c r="O41" s="6">
        <f t="shared" si="122"/>
        <v>0.14688128772635811</v>
      </c>
      <c r="P41" s="6">
        <f t="shared" si="122"/>
        <v>1.2716450216450217</v>
      </c>
      <c r="Q41" s="6">
        <f t="shared" si="122"/>
        <v>0.8782742681047766</v>
      </c>
      <c r="R41" s="6">
        <f t="shared" si="122"/>
        <v>1.1540596807772379</v>
      </c>
      <c r="S41" s="6">
        <f t="shared" si="122"/>
        <v>1.3543859649122809</v>
      </c>
      <c r="T41" s="6">
        <f t="shared" si="122"/>
        <v>1.4549785612196282</v>
      </c>
      <c r="U41" s="6">
        <f t="shared" si="122"/>
        <v>1.1218211648892535</v>
      </c>
      <c r="V41" s="6">
        <f t="shared" si="122"/>
        <v>0.709729381443299</v>
      </c>
      <c r="W41" s="6">
        <f t="shared" si="122"/>
        <v>0.30625931445603571</v>
      </c>
      <c r="X41" s="6">
        <f t="shared" si="122"/>
        <v>7.0250339607995427E-2</v>
      </c>
      <c r="Y41" s="6">
        <f t="shared" si="122"/>
        <v>8.7570075391455671E-2</v>
      </c>
      <c r="Z41" s="6">
        <f t="shared" ref="Z41" si="125">Z19/V19-1</f>
        <v>0.14132278123233455</v>
      </c>
      <c r="AA41" s="6">
        <f t="shared" si="123"/>
        <v>0.14999999999999991</v>
      </c>
      <c r="AB41" s="6">
        <f t="shared" si="123"/>
        <v>0.14999999999999991</v>
      </c>
      <c r="AC41" s="6">
        <f t="shared" si="123"/>
        <v>0.14999999999999991</v>
      </c>
      <c r="AD41" s="6">
        <f t="shared" si="123"/>
        <v>0.14999999999999991</v>
      </c>
      <c r="AK41" s="6"/>
      <c r="AL41" s="6">
        <f t="shared" ref="AL41:AU41" si="126">AL19/AK19-1</f>
        <v>0.28187800106704608</v>
      </c>
      <c r="AM41" s="6">
        <f t="shared" si="126"/>
        <v>-0.28496115427302993</v>
      </c>
      <c r="AN41" s="6">
        <f t="shared" si="126"/>
        <v>0.8143189755529685</v>
      </c>
      <c r="AO41" s="6">
        <f t="shared" si="126"/>
        <v>1.1023419955085019</v>
      </c>
      <c r="AP41" s="6">
        <f t="shared" si="126"/>
        <v>0.142326669718704</v>
      </c>
      <c r="AQ41" s="6">
        <f t="shared" si="126"/>
        <v>0.14999999999999991</v>
      </c>
      <c r="AR41" s="6">
        <f t="shared" si="126"/>
        <v>0.14999999999999991</v>
      </c>
      <c r="AS41" s="6">
        <f t="shared" si="126"/>
        <v>0.14999999999999991</v>
      </c>
      <c r="AT41" s="6">
        <f t="shared" si="126"/>
        <v>0.14999999999999991</v>
      </c>
      <c r="AU41" s="6">
        <f t="shared" si="126"/>
        <v>0.14999999999999991</v>
      </c>
      <c r="BA41" s="12" t="s">
        <v>89</v>
      </c>
      <c r="BB41" s="6">
        <f>WACC!C18</f>
        <v>8.8117841621591059E-2</v>
      </c>
    </row>
    <row r="42" spans="1:538" x14ac:dyDescent="0.25">
      <c r="B42" t="s">
        <v>54</v>
      </c>
      <c r="G42" s="6">
        <f t="shared" ref="G42:Y43" si="127">G25/C25-1</f>
        <v>0.26842684268426842</v>
      </c>
      <c r="H42" s="6">
        <f t="shared" si="127"/>
        <v>2.2839864537977745</v>
      </c>
      <c r="I42" s="6">
        <f t="shared" si="127"/>
        <v>0.43126815101645688</v>
      </c>
      <c r="J42" s="6">
        <f t="shared" si="127"/>
        <v>0.30785931393834121</v>
      </c>
      <c r="K42" s="6">
        <f t="shared" si="127"/>
        <v>0.25411968777103211</v>
      </c>
      <c r="L42" s="6">
        <f t="shared" si="127"/>
        <v>-0.63656452563347088</v>
      </c>
      <c r="M42" s="6">
        <f t="shared" si="127"/>
        <v>-0.15691579303347991</v>
      </c>
      <c r="N42" s="6">
        <f t="shared" si="127"/>
        <v>-0.19621513944223112</v>
      </c>
      <c r="O42" s="6">
        <f t="shared" si="127"/>
        <v>-0.13381742738589208</v>
      </c>
      <c r="P42" s="6">
        <f t="shared" si="127"/>
        <v>0.13173895419537907</v>
      </c>
      <c r="Q42" s="6">
        <f t="shared" si="127"/>
        <v>0.10750100280786201</v>
      </c>
      <c r="R42" s="6">
        <f t="shared" si="127"/>
        <v>0.23007021891780255</v>
      </c>
      <c r="S42" s="6">
        <f t="shared" si="127"/>
        <v>0.2199600798403194</v>
      </c>
      <c r="T42" s="6">
        <f t="shared" si="127"/>
        <v>0.21418338108882518</v>
      </c>
      <c r="U42" s="6">
        <f t="shared" si="127"/>
        <v>0.24520101412531692</v>
      </c>
      <c r="V42" s="6">
        <f t="shared" si="127"/>
        <v>8.0926796507723386E-2</v>
      </c>
      <c r="W42" s="6">
        <f t="shared" si="127"/>
        <v>0.18422774869109948</v>
      </c>
      <c r="X42" s="6">
        <f t="shared" si="127"/>
        <v>-6.1651917404129786E-2</v>
      </c>
      <c r="Y42" s="6">
        <f t="shared" si="127"/>
        <v>-0.1079115764979639</v>
      </c>
      <c r="Z42" s="6">
        <f>Z25/V25-1</f>
        <v>-6.0577819198508909E-2</v>
      </c>
      <c r="AA42" s="6">
        <f t="shared" ref="AA42:AD43" si="128">AA25/W25-1</f>
        <v>5.0000000000000044E-2</v>
      </c>
      <c r="AB42" s="6">
        <f t="shared" si="128"/>
        <v>5.0000000000000044E-2</v>
      </c>
      <c r="AC42" s="6">
        <f t="shared" si="128"/>
        <v>5.0000000000000044E-2</v>
      </c>
      <c r="AD42" s="6">
        <f t="shared" si="128"/>
        <v>5.0000000000000044E-2</v>
      </c>
      <c r="AK42" s="6"/>
      <c r="AL42" s="6">
        <f>AL25/AK25-1</f>
        <v>0.82493336564090147</v>
      </c>
      <c r="AM42" s="6">
        <f t="shared" ref="AM42:AU42" si="129">AM25/AL25-1</f>
        <v>-0.31799774281351656</v>
      </c>
      <c r="AN42" s="6">
        <f t="shared" si="129"/>
        <v>7.4272364450501227E-2</v>
      </c>
      <c r="AO42" s="6">
        <f t="shared" si="129"/>
        <v>0.18729612178325472</v>
      </c>
      <c r="AP42" s="6">
        <f t="shared" si="129"/>
        <v>-1.6179500877661623E-2</v>
      </c>
      <c r="AQ42" s="6">
        <f t="shared" si="129"/>
        <v>5.0000000000000044E-2</v>
      </c>
      <c r="AR42" s="6">
        <f t="shared" si="129"/>
        <v>5.0000000000000044E-2</v>
      </c>
      <c r="AS42" s="6">
        <f t="shared" si="129"/>
        <v>5.0000000000000044E-2</v>
      </c>
      <c r="AT42" s="6">
        <f t="shared" si="129"/>
        <v>5.0000000000000044E-2</v>
      </c>
      <c r="AU42" s="6">
        <f t="shared" si="129"/>
        <v>5.0000000000000044E-2</v>
      </c>
      <c r="BA42" s="11" t="s">
        <v>2</v>
      </c>
      <c r="BB42" s="2">
        <f>Main!C5</f>
        <v>2121.9290000000001</v>
      </c>
    </row>
    <row r="43" spans="1:538" x14ac:dyDescent="0.25">
      <c r="B43" t="s">
        <v>55</v>
      </c>
      <c r="G43" s="6">
        <f t="shared" si="127"/>
        <v>1.2769230769230768</v>
      </c>
      <c r="H43" s="6">
        <f t="shared" si="127"/>
        <v>7.3650546021840881</v>
      </c>
      <c r="I43" s="6">
        <f t="shared" si="127"/>
        <v>0.58860759493670889</v>
      </c>
      <c r="J43" s="6">
        <f t="shared" si="127"/>
        <v>-7.8389830508474589E-2</v>
      </c>
      <c r="K43" s="6">
        <f t="shared" si="127"/>
        <v>0.27815315315315314</v>
      </c>
      <c r="L43" s="6">
        <f t="shared" si="127"/>
        <v>-0.72435658336441633</v>
      </c>
      <c r="M43" s="6">
        <f t="shared" si="127"/>
        <v>-2.5896414342629459E-2</v>
      </c>
      <c r="N43" s="6">
        <f t="shared" si="127"/>
        <v>-0.19885057471264367</v>
      </c>
      <c r="O43" s="6">
        <f t="shared" si="127"/>
        <v>0.15594713656387671</v>
      </c>
      <c r="P43" s="6">
        <f t="shared" si="127"/>
        <v>-0.34912043301759133</v>
      </c>
      <c r="Q43" s="6">
        <f t="shared" si="127"/>
        <v>-0.6380368098159509</v>
      </c>
      <c r="R43" s="6">
        <f t="shared" si="127"/>
        <v>-0.56384505021520803</v>
      </c>
      <c r="S43" s="6">
        <f t="shared" si="127"/>
        <v>-0.82621951219512191</v>
      </c>
      <c r="T43" s="6">
        <f t="shared" si="127"/>
        <v>-0.51143451143451135</v>
      </c>
      <c r="U43" s="6">
        <f t="shared" si="127"/>
        <v>-0.24293785310734461</v>
      </c>
      <c r="V43" s="6">
        <f t="shared" si="127"/>
        <v>-1.2664473684210527</v>
      </c>
      <c r="W43" s="6">
        <f t="shared" si="127"/>
        <v>-0.75877192982456143</v>
      </c>
      <c r="X43" s="6">
        <f t="shared" si="127"/>
        <v>-2.1361702127659576</v>
      </c>
      <c r="Y43" s="6">
        <f t="shared" si="127"/>
        <v>-3.2350746268656718</v>
      </c>
      <c r="Z43" s="6">
        <f t="shared" ref="Z43" si="130">Z26/V26-1</f>
        <v>9.5555555555555554</v>
      </c>
      <c r="AA43" s="6">
        <f t="shared" si="128"/>
        <v>-5.127272727272719</v>
      </c>
      <c r="AB43" s="6">
        <f t="shared" si="128"/>
        <v>0.7771535580524378</v>
      </c>
      <c r="AC43" s="6">
        <f t="shared" si="128"/>
        <v>0.72687813021702774</v>
      </c>
      <c r="AD43" s="6">
        <f t="shared" si="128"/>
        <v>0.59461988304093572</v>
      </c>
      <c r="AK43" s="6"/>
      <c r="AL43" s="6">
        <f>AL26/AK26-1</f>
        <v>2.1162255466052935</v>
      </c>
      <c r="AM43" s="6">
        <f t="shared" ref="AM43:AU43" si="131">AM26/AL26-1</f>
        <v>-0.47218119153126537</v>
      </c>
      <c r="AN43" s="6">
        <f t="shared" si="131"/>
        <v>-0.31623134328358204</v>
      </c>
      <c r="AO43" s="6">
        <f t="shared" si="131"/>
        <v>-0.69815825375170526</v>
      </c>
      <c r="AP43" s="6">
        <f t="shared" si="131"/>
        <v>-3.1841807909604518</v>
      </c>
      <c r="AQ43" s="6">
        <f t="shared" si="131"/>
        <v>0.8488360062079674</v>
      </c>
      <c r="AR43" s="6">
        <f t="shared" si="131"/>
        <v>0.70437069785662154</v>
      </c>
      <c r="AS43" s="6">
        <f t="shared" si="131"/>
        <v>0.34210932215633605</v>
      </c>
      <c r="AT43" s="6">
        <f t="shared" si="131"/>
        <v>0.34369874341814821</v>
      </c>
      <c r="AU43" s="6">
        <f t="shared" si="131"/>
        <v>0.33610644155455938</v>
      </c>
      <c r="BA43" s="11" t="s">
        <v>93</v>
      </c>
      <c r="BB43" s="2">
        <f>NPV(BB41,AP34:TR34)</f>
        <v>104579.30770582421</v>
      </c>
    </row>
    <row r="44" spans="1:538" x14ac:dyDescent="0.25">
      <c r="B44" t="s">
        <v>56</v>
      </c>
      <c r="G44" s="6">
        <f t="shared" ref="G44:Y46" si="132">G34/C34-1</f>
        <v>-1.2257559958289885</v>
      </c>
      <c r="H44" s="6">
        <f t="shared" si="132"/>
        <v>5.5551282051282049</v>
      </c>
      <c r="I44" s="6">
        <f t="shared" si="132"/>
        <v>0.23976608187134496</v>
      </c>
      <c r="J44" s="6">
        <f t="shared" si="132"/>
        <v>0.27892030848329052</v>
      </c>
      <c r="K44" s="6">
        <f t="shared" si="132"/>
        <v>2.2424942263279446</v>
      </c>
      <c r="L44" s="6">
        <f t="shared" si="132"/>
        <v>-0.67807549383923327</v>
      </c>
      <c r="M44" s="6">
        <f t="shared" si="132"/>
        <v>-0.10283018867924532</v>
      </c>
      <c r="N44" s="6">
        <f t="shared" si="132"/>
        <v>-0.20804020100502507</v>
      </c>
      <c r="O44" s="6">
        <f t="shared" si="132"/>
        <v>-1.037037037037037</v>
      </c>
      <c r="P44" s="6">
        <f t="shared" si="132"/>
        <v>-1.8323207776427703</v>
      </c>
      <c r="Q44" s="6">
        <f t="shared" si="132"/>
        <v>1.319663512092534</v>
      </c>
      <c r="R44" s="6">
        <f t="shared" si="132"/>
        <v>-2.4441624365482233</v>
      </c>
      <c r="S44" s="6">
        <f t="shared" si="132"/>
        <v>-55.57692307692308</v>
      </c>
      <c r="T44" s="6">
        <f t="shared" si="132"/>
        <v>-2.7211678832116788</v>
      </c>
      <c r="U44" s="6">
        <f t="shared" si="132"/>
        <v>-0.55621033544877607</v>
      </c>
      <c r="V44" s="6">
        <f t="shared" si="132"/>
        <v>-0.28119507908611596</v>
      </c>
      <c r="W44" s="6">
        <f t="shared" si="132"/>
        <v>-1.0088090204369273</v>
      </c>
      <c r="X44" s="6">
        <f t="shared" si="132"/>
        <v>-1.255301102629347</v>
      </c>
      <c r="Y44" s="6">
        <f t="shared" si="132"/>
        <v>-1.4351378958120531</v>
      </c>
      <c r="Z44" s="6">
        <f>Z34/V34-1</f>
        <v>0.99511002444987784</v>
      </c>
      <c r="AA44" s="6">
        <f t="shared" ref="AA44:AD46" si="133">AA34/W34-1</f>
        <v>6.5024767506981513</v>
      </c>
      <c r="AB44" s="6">
        <f t="shared" si="133"/>
        <v>0.7227324388575016</v>
      </c>
      <c r="AC44" s="6">
        <f t="shared" si="133"/>
        <v>0.84379867484624671</v>
      </c>
      <c r="AD44" s="6">
        <f t="shared" si="133"/>
        <v>0.33115703171854349</v>
      </c>
      <c r="AK44" s="6"/>
      <c r="AL44" s="6">
        <f>AL34/AK34-1</f>
        <v>-6.6458186929023189</v>
      </c>
      <c r="AM44" s="6">
        <f t="shared" ref="AM44:AU44" si="134">AM34/AL34-1</f>
        <v>-0.22915110779188452</v>
      </c>
      <c r="AN44" s="6">
        <f t="shared" si="134"/>
        <v>-1.0655578879379946</v>
      </c>
      <c r="AO44" s="6">
        <f t="shared" si="134"/>
        <v>-21.184729064039409</v>
      </c>
      <c r="AP44" s="6">
        <f t="shared" si="134"/>
        <v>-1.3306894447834046</v>
      </c>
      <c r="AQ44" s="6">
        <f t="shared" si="134"/>
        <v>0.61258866309088145</v>
      </c>
      <c r="AR44" s="6">
        <f t="shared" si="134"/>
        <v>0.2755451354722338</v>
      </c>
      <c r="AS44" s="6">
        <f t="shared" si="134"/>
        <v>0.29669078716126651</v>
      </c>
      <c r="AT44" s="6">
        <f t="shared" si="134"/>
        <v>0.30815267477284114</v>
      </c>
      <c r="AU44" s="6">
        <f t="shared" si="134"/>
        <v>0.3092864077020141</v>
      </c>
      <c r="BA44" s="11" t="s">
        <v>94</v>
      </c>
      <c r="BB44" s="2">
        <f>Main!C7-Main!C8</f>
        <v>9699</v>
      </c>
    </row>
    <row r="45" spans="1:538" x14ac:dyDescent="0.25">
      <c r="B45" t="s">
        <v>57</v>
      </c>
      <c r="G45" s="6">
        <f t="shared" si="132"/>
        <v>-4.5320138986810532E-2</v>
      </c>
      <c r="H45" s="6">
        <f t="shared" si="132"/>
        <v>1.5162751921125124</v>
      </c>
      <c r="I45" s="6">
        <f t="shared" si="132"/>
        <v>2.8139924582139737</v>
      </c>
      <c r="J45" s="6">
        <f t="shared" si="132"/>
        <v>2.8027411149453907</v>
      </c>
      <c r="K45" s="6">
        <f t="shared" si="132"/>
        <v>2.8013553224181522</v>
      </c>
      <c r="L45" s="6">
        <f t="shared" si="132"/>
        <v>0.56558092885233147</v>
      </c>
      <c r="M45" s="6">
        <f t="shared" si="132"/>
        <v>3.2240666316514455E-2</v>
      </c>
      <c r="N45" s="6">
        <f t="shared" si="132"/>
        <v>4.8427724439559006E-2</v>
      </c>
      <c r="O45" s="6">
        <f t="shared" si="132"/>
        <v>7.7801303318841164E-2</v>
      </c>
      <c r="P45" s="6">
        <f t="shared" si="132"/>
        <v>0.12483660619346626</v>
      </c>
      <c r="Q45" s="6">
        <f t="shared" si="132"/>
        <v>8.2007191903951338E-2</v>
      </c>
      <c r="R45" s="6">
        <f t="shared" si="132"/>
        <v>0.11851480466057351</v>
      </c>
      <c r="S45" s="6">
        <f t="shared" si="132"/>
        <v>5.3378889172865485E-2</v>
      </c>
      <c r="T45" s="6">
        <f t="shared" si="132"/>
        <v>6.5987550965631581E-3</v>
      </c>
      <c r="U45" s="6">
        <f t="shared" si="132"/>
        <v>4.2310134947976641E-2</v>
      </c>
      <c r="V45" s="6">
        <f t="shared" si="132"/>
        <v>2.7415360360113272E-2</v>
      </c>
      <c r="W45" s="6">
        <f t="shared" si="132"/>
        <v>2.6472482685312659E-2</v>
      </c>
      <c r="X45" s="6">
        <f t="shared" si="132"/>
        <v>5.6063796611477867E-2</v>
      </c>
      <c r="Y45" s="6">
        <f t="shared" si="132"/>
        <v>6.526553087734599E-2</v>
      </c>
      <c r="Z45" s="6">
        <f t="shared" ref="Z45:Z46" si="135">Z35/V35-1</f>
        <v>2.9775184111231257E-2</v>
      </c>
      <c r="AA45" s="6">
        <f t="shared" si="133"/>
        <v>7.0000000000000062E-2</v>
      </c>
      <c r="AB45" s="6">
        <f t="shared" si="133"/>
        <v>7.0000000000000062E-2</v>
      </c>
      <c r="AC45" s="6">
        <f t="shared" si="133"/>
        <v>7.0000000000000062E-2</v>
      </c>
      <c r="AD45" s="6">
        <f t="shared" si="133"/>
        <v>7.0000000000000062E-2</v>
      </c>
      <c r="AK45" s="6"/>
      <c r="AL45" s="6">
        <f t="shared" ref="AL45:AU46" si="136">AL35/AK35-1</f>
        <v>2.8027411149453907</v>
      </c>
      <c r="AM45" s="6">
        <f t="shared" si="136"/>
        <v>4.8427724439559006E-2</v>
      </c>
      <c r="AN45" s="6">
        <f t="shared" si="136"/>
        <v>0.11851480466057351</v>
      </c>
      <c r="AO45" s="6">
        <f t="shared" si="136"/>
        <v>2.7415360360113272E-2</v>
      </c>
      <c r="AP45" s="6">
        <f t="shared" si="136"/>
        <v>2.9775184111231257E-2</v>
      </c>
      <c r="AQ45" s="6">
        <f t="shared" si="136"/>
        <v>7.0000000000000062E-2</v>
      </c>
      <c r="AR45" s="6">
        <f t="shared" si="136"/>
        <v>1.0000000000000009E-2</v>
      </c>
      <c r="AS45" s="6">
        <f t="shared" si="136"/>
        <v>1.0000000000000009E-2</v>
      </c>
      <c r="AT45" s="6">
        <f t="shared" si="136"/>
        <v>1.0000000000000009E-2</v>
      </c>
      <c r="AU45" s="6">
        <f t="shared" si="136"/>
        <v>1.0000000000000009E-2</v>
      </c>
      <c r="BA45" s="11" t="s">
        <v>95</v>
      </c>
      <c r="BB45" s="2">
        <f>BB43+BB44</f>
        <v>114278.30770582421</v>
      </c>
    </row>
    <row r="46" spans="1:538" x14ac:dyDescent="0.25">
      <c r="B46" t="s">
        <v>58</v>
      </c>
      <c r="G46" s="6">
        <f t="shared" si="132"/>
        <v>-1.2364729843461835</v>
      </c>
      <c r="H46" s="6">
        <f t="shared" si="132"/>
        <v>1.6050919333766971</v>
      </c>
      <c r="I46" s="6">
        <f t="shared" si="132"/>
        <v>-0.67494270231150222</v>
      </c>
      <c r="J46" s="6">
        <f t="shared" si="132"/>
        <v>-0.66368462384753846</v>
      </c>
      <c r="K46" s="6">
        <f t="shared" si="132"/>
        <v>-0.14701627411528051</v>
      </c>
      <c r="L46" s="6">
        <f t="shared" si="132"/>
        <v>-0.79437376872190346</v>
      </c>
      <c r="M46" s="6">
        <f t="shared" si="132"/>
        <v>-0.13085209622456695</v>
      </c>
      <c r="N46" s="6">
        <f t="shared" si="132"/>
        <v>-0.24462146456655376</v>
      </c>
      <c r="O46" s="6">
        <f t="shared" si="132"/>
        <v>-1.0343635110877951</v>
      </c>
      <c r="P46" s="6">
        <f t="shared" si="132"/>
        <v>-1.739948160523872</v>
      </c>
      <c r="Q46" s="6">
        <f t="shared" si="132"/>
        <v>1.1438522123043784</v>
      </c>
      <c r="R46" s="6">
        <f t="shared" si="132"/>
        <v>-2.2911428892409447</v>
      </c>
      <c r="S46" s="6">
        <f t="shared" si="132"/>
        <v>-52.811293768928657</v>
      </c>
      <c r="T46" s="6">
        <f t="shared" si="132"/>
        <v>-2.7098847723555619</v>
      </c>
      <c r="U46" s="6">
        <f t="shared" si="132"/>
        <v>-0.57422493586961609</v>
      </c>
      <c r="V46" s="6">
        <f t="shared" si="132"/>
        <v>-0.30037553588653776</v>
      </c>
      <c r="W46" s="6">
        <f t="shared" si="132"/>
        <v>-1.0085818378821831</v>
      </c>
      <c r="X46" s="6">
        <f t="shared" si="132"/>
        <v>-1.2417478029722395</v>
      </c>
      <c r="Y46" s="6">
        <f t="shared" si="132"/>
        <v>-1.408478340093926</v>
      </c>
      <c r="Z46" s="6">
        <f t="shared" si="135"/>
        <v>0.93742290087500857</v>
      </c>
      <c r="AA46" s="6">
        <f t="shared" si="133"/>
        <v>6.0116605146711688</v>
      </c>
      <c r="AB46" s="6">
        <f t="shared" si="133"/>
        <v>0.61003031668925423</v>
      </c>
      <c r="AC46" s="6">
        <f t="shared" si="133"/>
        <v>0.72317633163200612</v>
      </c>
      <c r="AD46" s="6">
        <f t="shared" si="133"/>
        <v>0.24407199226032095</v>
      </c>
      <c r="AK46" s="6"/>
      <c r="AL46" s="6">
        <f t="shared" si="136"/>
        <v>-2.4846707998904618</v>
      </c>
      <c r="AM46" s="6">
        <f t="shared" si="136"/>
        <v>-0.26475724149685598</v>
      </c>
      <c r="AN46" s="6">
        <f t="shared" si="136"/>
        <v>-1.0586115513758343</v>
      </c>
      <c r="AO46" s="6">
        <f t="shared" si="136"/>
        <v>-20.646123508377936</v>
      </c>
      <c r="AP46" s="6">
        <f t="shared" si="136"/>
        <v>-1.3211278052585942</v>
      </c>
      <c r="AQ46" s="6">
        <f t="shared" si="136"/>
        <v>0.50709220849615066</v>
      </c>
      <c r="AR46" s="6">
        <f t="shared" si="136"/>
        <v>0.26291597571508296</v>
      </c>
      <c r="AS46" s="6">
        <f t="shared" si="136"/>
        <v>0.28385226451610546</v>
      </c>
      <c r="AT46" s="6">
        <f t="shared" si="136"/>
        <v>0.29520066809192191</v>
      </c>
      <c r="AU46" s="6">
        <f t="shared" si="136"/>
        <v>0.29632317594258839</v>
      </c>
      <c r="BA46" s="11" t="s">
        <v>96</v>
      </c>
      <c r="BB46" s="1">
        <f>BB45/BB42</f>
        <v>53.855858375008872</v>
      </c>
    </row>
    <row r="47" spans="1:538" x14ac:dyDescent="0.25">
      <c r="B47" t="s">
        <v>59</v>
      </c>
      <c r="C47" s="6">
        <f t="shared" ref="C47:Y47" si="137">C20/C18</f>
        <v>0.55263157894736847</v>
      </c>
      <c r="D47" s="6">
        <f t="shared" si="137"/>
        <v>0.51517341040462428</v>
      </c>
      <c r="E47" s="6">
        <f t="shared" si="137"/>
        <v>0.48709239130434784</v>
      </c>
      <c r="F47" s="6">
        <f t="shared" si="137"/>
        <v>0.45696032279757903</v>
      </c>
      <c r="G47" s="6">
        <f t="shared" si="137"/>
        <v>0.45756695708292999</v>
      </c>
      <c r="H47" s="6">
        <f t="shared" si="137"/>
        <v>0.4504106127605812</v>
      </c>
      <c r="I47" s="6">
        <f t="shared" si="137"/>
        <v>0.51219512195121952</v>
      </c>
      <c r="J47" s="6">
        <f t="shared" si="137"/>
        <v>0.52641926763332514</v>
      </c>
      <c r="K47" s="6">
        <f t="shared" si="137"/>
        <v>0.54094827586206895</v>
      </c>
      <c r="L47" s="6">
        <f t="shared" si="137"/>
        <v>0.51698902247778356</v>
      </c>
      <c r="M47" s="6">
        <f t="shared" si="137"/>
        <v>0.53857092072520441</v>
      </c>
      <c r="N47" s="6">
        <f t="shared" si="137"/>
        <v>0.54470774091627172</v>
      </c>
      <c r="O47" s="6">
        <f t="shared" si="137"/>
        <v>0.4109541853255253</v>
      </c>
      <c r="P47" s="6">
        <f t="shared" si="137"/>
        <v>0.46576737083227282</v>
      </c>
      <c r="Q47" s="6">
        <f t="shared" si="137"/>
        <v>0.49680082559339528</v>
      </c>
      <c r="R47" s="6">
        <f t="shared" si="137"/>
        <v>0.46278989269643478</v>
      </c>
      <c r="S47" s="6">
        <f t="shared" si="137"/>
        <v>0.4126057776480887</v>
      </c>
      <c r="T47" s="6">
        <f t="shared" si="137"/>
        <v>0.36169949213427477</v>
      </c>
      <c r="U47" s="6">
        <f t="shared" si="137"/>
        <v>0.3799592472731631</v>
      </c>
      <c r="V47" s="6">
        <f t="shared" si="137"/>
        <v>0.38340885325897528</v>
      </c>
      <c r="W47" s="6">
        <f t="shared" si="137"/>
        <v>0.40394423665419926</v>
      </c>
      <c r="X47" s="6">
        <f t="shared" si="137"/>
        <v>0.40249187432286027</v>
      </c>
      <c r="Y47" s="6">
        <f t="shared" si="137"/>
        <v>0.39453293155402497</v>
      </c>
      <c r="Z47" s="6">
        <f>Z20/Z18</f>
        <v>0.39039855072463769</v>
      </c>
      <c r="AA47" s="6">
        <f t="shared" ref="AA47:AD47" si="138">AA20/AA18</f>
        <v>0.39970520506610552</v>
      </c>
      <c r="AB47" s="6">
        <f t="shared" si="138"/>
        <v>0.40343608025359096</v>
      </c>
      <c r="AC47" s="6">
        <f t="shared" si="138"/>
        <v>0.39672623349013725</v>
      </c>
      <c r="AD47" s="6">
        <f t="shared" si="138"/>
        <v>0.39451849984570792</v>
      </c>
      <c r="AK47" s="6">
        <f>AK20/AK18</f>
        <v>0.50106477373558123</v>
      </c>
      <c r="AL47" s="6">
        <f t="shared" ref="AL47:AU47" si="139">AL20/AL18</f>
        <v>0.49049268396126389</v>
      </c>
      <c r="AM47" s="6">
        <f t="shared" si="139"/>
        <v>0.5373013735523835</v>
      </c>
      <c r="AN47" s="6">
        <f t="shared" si="139"/>
        <v>0.46427957605270698</v>
      </c>
      <c r="AO47" s="6">
        <f t="shared" si="139"/>
        <v>0.38328575461931802</v>
      </c>
      <c r="AP47" s="6">
        <f t="shared" si="139"/>
        <v>0.39762881896944824</v>
      </c>
      <c r="AQ47" s="6">
        <f t="shared" si="139"/>
        <v>0.39849516360816029</v>
      </c>
      <c r="AR47" s="6">
        <f t="shared" si="139"/>
        <v>0.40604549266150947</v>
      </c>
      <c r="AS47" s="6">
        <f t="shared" si="139"/>
        <v>0.40344070217895323</v>
      </c>
      <c r="AT47" s="6">
        <f t="shared" si="139"/>
        <v>0.40426565148462396</v>
      </c>
      <c r="AU47" s="6">
        <f t="shared" si="139"/>
        <v>0.40799314035564899</v>
      </c>
      <c r="BA47" s="11" t="s">
        <v>97</v>
      </c>
      <c r="BB47" s="1">
        <f>Main!C4</f>
        <v>77.16</v>
      </c>
    </row>
    <row r="48" spans="1:538" x14ac:dyDescent="0.25">
      <c r="B48" t="s">
        <v>60</v>
      </c>
      <c r="C48" s="6">
        <f t="shared" ref="C48:Y48" si="140">C26/C18</f>
        <v>-0.15092879256965944</v>
      </c>
      <c r="D48" s="6">
        <f t="shared" si="140"/>
        <v>-0.23157514450867053</v>
      </c>
      <c r="E48" s="6">
        <f t="shared" si="140"/>
        <v>-0.21467391304347827</v>
      </c>
      <c r="F48" s="6">
        <f t="shared" si="140"/>
        <v>-0.31741761936785473</v>
      </c>
      <c r="G48" s="6">
        <f t="shared" si="140"/>
        <v>-0.28654404646660214</v>
      </c>
      <c r="H48" s="6">
        <f t="shared" si="140"/>
        <v>-1.6936197094125078</v>
      </c>
      <c r="I48" s="6">
        <f t="shared" si="140"/>
        <v>-0.26330972987149226</v>
      </c>
      <c r="J48" s="6">
        <f t="shared" si="140"/>
        <v>-0.21381174735807323</v>
      </c>
      <c r="K48" s="6">
        <f t="shared" si="140"/>
        <v>-0.34944581280788178</v>
      </c>
      <c r="L48" s="6">
        <f t="shared" si="140"/>
        <v>-0.77260846837428121</v>
      </c>
      <c r="M48" s="6">
        <f t="shared" si="140"/>
        <v>-0.34767152506221116</v>
      </c>
      <c r="N48" s="6">
        <f t="shared" si="140"/>
        <v>-0.2202211690363349</v>
      </c>
      <c r="O48" s="6">
        <f t="shared" si="140"/>
        <v>-0.45194626248708231</v>
      </c>
      <c r="P48" s="6">
        <f t="shared" si="140"/>
        <v>-0.24484601679816748</v>
      </c>
      <c r="Q48" s="6">
        <f t="shared" si="140"/>
        <v>-7.3065015479876164E-2</v>
      </c>
      <c r="R48" s="6">
        <f t="shared" si="140"/>
        <v>-5.2613361024575978E-2</v>
      </c>
      <c r="S48" s="6">
        <f t="shared" si="140"/>
        <v>-3.3265246571345199E-2</v>
      </c>
      <c r="T48" s="6">
        <f t="shared" si="140"/>
        <v>-5.8218753870927786E-2</v>
      </c>
      <c r="U48" s="6">
        <f t="shared" si="140"/>
        <v>-3.2122737624355746E-2</v>
      </c>
      <c r="V48" s="6">
        <f t="shared" si="140"/>
        <v>9.4109445799930285E-3</v>
      </c>
      <c r="W48" s="6">
        <f t="shared" si="140"/>
        <v>-6.2337073557746795E-3</v>
      </c>
      <c r="X48" s="6">
        <f t="shared" si="140"/>
        <v>5.7854821235102924E-2</v>
      </c>
      <c r="Y48" s="6">
        <f t="shared" si="140"/>
        <v>6.4464055101162293E-2</v>
      </c>
      <c r="Z48" s="6">
        <f>Z26/Z18</f>
        <v>8.6050724637681153E-2</v>
      </c>
      <c r="AA48" s="6">
        <f t="shared" ref="AA48:AD48" si="141">AA26/AA18</f>
        <v>2.25314646444594E-2</v>
      </c>
      <c r="AB48" s="6">
        <f t="shared" si="141"/>
        <v>8.926471833171877E-2</v>
      </c>
      <c r="AC48" s="6">
        <f t="shared" si="141"/>
        <v>9.6450700022844532E-2</v>
      </c>
      <c r="AD48" s="6">
        <f t="shared" si="141"/>
        <v>0.11851375373234878</v>
      </c>
      <c r="AK48" s="6">
        <f>AK26/AK18</f>
        <v>-0.23132209405501331</v>
      </c>
      <c r="AL48" s="6">
        <f t="shared" ref="AL48:AU48" si="142">AL26/AL18</f>
        <v>-0.57425602601258219</v>
      </c>
      <c r="AM48" s="6">
        <f t="shared" si="142"/>
        <v>-0.38495376604722148</v>
      </c>
      <c r="AN48" s="6">
        <f t="shared" si="142"/>
        <v>-0.16797479232311657</v>
      </c>
      <c r="AO48" s="6">
        <f t="shared" si="142"/>
        <v>-2.7762963892461648E-2</v>
      </c>
      <c r="AP48" s="6">
        <f t="shared" si="142"/>
        <v>5.1849467557200719E-2</v>
      </c>
      <c r="AQ48" s="6">
        <f t="shared" si="142"/>
        <v>8.3237645831246862E-2</v>
      </c>
      <c r="AR48" s="6">
        <f t="shared" si="142"/>
        <v>0.12181480273400738</v>
      </c>
      <c r="AS48" s="6">
        <f t="shared" si="142"/>
        <v>0.14278762017740876</v>
      </c>
      <c r="AT48" s="6">
        <f t="shared" si="142"/>
        <v>0.16660715493766165</v>
      </c>
      <c r="AU48" s="6">
        <f t="shared" si="142"/>
        <v>0.19235831472493187</v>
      </c>
      <c r="BA48" s="13" t="s">
        <v>98</v>
      </c>
      <c r="BB48" s="8">
        <f>BB46/BB47-1</f>
        <v>-0.30202360841097886</v>
      </c>
    </row>
    <row r="49" spans="1:47" x14ac:dyDescent="0.25">
      <c r="B49" t="s">
        <v>61</v>
      </c>
      <c r="C49" s="6">
        <f t="shared" ref="C49:Y49" si="143">C30/C29</f>
        <v>0.13046432616081541</v>
      </c>
      <c r="D49" s="6">
        <f t="shared" si="143"/>
        <v>-3.7940379403794036E-2</v>
      </c>
      <c r="E49" s="6">
        <f t="shared" si="143"/>
        <v>-1.1806375442739079E-3</v>
      </c>
      <c r="F49" s="6">
        <f t="shared" si="143"/>
        <v>0.29487179487179488</v>
      </c>
      <c r="G49" s="6">
        <f t="shared" si="143"/>
        <v>-2.2485207100591716E-2</v>
      </c>
      <c r="H49" s="6">
        <f t="shared" si="143"/>
        <v>3.9100684261974585E-4</v>
      </c>
      <c r="I49" s="6">
        <f t="shared" si="143"/>
        <v>-2.8708133971291866E-3</v>
      </c>
      <c r="J49" s="6">
        <f t="shared" si="143"/>
        <v>-2.615062761506276E-2</v>
      </c>
      <c r="K49" s="6">
        <f t="shared" si="143"/>
        <v>7.9396325459317588E-2</v>
      </c>
      <c r="L49" s="6">
        <f t="shared" si="143"/>
        <v>-2.4509803921568627E-3</v>
      </c>
      <c r="M49" s="6">
        <f t="shared" si="143"/>
        <v>-2.4494142705005325E-2</v>
      </c>
      <c r="N49" s="6">
        <f t="shared" si="143"/>
        <v>-3.0585106382978722E-2</v>
      </c>
      <c r="O49" s="6">
        <f t="shared" si="143"/>
        <v>0.6537102473498233</v>
      </c>
      <c r="P49" s="6">
        <f t="shared" si="143"/>
        <v>-0.55311778290993074</v>
      </c>
      <c r="Q49" s="6">
        <f t="shared" si="143"/>
        <v>4.3741879601559119E-2</v>
      </c>
      <c r="R49" s="6">
        <f t="shared" si="143"/>
        <v>-9.35390549662488E-2</v>
      </c>
      <c r="S49" s="6">
        <f t="shared" si="143"/>
        <v>3.9228948258369971E-2</v>
      </c>
      <c r="T49" s="6">
        <f t="shared" si="143"/>
        <v>-3.329009943795936E-2</v>
      </c>
      <c r="U49" s="6">
        <f t="shared" si="143"/>
        <v>-6.1116965226554271E-2</v>
      </c>
      <c r="V49" s="6">
        <f t="shared" si="143"/>
        <v>-0.12051649928263988</v>
      </c>
      <c r="W49" s="6">
        <f t="shared" si="143"/>
        <v>0.79710144927536231</v>
      </c>
      <c r="X49" s="6">
        <f t="shared" si="143"/>
        <v>9.8039215686274508E-2</v>
      </c>
      <c r="Y49" s="6">
        <f t="shared" si="143"/>
        <v>-0.10498687664041995</v>
      </c>
      <c r="Z49" s="6">
        <f>Z30/Z29</f>
        <v>6.5484982767109803E-2</v>
      </c>
      <c r="AA49" s="6">
        <f t="shared" ref="AA49:AD49" si="144">AA30/AA29</f>
        <v>4.5321041802845879E-2</v>
      </c>
      <c r="AB49" s="6">
        <f t="shared" si="144"/>
        <v>4.5321041802845879E-2</v>
      </c>
      <c r="AC49" s="6">
        <f t="shared" si="144"/>
        <v>4.5321041802845879E-2</v>
      </c>
      <c r="AD49" s="6">
        <f t="shared" si="144"/>
        <v>4.5321041802845879E-2</v>
      </c>
      <c r="AK49" s="6">
        <f>AK30/AK29</f>
        <v>0.16283084004602991</v>
      </c>
      <c r="AL49" s="6">
        <f t="shared" ref="AL49:AU49" si="145">AL30/AL29</f>
        <v>-5.6525562115312148E-3</v>
      </c>
      <c r="AM49" s="6">
        <f t="shared" si="145"/>
        <v>3.0136556270601161E-2</v>
      </c>
      <c r="AN49" s="6">
        <f t="shared" si="145"/>
        <v>4</v>
      </c>
      <c r="AO49" s="6">
        <f t="shared" si="145"/>
        <v>2.1346856940676968E-2</v>
      </c>
      <c r="AP49" s="6">
        <f t="shared" si="145"/>
        <v>6.7748091603053437E-2</v>
      </c>
      <c r="AQ49" s="6">
        <f t="shared" si="145"/>
        <v>4.5321041802845879E-2</v>
      </c>
      <c r="AR49" s="6">
        <f t="shared" si="145"/>
        <v>0.21</v>
      </c>
      <c r="AS49" s="6">
        <f t="shared" si="145"/>
        <v>0.21</v>
      </c>
      <c r="AT49" s="6">
        <f t="shared" si="145"/>
        <v>0.21</v>
      </c>
      <c r="AU49" s="6">
        <f t="shared" si="145"/>
        <v>0.21</v>
      </c>
    </row>
    <row r="53" spans="1:47" x14ac:dyDescent="0.25">
      <c r="B53" t="s">
        <v>62</v>
      </c>
      <c r="T53" s="2">
        <v>439</v>
      </c>
      <c r="U53" s="2">
        <v>432</v>
      </c>
      <c r="V53" s="2">
        <v>-244</v>
      </c>
      <c r="X53" s="2">
        <v>1190</v>
      </c>
      <c r="Y53" s="2">
        <v>966</v>
      </c>
      <c r="Z53" s="2">
        <v>823</v>
      </c>
    </row>
    <row r="54" spans="1:47" x14ac:dyDescent="0.25">
      <c r="B54" t="s">
        <v>63</v>
      </c>
      <c r="T54" s="2">
        <v>57</v>
      </c>
      <c r="U54" s="2">
        <v>74</v>
      </c>
      <c r="V54" s="2">
        <v>59</v>
      </c>
      <c r="X54" s="2">
        <v>50</v>
      </c>
      <c r="Y54" s="2">
        <v>61</v>
      </c>
      <c r="Z54" s="2">
        <v>55</v>
      </c>
    </row>
    <row r="55" spans="1:47" s="5" customFormat="1" x14ac:dyDescent="0.25">
      <c r="A55" s="3"/>
      <c r="B55" s="3" t="s">
        <v>64</v>
      </c>
      <c r="C55" s="5">
        <f t="shared" ref="C55:Y55" si="146">C53-C54</f>
        <v>0</v>
      </c>
      <c r="D55" s="5">
        <f t="shared" si="146"/>
        <v>0</v>
      </c>
      <c r="E55" s="5">
        <f t="shared" si="146"/>
        <v>0</v>
      </c>
      <c r="F55" s="5">
        <f t="shared" si="146"/>
        <v>0</v>
      </c>
      <c r="G55" s="5">
        <f t="shared" si="146"/>
        <v>0</v>
      </c>
      <c r="H55" s="5">
        <f t="shared" si="146"/>
        <v>0</v>
      </c>
      <c r="I55" s="5">
        <f t="shared" si="146"/>
        <v>0</v>
      </c>
      <c r="J55" s="5">
        <f t="shared" si="146"/>
        <v>0</v>
      </c>
      <c r="K55" s="5">
        <f t="shared" si="146"/>
        <v>0</v>
      </c>
      <c r="L55" s="5">
        <f t="shared" si="146"/>
        <v>0</v>
      </c>
      <c r="M55" s="5">
        <f t="shared" si="146"/>
        <v>0</v>
      </c>
      <c r="N55" s="5">
        <f t="shared" si="146"/>
        <v>0</v>
      </c>
      <c r="O55" s="5">
        <f t="shared" si="146"/>
        <v>0</v>
      </c>
      <c r="P55" s="5">
        <f t="shared" si="146"/>
        <v>0</v>
      </c>
      <c r="Q55" s="5">
        <f t="shared" si="146"/>
        <v>0</v>
      </c>
      <c r="R55" s="5">
        <f t="shared" si="146"/>
        <v>0</v>
      </c>
      <c r="S55" s="5">
        <f t="shared" si="146"/>
        <v>0</v>
      </c>
      <c r="T55" s="5">
        <f t="shared" si="146"/>
        <v>382</v>
      </c>
      <c r="U55" s="5">
        <f t="shared" si="146"/>
        <v>358</v>
      </c>
      <c r="V55" s="5">
        <f t="shared" si="146"/>
        <v>-303</v>
      </c>
      <c r="W55" s="5">
        <f t="shared" si="146"/>
        <v>0</v>
      </c>
      <c r="X55" s="5">
        <f t="shared" si="146"/>
        <v>1140</v>
      </c>
      <c r="Y55" s="5">
        <f t="shared" si="146"/>
        <v>905</v>
      </c>
      <c r="Z55" s="5">
        <f>Z53-Z54</f>
        <v>768</v>
      </c>
    </row>
    <row r="56" spans="1:47" x14ac:dyDescent="0.25">
      <c r="B56" t="s">
        <v>76</v>
      </c>
      <c r="G56" s="6" t="e">
        <f t="shared" ref="G56:Y56" si="147">G55/C55-1</f>
        <v>#DIV/0!</v>
      </c>
      <c r="H56" s="6" t="e">
        <f t="shared" si="147"/>
        <v>#DIV/0!</v>
      </c>
      <c r="I56" s="6" t="e">
        <f t="shared" si="147"/>
        <v>#DIV/0!</v>
      </c>
      <c r="J56" s="6" t="e">
        <f t="shared" si="147"/>
        <v>#DIV/0!</v>
      </c>
      <c r="K56" s="6" t="e">
        <f t="shared" si="147"/>
        <v>#DIV/0!</v>
      </c>
      <c r="L56" s="6" t="e">
        <f t="shared" si="147"/>
        <v>#DIV/0!</v>
      </c>
      <c r="M56" s="6" t="e">
        <f t="shared" si="147"/>
        <v>#DIV/0!</v>
      </c>
      <c r="N56" s="6" t="e">
        <f t="shared" si="147"/>
        <v>#DIV/0!</v>
      </c>
      <c r="O56" s="6" t="e">
        <f t="shared" si="147"/>
        <v>#DIV/0!</v>
      </c>
      <c r="P56" s="6" t="e">
        <f t="shared" si="147"/>
        <v>#DIV/0!</v>
      </c>
      <c r="Q56" s="6" t="e">
        <f t="shared" si="147"/>
        <v>#DIV/0!</v>
      </c>
      <c r="R56" s="6" t="e">
        <f t="shared" si="147"/>
        <v>#DIV/0!</v>
      </c>
      <c r="S56" s="6" t="e">
        <f t="shared" si="147"/>
        <v>#DIV/0!</v>
      </c>
      <c r="T56" s="6" t="e">
        <f t="shared" si="147"/>
        <v>#DIV/0!</v>
      </c>
      <c r="U56" s="6" t="e">
        <f t="shared" si="147"/>
        <v>#DIV/0!</v>
      </c>
      <c r="V56" s="6" t="e">
        <f t="shared" si="147"/>
        <v>#DIV/0!</v>
      </c>
      <c r="W56" s="6" t="e">
        <f t="shared" si="147"/>
        <v>#DIV/0!</v>
      </c>
      <c r="X56" s="6">
        <f t="shared" si="147"/>
        <v>1.9842931937172774</v>
      </c>
      <c r="Y56" s="6">
        <f t="shared" si="147"/>
        <v>1.5279329608938546</v>
      </c>
      <c r="Z56" s="6">
        <f>Z55/V55-1</f>
        <v>-3.5346534653465347</v>
      </c>
    </row>
  </sheetData>
  <phoneticPr fontId="3" type="noConversion"/>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060DF-750C-49EC-8284-B521FECD501D}">
  <dimension ref="B3:D18"/>
  <sheetViews>
    <sheetView workbookViewId="0">
      <selection activeCell="F10" sqref="F10"/>
    </sheetView>
  </sheetViews>
  <sheetFormatPr defaultRowHeight="13.8" x14ac:dyDescent="0.25"/>
  <cols>
    <col min="2" max="2" width="14.3984375" bestFit="1" customWidth="1"/>
    <col min="4" max="4" width="12.09765625" bestFit="1" customWidth="1"/>
  </cols>
  <sheetData>
    <row r="3" spans="2:4" x14ac:dyDescent="0.25">
      <c r="B3" t="s">
        <v>5</v>
      </c>
      <c r="C3" s="2">
        <f>Main!C8</f>
        <v>9265</v>
      </c>
    </row>
    <row r="4" spans="2:4" x14ac:dyDescent="0.25">
      <c r="B4" t="s">
        <v>78</v>
      </c>
      <c r="C4" s="2">
        <f>Main!C6</f>
        <v>163728.04164000001</v>
      </c>
    </row>
    <row r="5" spans="2:4" x14ac:dyDescent="0.25">
      <c r="B5" t="s">
        <v>79</v>
      </c>
      <c r="C5" s="2">
        <f>C3+C4</f>
        <v>172993.04164000001</v>
      </c>
    </row>
    <row r="6" spans="2:4" x14ac:dyDescent="0.25">
      <c r="B6" t="s">
        <v>80</v>
      </c>
      <c r="C6" s="8">
        <f>C3/C5</f>
        <v>5.355706745292417E-2</v>
      </c>
    </row>
    <row r="7" spans="2:4" x14ac:dyDescent="0.25">
      <c r="B7" t="s">
        <v>81</v>
      </c>
      <c r="C7" s="8">
        <f>C4/C5</f>
        <v>0.94644293254707579</v>
      </c>
    </row>
    <row r="9" spans="2:4" x14ac:dyDescent="0.25">
      <c r="B9" t="s">
        <v>82</v>
      </c>
      <c r="C9" s="6">
        <f>AVERAGE(DCF!AO49:AP49)</f>
        <v>4.4547474271865201E-2</v>
      </c>
      <c r="D9" t="s">
        <v>90</v>
      </c>
    </row>
    <row r="10" spans="2:4" x14ac:dyDescent="0.25">
      <c r="B10" t="s">
        <v>83</v>
      </c>
      <c r="C10" s="2">
        <f>DCF!AP27</f>
        <v>633</v>
      </c>
    </row>
    <row r="11" spans="2:4" x14ac:dyDescent="0.25">
      <c r="B11" t="s">
        <v>84</v>
      </c>
      <c r="C11" s="8">
        <f>(C10*(1-C9))/C3</f>
        <v>6.5278084056763011E-2</v>
      </c>
    </row>
    <row r="13" spans="2:4" x14ac:dyDescent="0.25">
      <c r="B13" t="s">
        <v>85</v>
      </c>
      <c r="C13" s="6">
        <f>'[1]T-Bond Yields'!$C$12</f>
        <v>4.3299999999999998E-2</v>
      </c>
    </row>
    <row r="14" spans="2:4" x14ac:dyDescent="0.25">
      <c r="B14" t="s">
        <v>86</v>
      </c>
      <c r="C14">
        <v>1.37</v>
      </c>
      <c r="D14" t="s">
        <v>91</v>
      </c>
    </row>
    <row r="15" spans="2:4" x14ac:dyDescent="0.25">
      <c r="B15" t="s">
        <v>87</v>
      </c>
      <c r="C15" s="6">
        <v>0.08</v>
      </c>
    </row>
    <row r="16" spans="2:4" x14ac:dyDescent="0.25">
      <c r="B16" t="s">
        <v>88</v>
      </c>
      <c r="C16" s="8">
        <f>C13+C14*(C15-C13)</f>
        <v>9.3579000000000009E-2</v>
      </c>
    </row>
    <row r="18" spans="2:3" x14ac:dyDescent="0.25">
      <c r="B18" s="9" t="s">
        <v>89</v>
      </c>
      <c r="C18" s="10">
        <f>(C6*C11)+(C7*C16)*(1-C9)</f>
        <v>8.8117841621591059E-2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DCF</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Sheldon</dc:creator>
  <cp:lastModifiedBy>Bill Sheldon</cp:lastModifiedBy>
  <dcterms:created xsi:type="dcterms:W3CDTF">2024-03-31T14:41:13Z</dcterms:created>
  <dcterms:modified xsi:type="dcterms:W3CDTF">2024-04-06T23:56:21Z</dcterms:modified>
</cp:coreProperties>
</file>