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458DB1FE-0805-4D1E-B3BC-11E691F4751B}" xr6:coauthVersionLast="47" xr6:coauthVersionMax="47" xr10:uidLastSave="{00000000-0000-0000-0000-000000000000}"/>
  <bookViews>
    <workbookView xWindow="-28920" yWindow="-120" windowWidth="29040" windowHeight="15720"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2" i="2" l="1"/>
  <c r="AU12" i="2"/>
  <c r="AT12" i="2"/>
  <c r="AS12" i="2"/>
  <c r="AT14" i="2"/>
  <c r="AU14" i="2" s="1"/>
  <c r="AV14" i="2" s="1"/>
  <c r="AS14" i="2"/>
  <c r="AV4" i="2"/>
  <c r="AV3" i="2"/>
  <c r="AU4" i="2"/>
  <c r="AU3" i="2"/>
  <c r="AT4" i="2"/>
  <c r="AT3" i="2"/>
  <c r="AS4" i="2"/>
  <c r="AS3" i="2"/>
  <c r="AR25" i="2"/>
  <c r="AR24" i="2"/>
  <c r="AR23" i="2"/>
  <c r="AR22" i="2"/>
  <c r="AR21" i="2"/>
  <c r="AR20" i="2"/>
  <c r="AR19" i="2"/>
  <c r="AR18" i="2"/>
  <c r="AR17" i="2"/>
  <c r="AD4" i="2"/>
  <c r="AD18" i="2" s="1"/>
  <c r="AC4" i="2"/>
  <c r="AC5" i="2" s="1"/>
  <c r="AC24" i="2" s="1"/>
  <c r="AD3" i="2"/>
  <c r="AD17" i="2"/>
  <c r="AC3" i="2"/>
  <c r="AD14" i="2"/>
  <c r="AD23" i="2" s="1"/>
  <c r="AR14" i="2"/>
  <c r="AC14" i="2"/>
  <c r="AC23" i="2"/>
  <c r="AR9" i="2"/>
  <c r="AR10" i="2"/>
  <c r="AD6" i="2"/>
  <c r="AD7" i="2"/>
  <c r="AD20" i="2" s="1"/>
  <c r="AC6" i="2"/>
  <c r="AL14" i="2"/>
  <c r="AL13" i="2"/>
  <c r="AL12" i="2"/>
  <c r="AL11" i="2"/>
  <c r="AL10" i="2"/>
  <c r="AL9" i="2"/>
  <c r="AL8" i="2"/>
  <c r="AL7" i="2"/>
  <c r="AL6" i="2"/>
  <c r="AL5" i="2"/>
  <c r="AL4" i="2"/>
  <c r="AL3" i="2"/>
  <c r="L18" i="2"/>
  <c r="K18" i="2"/>
  <c r="J18" i="2"/>
  <c r="I18" i="2"/>
  <c r="H18" i="2"/>
  <c r="G18" i="2"/>
  <c r="R11" i="2"/>
  <c r="H11" i="2"/>
  <c r="AQ18" i="2"/>
  <c r="AP18" i="2"/>
  <c r="AB18" i="2"/>
  <c r="AA18" i="2"/>
  <c r="Z18" i="2"/>
  <c r="Y18" i="2"/>
  <c r="X18" i="2"/>
  <c r="W18" i="2"/>
  <c r="V18" i="2"/>
  <c r="U18" i="2"/>
  <c r="T18" i="2"/>
  <c r="S18" i="2"/>
  <c r="R18" i="2"/>
  <c r="Q18" i="2"/>
  <c r="P18" i="2"/>
  <c r="O18" i="2"/>
  <c r="N18" i="2"/>
  <c r="M18" i="2"/>
  <c r="AZ22" i="2"/>
  <c r="C13" i="3"/>
  <c r="AQ14" i="2"/>
  <c r="AQ12" i="2"/>
  <c r="AQ10" i="2"/>
  <c r="AQ9" i="2"/>
  <c r="AQ6" i="2"/>
  <c r="AQ4" i="2"/>
  <c r="C10" i="3"/>
  <c r="C9" i="1"/>
  <c r="X24" i="2"/>
  <c r="W24" i="2"/>
  <c r="V24" i="2"/>
  <c r="P24" i="2"/>
  <c r="K24" i="2"/>
  <c r="F24" i="2"/>
  <c r="AA23" i="2"/>
  <c r="Z23" i="2"/>
  <c r="Y23" i="2"/>
  <c r="X23" i="2"/>
  <c r="W23" i="2"/>
  <c r="V23" i="2"/>
  <c r="U23" i="2"/>
  <c r="T23" i="2"/>
  <c r="S23" i="2"/>
  <c r="R23" i="2"/>
  <c r="Q23" i="2"/>
  <c r="P23" i="2"/>
  <c r="O23" i="2"/>
  <c r="N23" i="2"/>
  <c r="M23" i="2"/>
  <c r="L23" i="2"/>
  <c r="K23" i="2"/>
  <c r="J23" i="2"/>
  <c r="I23" i="2"/>
  <c r="H23" i="2"/>
  <c r="G23" i="2"/>
  <c r="AA17" i="2"/>
  <c r="Z17" i="2"/>
  <c r="Y17" i="2"/>
  <c r="X17" i="2"/>
  <c r="W17" i="2"/>
  <c r="V17" i="2"/>
  <c r="U17" i="2"/>
  <c r="T17" i="2"/>
  <c r="S17" i="2"/>
  <c r="R17" i="2"/>
  <c r="Q17" i="2"/>
  <c r="P17" i="2"/>
  <c r="O17" i="2"/>
  <c r="N17" i="2"/>
  <c r="M17" i="2"/>
  <c r="L17" i="2"/>
  <c r="K17" i="2"/>
  <c r="J17" i="2"/>
  <c r="I17" i="2"/>
  <c r="H17" i="2"/>
  <c r="G17" i="2"/>
  <c r="AB23" i="2"/>
  <c r="AB20" i="2"/>
  <c r="AB17" i="2"/>
  <c r="P7" i="2"/>
  <c r="O7" i="2"/>
  <c r="N7" i="2"/>
  <c r="M7" i="2"/>
  <c r="P5" i="2"/>
  <c r="O5" i="2"/>
  <c r="O24" i="2" s="1"/>
  <c r="N5" i="2"/>
  <c r="M5" i="2"/>
  <c r="M24" i="2" s="1"/>
  <c r="AC17" i="2"/>
  <c r="X7" i="2"/>
  <c r="X20" i="2" s="1"/>
  <c r="W7" i="2"/>
  <c r="W20" i="2" s="1"/>
  <c r="V7" i="2"/>
  <c r="X5" i="2"/>
  <c r="X19" i="2" s="1"/>
  <c r="W5" i="2"/>
  <c r="W19" i="2" s="1"/>
  <c r="V5" i="2"/>
  <c r="V19" i="2" s="1"/>
  <c r="T7" i="2"/>
  <c r="T20" i="2" s="1"/>
  <c r="S7" i="2"/>
  <c r="S20" i="2" s="1"/>
  <c r="R7" i="2"/>
  <c r="V20" i="2" s="1"/>
  <c r="Q7" i="2"/>
  <c r="U20" i="2" s="1"/>
  <c r="L7" i="2"/>
  <c r="K7" i="2"/>
  <c r="O20" i="2" s="1"/>
  <c r="J7" i="2"/>
  <c r="N20" i="2" s="1"/>
  <c r="I7" i="2"/>
  <c r="I20" i="2" s="1"/>
  <c r="H7" i="2"/>
  <c r="G7" i="2"/>
  <c r="F7" i="2"/>
  <c r="E7" i="2"/>
  <c r="D7" i="2"/>
  <c r="C7" i="2"/>
  <c r="AC7" i="2"/>
  <c r="AB7" i="2"/>
  <c r="AA7" i="2"/>
  <c r="AA20" i="2" s="1"/>
  <c r="Z7" i="2"/>
  <c r="Z20" i="2" s="1"/>
  <c r="AB5" i="2"/>
  <c r="AB24" i="2" s="1"/>
  <c r="AA5" i="2"/>
  <c r="AA19" i="2" s="1"/>
  <c r="Z5" i="2"/>
  <c r="Z8" i="2" s="1"/>
  <c r="Z11" i="2" s="1"/>
  <c r="Z13" i="2" s="1"/>
  <c r="U5" i="2"/>
  <c r="U24" i="2" s="1"/>
  <c r="T5" i="2"/>
  <c r="T24" i="2" s="1"/>
  <c r="S5" i="2"/>
  <c r="S19" i="2" s="1"/>
  <c r="R5" i="2"/>
  <c r="R24" i="2" s="1"/>
  <c r="Q5" i="2"/>
  <c r="Q24" i="2" s="1"/>
  <c r="L5" i="2"/>
  <c r="K5" i="2"/>
  <c r="J5" i="2"/>
  <c r="J24" i="2" s="1"/>
  <c r="I5" i="2"/>
  <c r="H5" i="2"/>
  <c r="H24" i="2" s="1"/>
  <c r="G5" i="2"/>
  <c r="G24" i="2" s="1"/>
  <c r="F5" i="2"/>
  <c r="E5" i="2"/>
  <c r="E24" i="2" s="1"/>
  <c r="D5" i="2"/>
  <c r="D24" i="2" s="1"/>
  <c r="C5" i="2"/>
  <c r="C24" i="2" s="1"/>
  <c r="AP3" i="2"/>
  <c r="U7" i="2"/>
  <c r="Y7" i="2"/>
  <c r="AC20" i="2" s="1"/>
  <c r="Y5" i="2"/>
  <c r="AR3" i="2" l="1"/>
  <c r="AR6" i="2"/>
  <c r="AD5" i="2"/>
  <c r="AD24" i="2" s="1"/>
  <c r="AC18" i="2"/>
  <c r="AR4" i="2"/>
  <c r="AC19" i="2"/>
  <c r="G20" i="2"/>
  <c r="H20" i="2"/>
  <c r="H19" i="2"/>
  <c r="I19" i="2"/>
  <c r="I24" i="2"/>
  <c r="J19" i="2"/>
  <c r="G19" i="2"/>
  <c r="K19" i="2"/>
  <c r="L24" i="2"/>
  <c r="L19" i="2"/>
  <c r="L20" i="2"/>
  <c r="P19" i="2"/>
  <c r="J20" i="2"/>
  <c r="P20" i="2"/>
  <c r="M20" i="2"/>
  <c r="Y24" i="2"/>
  <c r="Z24" i="2"/>
  <c r="AA24" i="2"/>
  <c r="T19" i="2"/>
  <c r="Z26" i="2"/>
  <c r="U19" i="2"/>
  <c r="K20" i="2"/>
  <c r="S24" i="2"/>
  <c r="O19" i="2"/>
  <c r="Z21" i="2"/>
  <c r="Z25" i="2"/>
  <c r="AB19" i="2"/>
  <c r="Y20" i="2"/>
  <c r="Y19" i="2"/>
  <c r="J8" i="2"/>
  <c r="N21" i="2" s="1"/>
  <c r="Z19" i="2"/>
  <c r="M8" i="2"/>
  <c r="M19" i="2"/>
  <c r="Q19" i="2"/>
  <c r="Q20" i="2"/>
  <c r="R20" i="2"/>
  <c r="N8" i="2"/>
  <c r="N11" i="2" s="1"/>
  <c r="N13" i="2" s="1"/>
  <c r="N15" i="2" s="1"/>
  <c r="R19" i="2"/>
  <c r="N19" i="2"/>
  <c r="N24" i="2"/>
  <c r="O8" i="2"/>
  <c r="P8" i="2"/>
  <c r="Z15" i="2"/>
  <c r="AA8" i="2"/>
  <c r="T8" i="2"/>
  <c r="L8" i="2"/>
  <c r="K8" i="2"/>
  <c r="AB8" i="2"/>
  <c r="Q8" i="2"/>
  <c r="V8" i="2"/>
  <c r="W8" i="2"/>
  <c r="X8" i="2"/>
  <c r="E8" i="2"/>
  <c r="I8" i="2"/>
  <c r="C8" i="2"/>
  <c r="D8" i="2"/>
  <c r="F8" i="2"/>
  <c r="G8" i="2"/>
  <c r="H8" i="2"/>
  <c r="R8" i="2"/>
  <c r="S8" i="2"/>
  <c r="AC8" i="2"/>
  <c r="U8" i="2"/>
  <c r="AD8" i="2" l="1"/>
  <c r="AD21" i="2" s="1"/>
  <c r="AD19" i="2"/>
  <c r="AS18" i="2"/>
  <c r="G11" i="2"/>
  <c r="G21" i="2"/>
  <c r="G25" i="2"/>
  <c r="H21" i="2"/>
  <c r="H25" i="2"/>
  <c r="P11" i="2"/>
  <c r="P21" i="2"/>
  <c r="P25" i="2"/>
  <c r="D11" i="2"/>
  <c r="D25" i="2"/>
  <c r="C11" i="2"/>
  <c r="C25" i="2"/>
  <c r="I11" i="2"/>
  <c r="I21" i="2"/>
  <c r="I25" i="2"/>
  <c r="E11" i="2"/>
  <c r="E25" i="2"/>
  <c r="X11" i="2"/>
  <c r="X21" i="2"/>
  <c r="X25" i="2"/>
  <c r="W25" i="2"/>
  <c r="W21" i="2"/>
  <c r="V11" i="2"/>
  <c r="V25" i="2"/>
  <c r="AB11" i="2"/>
  <c r="AB26" i="2" s="1"/>
  <c r="AB21" i="2"/>
  <c r="AB25" i="2"/>
  <c r="T11" i="2"/>
  <c r="T21" i="2"/>
  <c r="T25" i="2"/>
  <c r="U11" i="2"/>
  <c r="U25" i="2"/>
  <c r="AA11" i="2"/>
  <c r="AA26" i="2" s="1"/>
  <c r="AA21" i="2"/>
  <c r="AA25" i="2"/>
  <c r="F11" i="2"/>
  <c r="F25" i="2"/>
  <c r="O11" i="2"/>
  <c r="O21" i="2"/>
  <c r="O25" i="2"/>
  <c r="K11" i="2"/>
  <c r="K21" i="2"/>
  <c r="K25" i="2"/>
  <c r="M21" i="2"/>
  <c r="L11" i="2"/>
  <c r="L21" i="2"/>
  <c r="L25" i="2"/>
  <c r="J11" i="2"/>
  <c r="J25" i="2"/>
  <c r="J21" i="2"/>
  <c r="AC11" i="2"/>
  <c r="AC12" i="2" s="1"/>
  <c r="AC25" i="2"/>
  <c r="S11" i="2"/>
  <c r="S21" i="2"/>
  <c r="S25" i="2"/>
  <c r="M11" i="2"/>
  <c r="M25" i="2"/>
  <c r="Q11" i="2"/>
  <c r="Q25" i="2"/>
  <c r="U21" i="2"/>
  <c r="Q21" i="2"/>
  <c r="N26" i="2"/>
  <c r="N25" i="2"/>
  <c r="V21" i="2"/>
  <c r="R21" i="2"/>
  <c r="R25" i="2"/>
  <c r="W11" i="2"/>
  <c r="AB13" i="2"/>
  <c r="AQ3" i="2"/>
  <c r="AS10" i="2"/>
  <c r="AS9" i="2"/>
  <c r="AT9" i="2" s="1"/>
  <c r="AU9" i="2" s="1"/>
  <c r="AV9" i="2" s="1"/>
  <c r="AP12" i="2"/>
  <c r="AP10" i="2"/>
  <c r="AP9" i="2"/>
  <c r="AP6" i="2"/>
  <c r="AP7" i="2" s="1"/>
  <c r="AP4" i="2"/>
  <c r="AP5" i="2" s="1"/>
  <c r="AO12" i="2"/>
  <c r="AO10" i="2"/>
  <c r="AO9" i="2"/>
  <c r="AO6" i="2"/>
  <c r="AO7" i="2" s="1"/>
  <c r="AO4" i="2"/>
  <c r="AO3" i="2"/>
  <c r="AN12" i="2"/>
  <c r="AN10" i="2"/>
  <c r="AN9" i="2"/>
  <c r="AN6" i="2"/>
  <c r="AN7" i="2" s="1"/>
  <c r="AN4" i="2"/>
  <c r="AN3" i="2"/>
  <c r="AP14" i="2"/>
  <c r="AQ23" i="2" s="1"/>
  <c r="AO14" i="2"/>
  <c r="AN14" i="2"/>
  <c r="AM14" i="2"/>
  <c r="AM12" i="2"/>
  <c r="AM10" i="2"/>
  <c r="AM9" i="2"/>
  <c r="AM6" i="2"/>
  <c r="AM7" i="2" s="1"/>
  <c r="AM4" i="2"/>
  <c r="AM3" i="2"/>
  <c r="AD11" i="2" l="1"/>
  <c r="AD25" i="2"/>
  <c r="AM18" i="2"/>
  <c r="AL15" i="2"/>
  <c r="AM5" i="2"/>
  <c r="AM8" i="2" s="1"/>
  <c r="AM11" i="2" s="1"/>
  <c r="AM13" i="2" s="1"/>
  <c r="AM15" i="2" s="1"/>
  <c r="AO18" i="2"/>
  <c r="AN18" i="2"/>
  <c r="AN5" i="2"/>
  <c r="AN8" i="2" s="1"/>
  <c r="AN11" i="2" s="1"/>
  <c r="AN13" i="2" s="1"/>
  <c r="AN15" i="2" s="1"/>
  <c r="X13" i="2"/>
  <c r="X26" i="2"/>
  <c r="C13" i="2"/>
  <c r="C15" i="2" s="1"/>
  <c r="C26" i="2"/>
  <c r="AQ17" i="2"/>
  <c r="I13" i="2"/>
  <c r="I26" i="2"/>
  <c r="AA13" i="2"/>
  <c r="U13" i="2"/>
  <c r="U15" i="2" s="1"/>
  <c r="U26" i="2"/>
  <c r="T13" i="2"/>
  <c r="T26" i="2"/>
  <c r="P13" i="2"/>
  <c r="P26" i="2"/>
  <c r="L13" i="2"/>
  <c r="L26" i="2"/>
  <c r="V13" i="2"/>
  <c r="V26" i="2"/>
  <c r="E13" i="2"/>
  <c r="E15" i="2" s="1"/>
  <c r="E26" i="2"/>
  <c r="AB22" i="2"/>
  <c r="AC13" i="2"/>
  <c r="AC15" i="2" s="1"/>
  <c r="AC26" i="2"/>
  <c r="O13" i="2"/>
  <c r="O26" i="2"/>
  <c r="F13" i="2"/>
  <c r="F15" i="2" s="1"/>
  <c r="F26" i="2"/>
  <c r="S13" i="2"/>
  <c r="S26" i="2"/>
  <c r="W13" i="2"/>
  <c r="W22" i="2" s="1"/>
  <c r="W26" i="2"/>
  <c r="D13" i="2"/>
  <c r="D15" i="2" s="1"/>
  <c r="D26" i="2"/>
  <c r="J13" i="2"/>
  <c r="J26" i="2"/>
  <c r="H13" i="2"/>
  <c r="H26" i="2"/>
  <c r="K13" i="2"/>
  <c r="K26" i="2"/>
  <c r="G13" i="2"/>
  <c r="G26" i="2"/>
  <c r="M13" i="2"/>
  <c r="M26" i="2"/>
  <c r="Q13" i="2"/>
  <c r="Q26" i="2"/>
  <c r="R13" i="2"/>
  <c r="R26" i="2"/>
  <c r="AP8" i="2"/>
  <c r="AP11" i="2" s="1"/>
  <c r="AP13" i="2" s="1"/>
  <c r="AP15" i="2" s="1"/>
  <c r="AO5" i="2"/>
  <c r="AO8" i="2" s="1"/>
  <c r="AO11" i="2" s="1"/>
  <c r="AO13" i="2" s="1"/>
  <c r="AO15" i="2" s="1"/>
  <c r="W15" i="2"/>
  <c r="AQ5" i="2"/>
  <c r="AQ7" i="2"/>
  <c r="AQ20" i="2" s="1"/>
  <c r="AT10" i="2"/>
  <c r="AB15" i="2"/>
  <c r="AP23" i="2"/>
  <c r="AN23" i="2"/>
  <c r="AM23" i="2"/>
  <c r="AO23" i="2"/>
  <c r="AM17" i="2"/>
  <c r="AM20" i="2"/>
  <c r="AO20" i="2"/>
  <c r="AN20" i="2"/>
  <c r="AO17" i="2"/>
  <c r="AN17" i="2"/>
  <c r="AP17" i="2"/>
  <c r="Y8" i="2"/>
  <c r="C3" i="3"/>
  <c r="C16" i="3"/>
  <c r="AD12" i="2" l="1"/>
  <c r="AR12" i="2" s="1"/>
  <c r="AT18" i="2"/>
  <c r="V15" i="2"/>
  <c r="Z22" i="2"/>
  <c r="J22" i="2"/>
  <c r="J15" i="2"/>
  <c r="N22" i="2"/>
  <c r="Y25" i="2"/>
  <c r="Y21" i="2"/>
  <c r="AQ19" i="2"/>
  <c r="AQ24" i="2"/>
  <c r="P15" i="2"/>
  <c r="P22" i="2"/>
  <c r="O15" i="2"/>
  <c r="O22" i="2"/>
  <c r="T15" i="2"/>
  <c r="T22" i="2"/>
  <c r="AA15" i="2"/>
  <c r="AA22" i="2"/>
  <c r="K22" i="2"/>
  <c r="K15" i="2"/>
  <c r="H22" i="2"/>
  <c r="H15" i="2"/>
  <c r="L22" i="2"/>
  <c r="L15" i="2"/>
  <c r="S15" i="2"/>
  <c r="S22" i="2"/>
  <c r="I22" i="2"/>
  <c r="I15" i="2"/>
  <c r="G22" i="2"/>
  <c r="G15" i="2"/>
  <c r="X15" i="2"/>
  <c r="X22" i="2"/>
  <c r="M15" i="2"/>
  <c r="M22" i="2"/>
  <c r="Q15" i="2"/>
  <c r="U22" i="2"/>
  <c r="Q22" i="2"/>
  <c r="R15" i="2"/>
  <c r="V22" i="2"/>
  <c r="R22" i="2"/>
  <c r="AQ8" i="2"/>
  <c r="Y11" i="2"/>
  <c r="AC21" i="2"/>
  <c r="AR5" i="2"/>
  <c r="AS6" i="2"/>
  <c r="AR7" i="2"/>
  <c r="AU10" i="2"/>
  <c r="AO19" i="2"/>
  <c r="AO24" i="2"/>
  <c r="AO21" i="2"/>
  <c r="AS23" i="2"/>
  <c r="C11" i="3"/>
  <c r="AP20" i="2"/>
  <c r="AM21" i="2"/>
  <c r="AM25" i="2"/>
  <c r="AN19" i="2"/>
  <c r="AN24" i="2"/>
  <c r="AP24" i="2"/>
  <c r="AP19" i="2"/>
  <c r="AO25" i="2"/>
  <c r="AS17" i="2"/>
  <c r="AM24" i="2"/>
  <c r="AM19" i="2"/>
  <c r="C5" i="1" a="1"/>
  <c r="C5" i="1" s="1"/>
  <c r="AZ25" i="2" s="1"/>
  <c r="AD13" i="2" l="1"/>
  <c r="AD26" i="2"/>
  <c r="AV18" i="2"/>
  <c r="AU18" i="2"/>
  <c r="Y13" i="2"/>
  <c r="Y26" i="2"/>
  <c r="AQ25" i="2"/>
  <c r="AQ21" i="2"/>
  <c r="AQ11" i="2"/>
  <c r="AR8" i="2"/>
  <c r="AR11" i="2" s="1"/>
  <c r="AC22" i="2"/>
  <c r="AS5" i="2"/>
  <c r="AS19" i="2" s="1"/>
  <c r="AS7" i="2"/>
  <c r="AT6" i="2"/>
  <c r="AV10" i="2"/>
  <c r="AN21" i="2"/>
  <c r="AN25" i="2"/>
  <c r="AT23" i="2"/>
  <c r="AO26" i="2"/>
  <c r="AT17" i="2"/>
  <c r="AP25" i="2"/>
  <c r="AP21" i="2"/>
  <c r="AM26" i="2"/>
  <c r="C7" i="1"/>
  <c r="AD15" i="2" l="1"/>
  <c r="AD22" i="2"/>
  <c r="AQ13" i="2"/>
  <c r="AQ26" i="2"/>
  <c r="Y15" i="2"/>
  <c r="Y22" i="2"/>
  <c r="AS24" i="2"/>
  <c r="AT5" i="2"/>
  <c r="AT24" i="2" s="1"/>
  <c r="AU6" i="2"/>
  <c r="AT7" i="2"/>
  <c r="AS8" i="2"/>
  <c r="AS11" i="2" s="1"/>
  <c r="AS20" i="2"/>
  <c r="AR26" i="2"/>
  <c r="AR13" i="2"/>
  <c r="AR15" i="2" s="1"/>
  <c r="AN26" i="2"/>
  <c r="AV23" i="2"/>
  <c r="AU23" i="2"/>
  <c r="AM22" i="2"/>
  <c r="AP22" i="2"/>
  <c r="AP26" i="2"/>
  <c r="C9" i="3" s="1"/>
  <c r="AU17" i="2"/>
  <c r="AN22" i="2"/>
  <c r="AO22" i="2"/>
  <c r="C10" i="1"/>
  <c r="C4" i="3"/>
  <c r="C5" i="3" s="1"/>
  <c r="AQ22" i="2" l="1"/>
  <c r="AQ15" i="2"/>
  <c r="AT19" i="2"/>
  <c r="AS25" i="2"/>
  <c r="AS21" i="2"/>
  <c r="AV5" i="2"/>
  <c r="AU5" i="2"/>
  <c r="AU19" i="2" s="1"/>
  <c r="AT8" i="2"/>
  <c r="AT11" i="2" s="1"/>
  <c r="AT20" i="2"/>
  <c r="AV6" i="2"/>
  <c r="AV7" i="2" s="1"/>
  <c r="AU7" i="2"/>
  <c r="AS26" i="2"/>
  <c r="AS13" i="2"/>
  <c r="AV17" i="2"/>
  <c r="C7" i="3"/>
  <c r="C6" i="3"/>
  <c r="AS15" i="2" l="1"/>
  <c r="AU24" i="2"/>
  <c r="AS22" i="2"/>
  <c r="AT25" i="2"/>
  <c r="AT21" i="2"/>
  <c r="AU8" i="2"/>
  <c r="AU11" i="2" s="1"/>
  <c r="AU20" i="2"/>
  <c r="AV8" i="2"/>
  <c r="AV11" i="2" s="1"/>
  <c r="AV20" i="2"/>
  <c r="AV19" i="2"/>
  <c r="AV24" i="2"/>
  <c r="C18" i="3"/>
  <c r="AZ20" i="2" s="1"/>
  <c r="AU21" i="2" l="1"/>
  <c r="AU25" i="2"/>
  <c r="AT26" i="2"/>
  <c r="AT13" i="2"/>
  <c r="AV21" i="2"/>
  <c r="AV25" i="2"/>
  <c r="AT15" i="2" l="1"/>
  <c r="AU26" i="2"/>
  <c r="AU13" i="2"/>
  <c r="AU15" i="2" s="1"/>
  <c r="AV26" i="2"/>
  <c r="AV13" i="2"/>
  <c r="AT22" i="2"/>
  <c r="AV15" i="2" l="1"/>
  <c r="AW13" i="2"/>
  <c r="AU22" i="2"/>
  <c r="AV22" i="2"/>
  <c r="AX13" i="2"/>
  <c r="AY13" i="2" s="1"/>
  <c r="AZ13" i="2" s="1"/>
  <c r="BA13" i="2" s="1"/>
  <c r="BB13" i="2" s="1"/>
  <c r="BC13" i="2" s="1"/>
  <c r="BD13" i="2" s="1"/>
  <c r="BE13" i="2" s="1"/>
  <c r="BF13" i="2" s="1"/>
  <c r="BG13" i="2" s="1"/>
  <c r="BH13" i="2" s="1"/>
  <c r="BI13" i="2" s="1"/>
  <c r="BJ13" i="2" s="1"/>
  <c r="BK13" i="2" s="1"/>
  <c r="BL13" i="2" s="1"/>
  <c r="BM13" i="2" s="1"/>
  <c r="BN13" i="2" s="1"/>
  <c r="BO13" i="2" s="1"/>
  <c r="BP13" i="2" s="1"/>
  <c r="BQ13" i="2" s="1"/>
  <c r="BR13" i="2" s="1"/>
  <c r="BS13" i="2" s="1"/>
  <c r="BT13" i="2" s="1"/>
  <c r="BU13" i="2" s="1"/>
  <c r="BV13" i="2" s="1"/>
  <c r="BW13" i="2" s="1"/>
  <c r="BX13" i="2" s="1"/>
  <c r="BY13" i="2" s="1"/>
  <c r="BZ13" i="2" s="1"/>
  <c r="CA13" i="2" s="1"/>
  <c r="CB13" i="2" s="1"/>
  <c r="CC13" i="2" s="1"/>
  <c r="CD13" i="2" s="1"/>
  <c r="CE13" i="2" s="1"/>
  <c r="CF13" i="2" s="1"/>
  <c r="CG13" i="2" s="1"/>
  <c r="CH13" i="2" s="1"/>
  <c r="CI13" i="2" s="1"/>
  <c r="CJ13" i="2" s="1"/>
  <c r="CK13" i="2" s="1"/>
  <c r="CL13" i="2" s="1"/>
  <c r="CM13" i="2" s="1"/>
  <c r="CN13" i="2" s="1"/>
  <c r="CO13" i="2" s="1"/>
  <c r="CP13" i="2" s="1"/>
  <c r="CQ13" i="2" s="1"/>
  <c r="CR13" i="2" s="1"/>
  <c r="CS13" i="2" s="1"/>
  <c r="CT13" i="2" s="1"/>
  <c r="CU13" i="2" s="1"/>
  <c r="CV13" i="2" s="1"/>
  <c r="CW13" i="2" s="1"/>
  <c r="CX13" i="2" s="1"/>
  <c r="CY13" i="2" s="1"/>
  <c r="CZ13" i="2" s="1"/>
  <c r="DA13" i="2" s="1"/>
  <c r="DB13" i="2" s="1"/>
  <c r="DC13" i="2" s="1"/>
  <c r="DD13" i="2" s="1"/>
  <c r="DE13" i="2" s="1"/>
  <c r="DF13" i="2" s="1"/>
  <c r="DG13" i="2" s="1"/>
  <c r="DH13" i="2" s="1"/>
  <c r="DI13" i="2" s="1"/>
  <c r="DJ13" i="2" s="1"/>
  <c r="DK13" i="2" s="1"/>
  <c r="DL13" i="2" s="1"/>
  <c r="DM13" i="2" s="1"/>
  <c r="DN13" i="2" s="1"/>
  <c r="DO13" i="2" s="1"/>
  <c r="DP13" i="2" s="1"/>
  <c r="DQ13" i="2" s="1"/>
  <c r="DR13" i="2" s="1"/>
  <c r="DS13" i="2" s="1"/>
  <c r="DT13" i="2" s="1"/>
  <c r="DU13" i="2" s="1"/>
  <c r="DV13" i="2" s="1"/>
  <c r="DW13" i="2" s="1"/>
  <c r="DX13" i="2" s="1"/>
  <c r="DY13" i="2" s="1"/>
  <c r="DZ13" i="2" s="1"/>
  <c r="EA13" i="2" s="1"/>
  <c r="EB13" i="2" s="1"/>
  <c r="EC13" i="2" s="1"/>
  <c r="ED13" i="2" s="1"/>
  <c r="EE13" i="2" s="1"/>
  <c r="EF13" i="2" s="1"/>
  <c r="EG13" i="2" s="1"/>
  <c r="EH13" i="2" s="1"/>
  <c r="EI13" i="2" s="1"/>
  <c r="EJ13" i="2" s="1"/>
  <c r="EK13" i="2" s="1"/>
  <c r="EL13" i="2" s="1"/>
  <c r="EM13" i="2" s="1"/>
  <c r="EN13" i="2" s="1"/>
  <c r="EO13" i="2" s="1"/>
  <c r="EP13" i="2" s="1"/>
  <c r="EQ13" i="2" s="1"/>
  <c r="ER13" i="2" s="1"/>
  <c r="ES13" i="2" s="1"/>
  <c r="ET13" i="2" s="1"/>
  <c r="EU13" i="2" s="1"/>
  <c r="EV13" i="2" s="1"/>
  <c r="EW13" i="2" s="1"/>
  <c r="EX13" i="2" s="1"/>
  <c r="EY13" i="2" s="1"/>
  <c r="EZ13" i="2" s="1"/>
  <c r="FA13" i="2" s="1"/>
  <c r="FB13" i="2" s="1"/>
  <c r="FC13" i="2" s="1"/>
  <c r="FD13" i="2" s="1"/>
  <c r="FE13" i="2" s="1"/>
  <c r="FF13" i="2" s="1"/>
  <c r="FG13" i="2" s="1"/>
  <c r="FH13" i="2" s="1"/>
  <c r="FI13" i="2" s="1"/>
  <c r="FJ13" i="2" s="1"/>
  <c r="FK13" i="2" s="1"/>
  <c r="FL13" i="2" s="1"/>
  <c r="FM13" i="2" s="1"/>
  <c r="FN13" i="2" s="1"/>
  <c r="FO13" i="2" s="1"/>
  <c r="FP13" i="2" s="1"/>
  <c r="FQ13" i="2" s="1"/>
  <c r="FR13" i="2" s="1"/>
  <c r="FS13" i="2" s="1"/>
  <c r="FT13" i="2" s="1"/>
  <c r="FU13" i="2" s="1"/>
  <c r="FV13" i="2" s="1"/>
  <c r="FW13" i="2" s="1"/>
  <c r="FX13" i="2" s="1"/>
  <c r="FY13" i="2" s="1"/>
  <c r="FZ13" i="2" s="1"/>
  <c r="GA13" i="2" s="1"/>
  <c r="GB13" i="2" s="1"/>
  <c r="GC13" i="2" s="1"/>
  <c r="GD13" i="2" s="1"/>
  <c r="GE13" i="2" s="1"/>
  <c r="GF13" i="2" s="1"/>
  <c r="GG13" i="2" s="1"/>
  <c r="GH13" i="2" s="1"/>
  <c r="GI13" i="2" s="1"/>
  <c r="GJ13" i="2" s="1"/>
  <c r="GK13" i="2" s="1"/>
  <c r="GL13" i="2" s="1"/>
  <c r="GM13" i="2" s="1"/>
  <c r="GN13" i="2" s="1"/>
  <c r="GO13" i="2" s="1"/>
  <c r="GP13" i="2" s="1"/>
  <c r="GQ13" i="2" s="1"/>
  <c r="GR13" i="2" s="1"/>
  <c r="GS13" i="2" s="1"/>
  <c r="GT13" i="2" s="1"/>
  <c r="GU13" i="2" s="1"/>
  <c r="GV13" i="2" s="1"/>
  <c r="GW13" i="2" s="1"/>
  <c r="GX13" i="2" s="1"/>
  <c r="GY13" i="2" s="1"/>
  <c r="GZ13" i="2" s="1"/>
  <c r="HA13" i="2" s="1"/>
  <c r="HB13" i="2" s="1"/>
  <c r="HC13" i="2" s="1"/>
  <c r="HD13" i="2" s="1"/>
  <c r="HE13" i="2" s="1"/>
  <c r="HF13" i="2" s="1"/>
  <c r="HG13" i="2" s="1"/>
  <c r="HH13" i="2" s="1"/>
  <c r="HI13" i="2" s="1"/>
  <c r="HJ13" i="2" s="1"/>
  <c r="HK13" i="2" s="1"/>
  <c r="HL13" i="2" s="1"/>
  <c r="HM13" i="2" s="1"/>
  <c r="HN13" i="2" s="1"/>
  <c r="HO13" i="2" s="1"/>
  <c r="HP13" i="2" s="1"/>
  <c r="HQ13" i="2" s="1"/>
  <c r="HR13" i="2" s="1"/>
  <c r="HS13" i="2" s="1"/>
  <c r="HT13" i="2" s="1"/>
  <c r="HU13" i="2" s="1"/>
  <c r="HV13" i="2" s="1"/>
  <c r="HW13" i="2" s="1"/>
  <c r="HX13" i="2" s="1"/>
  <c r="HY13" i="2" s="1"/>
  <c r="HZ13" i="2" s="1"/>
  <c r="IA13" i="2" s="1"/>
  <c r="IB13" i="2" s="1"/>
  <c r="IC13" i="2" s="1"/>
  <c r="ID13" i="2" s="1"/>
  <c r="IE13" i="2" s="1"/>
  <c r="IF13" i="2" s="1"/>
  <c r="IG13" i="2" s="1"/>
  <c r="IH13" i="2" s="1"/>
  <c r="II13" i="2" s="1"/>
  <c r="IJ13" i="2" s="1"/>
  <c r="IK13" i="2" s="1"/>
  <c r="IL13" i="2" s="1"/>
  <c r="IM13" i="2" s="1"/>
  <c r="IN13" i="2" s="1"/>
  <c r="IO13" i="2" s="1"/>
  <c r="IP13" i="2" s="1"/>
  <c r="IQ13" i="2" s="1"/>
  <c r="IR13" i="2" s="1"/>
  <c r="IS13" i="2" s="1"/>
  <c r="IT13" i="2" s="1"/>
  <c r="IU13" i="2" s="1"/>
  <c r="IV13" i="2" s="1"/>
  <c r="IW13" i="2" s="1"/>
  <c r="IX13" i="2" s="1"/>
  <c r="IY13" i="2" s="1"/>
  <c r="IZ13" i="2" s="1"/>
  <c r="JA13" i="2" s="1"/>
  <c r="JB13" i="2" s="1"/>
  <c r="JC13" i="2" s="1"/>
  <c r="JD13" i="2" s="1"/>
  <c r="JE13" i="2" s="1"/>
  <c r="JF13" i="2" s="1"/>
  <c r="JG13" i="2" s="1"/>
  <c r="JH13" i="2" s="1"/>
  <c r="JI13" i="2" s="1"/>
  <c r="JJ13" i="2" s="1"/>
  <c r="JK13" i="2" s="1"/>
  <c r="JL13" i="2" s="1"/>
  <c r="JM13" i="2" s="1"/>
  <c r="JN13" i="2" s="1"/>
  <c r="JO13" i="2" s="1"/>
  <c r="JP13" i="2" s="1"/>
  <c r="JQ13" i="2" s="1"/>
  <c r="JR13" i="2" s="1"/>
  <c r="JS13" i="2" s="1"/>
  <c r="JT13" i="2" s="1"/>
  <c r="JU13" i="2" s="1"/>
  <c r="JV13" i="2" s="1"/>
  <c r="JW13" i="2" s="1"/>
  <c r="JX13" i="2" s="1"/>
  <c r="JY13" i="2" s="1"/>
  <c r="JZ13" i="2" s="1"/>
  <c r="KA13" i="2" s="1"/>
  <c r="KB13" i="2" s="1"/>
  <c r="KC13" i="2" s="1"/>
  <c r="KD13" i="2" s="1"/>
  <c r="KE13" i="2" s="1"/>
  <c r="KF13" i="2" s="1"/>
  <c r="KG13" i="2" s="1"/>
  <c r="KH13" i="2" s="1"/>
  <c r="KI13" i="2" s="1"/>
  <c r="AZ21" i="2" l="1"/>
  <c r="AZ23" i="2" s="1"/>
  <c r="AZ24" i="2" s="1"/>
  <c r="AZ26"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<sst xmlns="http://schemas.openxmlformats.org/spreadsheetml/2006/main" count="85" uniqueCount="81">
  <si>
    <t>Company</t>
  </si>
  <si>
    <t>Source</t>
  </si>
  <si>
    <t>Price</t>
  </si>
  <si>
    <t>Shares</t>
  </si>
  <si>
    <t>2Q22</t>
  </si>
  <si>
    <t>Market Cap</t>
  </si>
  <si>
    <t>Cash</t>
  </si>
  <si>
    <t>Debt</t>
  </si>
  <si>
    <t>EV</t>
  </si>
  <si>
    <t>3Q22</t>
  </si>
  <si>
    <t>Revenue</t>
  </si>
  <si>
    <t>Opex</t>
  </si>
  <si>
    <t>Pretax Income</t>
  </si>
  <si>
    <t>Taxes</t>
  </si>
  <si>
    <t>Net Income</t>
  </si>
  <si>
    <t>Shares Outstanding</t>
  </si>
  <si>
    <t>EPS</t>
  </si>
  <si>
    <t>Cost of Revenue</t>
  </si>
  <si>
    <t>Gross Profit</t>
  </si>
  <si>
    <t>Operating Income</t>
  </si>
  <si>
    <t>2Q20</t>
  </si>
  <si>
    <t>3Q20</t>
  </si>
  <si>
    <t>4Q20</t>
  </si>
  <si>
    <t>1Q21</t>
  </si>
  <si>
    <t>2Q21</t>
  </si>
  <si>
    <t>3Q21</t>
  </si>
  <si>
    <t>4Q21</t>
  </si>
  <si>
    <t>1Q22</t>
  </si>
  <si>
    <t>1Q20</t>
  </si>
  <si>
    <t>4Q22</t>
  </si>
  <si>
    <t>Equity</t>
  </si>
  <si>
    <t>D+E</t>
  </si>
  <si>
    <t>Wdebt</t>
  </si>
  <si>
    <t>Wequity</t>
  </si>
  <si>
    <t>Tax rate</t>
  </si>
  <si>
    <t>Interest expense</t>
  </si>
  <si>
    <t>Cost of debt</t>
  </si>
  <si>
    <t>Risk-free rate</t>
  </si>
  <si>
    <t>Beta</t>
  </si>
  <si>
    <t>Market return</t>
  </si>
  <si>
    <t>Cost of equity</t>
  </si>
  <si>
    <t>WACC</t>
  </si>
  <si>
    <t>Revenue Y/Y</t>
  </si>
  <si>
    <t>GP Y/Y</t>
  </si>
  <si>
    <t>Opex Y/Y</t>
  </si>
  <si>
    <t>OI Y/Y</t>
  </si>
  <si>
    <t>Net Income Y/Y</t>
  </si>
  <si>
    <t>Shares Y/Y</t>
  </si>
  <si>
    <t>Gross Margin</t>
  </si>
  <si>
    <t>Operating Margin</t>
  </si>
  <si>
    <t>Tax Rate</t>
  </si>
  <si>
    <t>1Q18</t>
  </si>
  <si>
    <t>2Q18</t>
  </si>
  <si>
    <t>3Q18</t>
  </si>
  <si>
    <t>4Q18</t>
  </si>
  <si>
    <t>1Q19</t>
  </si>
  <si>
    <t>2Q19</t>
  </si>
  <si>
    <t>3Q19</t>
  </si>
  <si>
    <t>4Q19</t>
  </si>
  <si>
    <t>1Q23</t>
  </si>
  <si>
    <t>2Q23</t>
  </si>
  <si>
    <t>3Q23</t>
  </si>
  <si>
    <t>4Q23</t>
  </si>
  <si>
    <t>Interest Expense</t>
  </si>
  <si>
    <t>2Q24</t>
  </si>
  <si>
    <t>1Q24</t>
  </si>
  <si>
    <t>3Q24</t>
  </si>
  <si>
    <t>4Q24</t>
  </si>
  <si>
    <t>Maturity</t>
  </si>
  <si>
    <t>Discount</t>
  </si>
  <si>
    <t>NPV</t>
  </si>
  <si>
    <t>Net Cash</t>
  </si>
  <si>
    <t>Total Value</t>
  </si>
  <si>
    <t>Model Price</t>
  </si>
  <si>
    <t>Current Price</t>
  </si>
  <si>
    <t>Difference</t>
  </si>
  <si>
    <t>SG&amp;A</t>
  </si>
  <si>
    <t>Other Income/(Expense)</t>
  </si>
  <si>
    <t>koyfin 3/1/24</t>
  </si>
  <si>
    <t>5yr tbond</t>
  </si>
  <si>
    <t>COGS 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</si>
</sst>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0.0_);[Red]\(#,##0.0\)"/>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7">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3" fontId="2" fillId="0" borderId="0" xfId="0" applyNumberFormat="1" applyFont="1" applyAlignment="1">
      <alignment vertical="center"/>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3" fontId="2" fillId="0" borderId="0" xfId="0" applyNumberFormat="1" applyFont="1"/>
    <xf numFmtId="9" fontId="1" fillId="0" borderId="0" xfId="1" applyFont="1"/>
    <xf numFmtId="4" fontId="1" fillId="0" borderId="0" xfId="0" applyNumberFormat="1" applyFont="1"/>
    <xf numFmtId="9" fontId="2" fillId="0" borderId="0" xfId="0" applyNumberFormat="1" applyFont="1"/>
    <xf numFmtId="0" fontId="1" fillId="0" borderId="0" xfId="0" applyFont="1" applyAlignment="1">
      <alignment horizontal="right"/>
    </xf>
    <xf numFmtId="14" fontId="1" fillId="0" borderId="0" xfId="0" applyNumberFormat="1" applyFont="1" applyAlignment="1">
      <alignment horizontal="right"/>
    </xf>
    <xf numFmtId="14" fontId="1" fillId="0" borderId="0" xfId="0" applyNumberFormat="1" applyFont="1"/>
    <xf numFmtId="40" fontId="1" fillId="0" borderId="0" xfId="0" applyNumberFormat="1" applyFont="1"/>
    <xf numFmtId="165" fontId="1" fillId="0" borderId="0" xfId="0" applyNumberFormat="1" applyFont="1" applyAlignment="1">
      <alignment horizontal="right"/>
    </xf>
    <xf numFmtId="166" fontId="1" fillId="0" borderId="0" xfId="0" applyNumberFormat="1" applyFont="1"/>
    <xf numFmtId="165" fontId="1"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28</xdr:col>
      <xdr:colOff>27305</xdr:colOff>
      <xdr:row>0</xdr:row>
      <xdr:rowOff>31115</xdr:rowOff>
    </xdr:from>
    <xdr:to>
      <xdr:col>28</xdr:col>
      <xdr:colOff>27305</xdr:colOff>
      <xdr:row>29</xdr:row>
      <xdr:rowOff>20955</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19363055" y="31115"/>
          <a:ext cx="0" cy="5476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53975</xdr:colOff>
      <xdr:row>0</xdr:row>
      <xdr:rowOff>101600</xdr:rowOff>
    </xdr:from>
    <xdr:to>
      <xdr:col>43</xdr:col>
      <xdr:colOff>76103</xdr:colOff>
      <xdr:row>30</xdr:row>
      <xdr:rowOff>101600</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27200225" y="101600"/>
          <a:ext cx="22128" cy="5610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4.2999999999999997E-2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https://www.bing.com/financeapi/forcetrigger?t=a1q6sm&amp;q=XNYS%3aCOTY&amp;form=skydnc</v>
    <v>Learn more on Bing</v>
  </rv>
  <rv s="1">
    <v>en-US</v>
    <v>a1q6sm</v>
    <v>268435456</v>
    <v>1</v>
    <v>Powered by Refinitiv</v>
    <v>0</v>
    <v>COTY INC. (XNYS:COTY)</v>
    <v>2</v>
    <v>3</v>
    <v>Finance</v>
    <v>4</v>
    <v>13.46</v>
    <v>9.0150000000000006</v>
    <v>1.8324</v>
    <v>0.11</v>
    <v>-1.5790000000000001E-3</v>
    <v>8.7580000000000002E-3</v>
    <v>-0.02</v>
    <v>USD</v>
    <v>Coty Inc. is a beauty company with portfolio of brands across fragrance, color cosmetics, and skin and body care. The Company has a diverse portfolio of brands, which includes both owned and licensed. Its brand portfolio is classified into two segments: Consumer beauty and Prestige. Consumer beauty brand portfolio includes Adidas, Beckham, Biocolor, Bozzano, Bourjois, Bruno Banani, CoverGirl, Jovan, Mexx, Monange, Nautica, Paixao, Rimmel, Risque, Sally Hansen, 007 James Bond. Prestige includes Burberry, Bottega Veneta, Calvin Klein, Cavalli, Chloe, Davidoff, Escada, Gucci, Hugo Boss, Jil Sander, Kylie Jenner, Lancaster, Marc Jacobs, Miu Miu, Orveda, SKKN BY KIM, Tiffany &amp; Co. Its mass beauty brands are primarily sold through hypermarkets, supermarkets, drug stores and pharmacies, mid-tier department stores, traditional food and drug retailers, and dedicated e-commerce retailers. The Company serves consumers around the world in approximately 125 countries and territories.</v>
    <v>11350</v>
    <v>New York Stock Exchange</v>
    <v>XNYS</v>
    <v>XNYS</v>
    <v>350 Fifth Avenue, NEW YORK, NY, 10118 US</v>
    <v>12.69</v>
    <v>Personal &amp; Household Products &amp; Services</v>
    <v>Stock</v>
    <v>45352.888899003905</v>
    <v>0</v>
    <v>12.29</v>
    <v>11341790000</v>
    <v>COTY INC.</v>
    <v>COTY INC.</v>
    <v>12.53</v>
    <v>36.170900000000003</v>
    <v>12.56</v>
    <v>12.67</v>
    <v>12.65</v>
    <v>895168900</v>
    <v>COTY</v>
    <v>COTY INC. (XNYS:COTY)</v>
    <v>3748608</v>
    <v>4543112</v>
    <v>1995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C7" sqref="C7"/>
    </sheetView>
  </sheetViews>
  <sheetFormatPr defaultRowHeight="14.4" x14ac:dyDescent="0.3"/>
  <cols>
    <col min="2" max="2" width="11" bestFit="1" customWidth="1"/>
    <col min="3" max="3" width="41.44140625" bestFit="1" customWidth="1"/>
    <col min="4" max="4" width="7.109375" bestFit="1" customWidth="1"/>
  </cols>
  <sheetData>
    <row r="4" spans="2:4" x14ac:dyDescent="0.3">
      <c r="B4" s="1" t="s">
        <v>0</v>
      </c>
      <c r="C4" s="2" t="e" vm="1">
        <v>#VALUE!</v>
      </c>
      <c r="D4" s="3" t="s">
        <v>1</v>
      </c>
    </row>
    <row r="5" spans="2:4" x14ac:dyDescent="0.3">
      <c r="B5" s="4" t="s">
        <v>2</v>
      </c>
      <c r="C5" s="5" cm="1">
        <f t="array" ref="C5">_FV(C4,"Price")</f>
        <v>12.67</v>
      </c>
      <c r="D5" s="6"/>
    </row>
    <row r="6" spans="2:4" x14ac:dyDescent="0.3">
      <c r="B6" s="4" t="s">
        <v>3</v>
      </c>
      <c r="C6" s="7">
        <v>922.8</v>
      </c>
      <c r="D6" s="8" t="s">
        <v>64</v>
      </c>
    </row>
    <row r="7" spans="2:4" x14ac:dyDescent="0.3">
      <c r="B7" s="4" t="s">
        <v>5</v>
      </c>
      <c r="C7" s="7">
        <f>C5*C6</f>
        <v>11691.876</v>
      </c>
      <c r="D7" s="8"/>
    </row>
    <row r="8" spans="2:4" x14ac:dyDescent="0.3">
      <c r="B8" s="4" t="s">
        <v>6</v>
      </c>
      <c r="C8" s="7">
        <v>450</v>
      </c>
      <c r="D8" s="8" t="s">
        <v>64</v>
      </c>
    </row>
    <row r="9" spans="2:4" x14ac:dyDescent="0.3">
      <c r="B9" s="4" t="s">
        <v>7</v>
      </c>
      <c r="C9" s="7">
        <f>8.9+3682.9</f>
        <v>3691.8</v>
      </c>
      <c r="D9" s="8" t="s">
        <v>64</v>
      </c>
    </row>
    <row r="10" spans="2:4" x14ac:dyDescent="0.3">
      <c r="B10" s="9" t="s">
        <v>8</v>
      </c>
      <c r="C10" s="10">
        <f>C7-C8+C9</f>
        <v>14933.675999999999</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KI26"/>
  <sheetViews>
    <sheetView tabSelected="1" workbookViewId="0">
      <pane xSplit="2" ySplit="2" topLeftCell="AL3" activePane="bottomRight" state="frozen"/>
      <selection pane="topRight" activeCell="C1" sqref="C1"/>
      <selection pane="bottomLeft" activeCell="A3" sqref="A3"/>
      <selection pane="bottomRight" activeCell="AS12" sqref="AS12:AV12"/>
    </sheetView>
  </sheetViews>
  <sheetFormatPr defaultColWidth="8.77734375" defaultRowHeight="13.8" x14ac:dyDescent="0.25"/>
  <cols>
    <col min="1" max="1" width="8.77734375" style="12"/>
    <col min="2" max="2" width="28.88671875" style="12" bestFit="1" customWidth="1"/>
    <col min="3" max="4" width="8.6640625" style="19" customWidth="1"/>
    <col min="5" max="6" width="9.88671875" style="19" bestFit="1" customWidth="1"/>
    <col min="7" max="7" width="9.88671875" style="12" bestFit="1" customWidth="1"/>
    <col min="8" max="8" width="11" style="12" bestFit="1" customWidth="1"/>
    <col min="9" max="11" width="9.88671875" style="12" bestFit="1" customWidth="1"/>
    <col min="12" max="12" width="10.77734375" style="12" bestFit="1" customWidth="1"/>
    <col min="13" max="14" width="9.6640625" style="12" bestFit="1" customWidth="1"/>
    <col min="15" max="15" width="9.6640625" style="13" bestFit="1" customWidth="1"/>
    <col min="16" max="16" width="10.77734375" style="13" bestFit="1" customWidth="1"/>
    <col min="17" max="19" width="9.6640625" style="13" bestFit="1" customWidth="1"/>
    <col min="20" max="20" width="10.77734375" style="13" bestFit="1" customWidth="1"/>
    <col min="21" max="23" width="9.6640625" style="13" bestFit="1" customWidth="1"/>
    <col min="24" max="24" width="10.77734375" style="13" bestFit="1" customWidth="1"/>
    <col min="25" max="25" width="9.6640625" style="13" bestFit="1" customWidth="1"/>
    <col min="26" max="27" width="9.88671875" style="7" bestFit="1" customWidth="1"/>
    <col min="28" max="28" width="11" style="7" bestFit="1" customWidth="1"/>
    <col min="29" max="30" width="9.88671875" style="7" bestFit="1" customWidth="1"/>
    <col min="31" max="43" width="8.77734375" style="7"/>
    <col min="44" max="44" width="9.33203125" style="7" bestFit="1" customWidth="1"/>
    <col min="45" max="50" width="8.77734375" style="7"/>
    <col min="51" max="51" width="12.88671875" style="7" bestFit="1" customWidth="1"/>
    <col min="52" max="16384" width="8.77734375" style="7"/>
  </cols>
  <sheetData>
    <row r="1" spans="1:295" s="30" customFormat="1" x14ac:dyDescent="0.25">
      <c r="A1" s="18"/>
      <c r="B1" s="18"/>
      <c r="C1" s="18"/>
      <c r="D1" s="18"/>
      <c r="E1" s="32">
        <v>43190</v>
      </c>
      <c r="F1" s="32">
        <v>43281</v>
      </c>
      <c r="G1" s="32">
        <v>43373</v>
      </c>
      <c r="H1" s="32">
        <v>43465</v>
      </c>
      <c r="I1" s="32">
        <v>43555</v>
      </c>
      <c r="J1" s="32">
        <v>43646</v>
      </c>
      <c r="K1" s="32">
        <v>43738</v>
      </c>
      <c r="L1" s="32">
        <v>43830</v>
      </c>
      <c r="M1" s="32">
        <v>43921</v>
      </c>
      <c r="N1" s="32">
        <v>44012</v>
      </c>
      <c r="O1" s="31">
        <v>44104</v>
      </c>
      <c r="P1" s="31">
        <v>44196</v>
      </c>
      <c r="Q1" s="31">
        <v>44286</v>
      </c>
      <c r="R1" s="31">
        <v>44377</v>
      </c>
      <c r="S1" s="31">
        <v>44469</v>
      </c>
      <c r="T1" s="31">
        <v>44561</v>
      </c>
      <c r="U1" s="31">
        <v>44651</v>
      </c>
      <c r="V1" s="31">
        <v>44742</v>
      </c>
      <c r="W1" s="31">
        <v>44834</v>
      </c>
      <c r="X1" s="31">
        <v>44926</v>
      </c>
      <c r="Y1" s="31">
        <v>45016</v>
      </c>
      <c r="Z1" s="32">
        <v>45107</v>
      </c>
      <c r="AA1" s="32">
        <v>45199</v>
      </c>
      <c r="AB1" s="32">
        <v>45291</v>
      </c>
      <c r="AC1" s="31">
        <v>45382</v>
      </c>
      <c r="AD1" s="31">
        <v>45473</v>
      </c>
    </row>
    <row r="2" spans="1:295" s="13" customFormat="1" x14ac:dyDescent="0.25">
      <c r="A2" s="12"/>
      <c r="B2" s="12"/>
      <c r="C2" s="12" t="s">
        <v>51</v>
      </c>
      <c r="D2" s="12" t="s">
        <v>52</v>
      </c>
      <c r="E2" s="12" t="s">
        <v>53</v>
      </c>
      <c r="F2" s="12" t="s">
        <v>54</v>
      </c>
      <c r="G2" s="13" t="s">
        <v>55</v>
      </c>
      <c r="H2" s="13" t="s">
        <v>56</v>
      </c>
      <c r="I2" s="13" t="s">
        <v>57</v>
      </c>
      <c r="J2" s="13" t="s">
        <v>58</v>
      </c>
      <c r="K2" s="13" t="s">
        <v>28</v>
      </c>
      <c r="L2" s="13" t="s">
        <v>20</v>
      </c>
      <c r="M2" s="13" t="s">
        <v>21</v>
      </c>
      <c r="N2" s="13" t="s">
        <v>22</v>
      </c>
      <c r="O2" s="13" t="s">
        <v>23</v>
      </c>
      <c r="P2" s="13" t="s">
        <v>24</v>
      </c>
      <c r="Q2" s="13" t="s">
        <v>25</v>
      </c>
      <c r="R2" s="13" t="s">
        <v>26</v>
      </c>
      <c r="S2" s="13" t="s">
        <v>27</v>
      </c>
      <c r="T2" s="13" t="s">
        <v>4</v>
      </c>
      <c r="U2" s="13" t="s">
        <v>9</v>
      </c>
      <c r="V2" s="13" t="s">
        <v>29</v>
      </c>
      <c r="W2" s="13" t="s">
        <v>59</v>
      </c>
      <c r="X2" s="13" t="s">
        <v>60</v>
      </c>
      <c r="Y2" s="13" t="s">
        <v>61</v>
      </c>
      <c r="Z2" s="13" t="s">
        <v>62</v>
      </c>
      <c r="AA2" s="13" t="s">
        <v>65</v>
      </c>
      <c r="AB2" s="13" t="s">
        <v>64</v>
      </c>
      <c r="AC2" s="13" t="s">
        <v>66</v>
      </c>
      <c r="AD2" s="13" t="s">
        <v>67</v>
      </c>
      <c r="AK2" s="7"/>
      <c r="AL2" s="17">
        <v>2018</v>
      </c>
      <c r="AM2" s="17">
        <v>2019</v>
      </c>
      <c r="AN2" s="17">
        <v>2020</v>
      </c>
      <c r="AO2" s="17">
        <v>2021</v>
      </c>
      <c r="AP2" s="17">
        <v>2022</v>
      </c>
      <c r="AQ2" s="17">
        <v>2023</v>
      </c>
      <c r="AR2" s="17">
        <v>2024</v>
      </c>
      <c r="AS2" s="17">
        <v>2025</v>
      </c>
      <c r="AT2" s="17">
        <v>2026</v>
      </c>
      <c r="AU2" s="17">
        <v>2027</v>
      </c>
      <c r="AV2" s="17">
        <v>2028</v>
      </c>
    </row>
    <row r="3" spans="1:295" s="15" customFormat="1" x14ac:dyDescent="0.25">
      <c r="A3" s="14"/>
      <c r="B3" s="14" t="s">
        <v>10</v>
      </c>
      <c r="C3" s="26">
        <v>2238.3000000000002</v>
      </c>
      <c r="D3" s="26">
        <v>2637.6</v>
      </c>
      <c r="E3" s="26">
        <v>2222.6999999999998</v>
      </c>
      <c r="F3" s="26">
        <v>2299.4</v>
      </c>
      <c r="G3" s="26">
        <v>2031.3</v>
      </c>
      <c r="H3" s="26">
        <v>2511.1999999999998</v>
      </c>
      <c r="I3" s="26">
        <v>1990.6</v>
      </c>
      <c r="J3" s="26">
        <v>2115.4</v>
      </c>
      <c r="K3" s="26">
        <v>1942.8</v>
      </c>
      <c r="L3" s="26">
        <v>2345</v>
      </c>
      <c r="M3" s="15">
        <v>1062.5</v>
      </c>
      <c r="N3" s="26">
        <v>560.4</v>
      </c>
      <c r="O3" s="15">
        <v>1124.0999999999999</v>
      </c>
      <c r="P3" s="15">
        <v>1415.6</v>
      </c>
      <c r="Q3" s="15">
        <v>1027.8</v>
      </c>
      <c r="R3" s="15">
        <v>1062.4000000000001</v>
      </c>
      <c r="S3" s="15">
        <v>1371.7</v>
      </c>
      <c r="T3" s="15">
        <v>1578.2</v>
      </c>
      <c r="U3" s="15">
        <v>1186.2</v>
      </c>
      <c r="V3" s="15">
        <v>1168.3</v>
      </c>
      <c r="W3" s="15">
        <v>1390</v>
      </c>
      <c r="X3" s="15">
        <v>1523.6</v>
      </c>
      <c r="Y3" s="16">
        <v>1288.9000000000001</v>
      </c>
      <c r="Z3" s="15">
        <v>1351.6</v>
      </c>
      <c r="AA3" s="15">
        <v>1641.4</v>
      </c>
      <c r="AB3" s="15">
        <v>1727.6</v>
      </c>
      <c r="AC3" s="15">
        <f>Y3*1.06</f>
        <v>1366.2340000000002</v>
      </c>
      <c r="AD3" s="15">
        <f>Z3*1.04</f>
        <v>1405.664</v>
      </c>
      <c r="AL3" s="15">
        <f>SUM(C3:F3)</f>
        <v>9398</v>
      </c>
      <c r="AM3" s="15">
        <f>SUM(G3:J3)</f>
        <v>8648.5</v>
      </c>
      <c r="AN3" s="15">
        <f>SUM(K3:N3)</f>
        <v>5910.7</v>
      </c>
      <c r="AO3" s="15">
        <f>SUM(O3:R3)</f>
        <v>4629.8999999999996</v>
      </c>
      <c r="AP3" s="15">
        <f>SUM(S3:V3)</f>
        <v>5304.4000000000005</v>
      </c>
      <c r="AQ3" s="15">
        <f>SUM(W3:Z3)</f>
        <v>5554.1</v>
      </c>
      <c r="AR3" s="15">
        <f>SUM(AA3:AD3)</f>
        <v>6140.8980000000001</v>
      </c>
      <c r="AS3" s="15">
        <f>AR3*1.1</f>
        <v>6754.9878000000008</v>
      </c>
      <c r="AT3" s="15">
        <f>AS3*1.09</f>
        <v>7362.9367020000018</v>
      </c>
      <c r="AU3" s="15">
        <f>AT3*1.08</f>
        <v>7951.9716381600028</v>
      </c>
      <c r="AV3" s="15">
        <f>AU3*1.07</f>
        <v>8508.6096528312028</v>
      </c>
    </row>
    <row r="4" spans="1:295" x14ac:dyDescent="0.25">
      <c r="A4" s="19"/>
      <c r="B4" s="19" t="s">
        <v>17</v>
      </c>
      <c r="C4" s="19">
        <v>874.2</v>
      </c>
      <c r="D4" s="19">
        <v>1024.9000000000001</v>
      </c>
      <c r="E4" s="19">
        <v>812.3</v>
      </c>
      <c r="F4" s="19">
        <v>896.4</v>
      </c>
      <c r="G4" s="19">
        <v>809.1</v>
      </c>
      <c r="H4" s="19">
        <v>956.7</v>
      </c>
      <c r="I4" s="19">
        <v>741.2</v>
      </c>
      <c r="J4" s="19">
        <v>799.5</v>
      </c>
      <c r="K4" s="19">
        <v>738.4</v>
      </c>
      <c r="L4" s="19">
        <v>859.3</v>
      </c>
      <c r="M4" s="7">
        <v>460.8</v>
      </c>
      <c r="N4" s="19">
        <v>336.2</v>
      </c>
      <c r="O4" s="7">
        <v>464.9</v>
      </c>
      <c r="P4" s="7">
        <v>584</v>
      </c>
      <c r="Q4" s="7">
        <v>391.7</v>
      </c>
      <c r="R4" s="7">
        <v>421.1</v>
      </c>
      <c r="S4" s="7">
        <v>504.8</v>
      </c>
      <c r="T4" s="7">
        <v>561.1</v>
      </c>
      <c r="U4" s="7">
        <v>423.1</v>
      </c>
      <c r="V4" s="7">
        <v>446.2</v>
      </c>
      <c r="W4" s="7">
        <v>501.3</v>
      </c>
      <c r="X4" s="7">
        <v>525.29999999999995</v>
      </c>
      <c r="Y4" s="7">
        <v>478.1</v>
      </c>
      <c r="Z4" s="7">
        <v>502.1</v>
      </c>
      <c r="AA4" s="7">
        <v>599.5</v>
      </c>
      <c r="AB4" s="7">
        <v>603.5</v>
      </c>
      <c r="AC4" s="7">
        <f>Y4*1.03</f>
        <v>492.44300000000004</v>
      </c>
      <c r="AD4" s="7">
        <f>Z4*1.02</f>
        <v>512.14200000000005</v>
      </c>
      <c r="AL4" s="7">
        <f>SUM(C4:F4)</f>
        <v>3607.8</v>
      </c>
      <c r="AM4" s="7">
        <f>SUM(G4:J4)</f>
        <v>3306.5</v>
      </c>
      <c r="AN4" s="7">
        <f>SUM(K4:N4)</f>
        <v>2394.6999999999998</v>
      </c>
      <c r="AO4" s="7">
        <f>SUM(O4:R4)</f>
        <v>1861.7000000000003</v>
      </c>
      <c r="AP4" s="7">
        <f>SUM(S4:V4)</f>
        <v>1935.2</v>
      </c>
      <c r="AQ4" s="7">
        <f>SUM(W4:Z4)</f>
        <v>2006.7999999999997</v>
      </c>
      <c r="AR4" s="7">
        <f>SUM(AA4:AD4)</f>
        <v>2207.585</v>
      </c>
      <c r="AS4" s="7">
        <f>AR4*1.09</f>
        <v>2406.2676500000002</v>
      </c>
      <c r="AT4" s="7">
        <f>AS4*1.08</f>
        <v>2598.7690620000003</v>
      </c>
      <c r="AU4" s="7">
        <f>AT4*1.07</f>
        <v>2780.6828963400003</v>
      </c>
      <c r="AV4" s="7">
        <f>AU4*1.06</f>
        <v>2947.5238701204003</v>
      </c>
    </row>
    <row r="5" spans="1:295" s="15" customFormat="1" x14ac:dyDescent="0.25">
      <c r="A5" s="14"/>
      <c r="B5" s="14" t="s">
        <v>18</v>
      </c>
      <c r="C5" s="15">
        <f t="shared" ref="C5:X5" si="0">C3-C4</f>
        <v>1364.1000000000001</v>
      </c>
      <c r="D5" s="15">
        <f t="shared" si="0"/>
        <v>1612.6999999999998</v>
      </c>
      <c r="E5" s="15">
        <f t="shared" si="0"/>
        <v>1410.3999999999999</v>
      </c>
      <c r="F5" s="15">
        <f t="shared" si="0"/>
        <v>1403</v>
      </c>
      <c r="G5" s="15">
        <f t="shared" si="0"/>
        <v>1222.1999999999998</v>
      </c>
      <c r="H5" s="15">
        <f t="shared" si="0"/>
        <v>1554.4999999999998</v>
      </c>
      <c r="I5" s="15">
        <f t="shared" si="0"/>
        <v>1249.3999999999999</v>
      </c>
      <c r="J5" s="15">
        <f t="shared" si="0"/>
        <v>1315.9</v>
      </c>
      <c r="K5" s="15">
        <f t="shared" si="0"/>
        <v>1204.4000000000001</v>
      </c>
      <c r="L5" s="15">
        <f t="shared" si="0"/>
        <v>1485.7</v>
      </c>
      <c r="M5" s="15">
        <f t="shared" ref="M5:Q5" si="1">M3-M4</f>
        <v>601.70000000000005</v>
      </c>
      <c r="N5" s="15">
        <f t="shared" si="1"/>
        <v>224.2</v>
      </c>
      <c r="O5" s="15">
        <f t="shared" si="1"/>
        <v>659.19999999999993</v>
      </c>
      <c r="P5" s="15">
        <f t="shared" si="1"/>
        <v>831.59999999999991</v>
      </c>
      <c r="Q5" s="15">
        <f t="shared" si="0"/>
        <v>636.09999999999991</v>
      </c>
      <c r="R5" s="15">
        <f t="shared" si="0"/>
        <v>641.30000000000007</v>
      </c>
      <c r="S5" s="15">
        <f t="shared" si="0"/>
        <v>866.90000000000009</v>
      </c>
      <c r="T5" s="15">
        <f t="shared" si="0"/>
        <v>1017.1</v>
      </c>
      <c r="U5" s="15">
        <f t="shared" si="0"/>
        <v>763.1</v>
      </c>
      <c r="V5" s="15">
        <f t="shared" si="0"/>
        <v>722.09999999999991</v>
      </c>
      <c r="W5" s="15">
        <f t="shared" si="0"/>
        <v>888.7</v>
      </c>
      <c r="X5" s="15">
        <f t="shared" si="0"/>
        <v>998.3</v>
      </c>
      <c r="Y5" s="15">
        <f>Y3-Y4</f>
        <v>810.80000000000007</v>
      </c>
      <c r="Z5" s="15">
        <f t="shared" ref="Z5:AD5" si="2">Z3-Z4</f>
        <v>849.49999999999989</v>
      </c>
      <c r="AA5" s="15">
        <f t="shared" si="2"/>
        <v>1041.9000000000001</v>
      </c>
      <c r="AB5" s="15">
        <f t="shared" si="2"/>
        <v>1124.0999999999999</v>
      </c>
      <c r="AC5" s="15">
        <f t="shared" si="2"/>
        <v>873.79100000000017</v>
      </c>
      <c r="AD5" s="15">
        <f t="shared" si="2"/>
        <v>893.52199999999993</v>
      </c>
      <c r="AL5" s="15">
        <f>AL3-AL4</f>
        <v>5790.2</v>
      </c>
      <c r="AM5" s="15">
        <f t="shared" ref="AL5:AV5" si="3">AM3-AM4</f>
        <v>5342</v>
      </c>
      <c r="AN5" s="15">
        <f t="shared" si="3"/>
        <v>3516</v>
      </c>
      <c r="AO5" s="15">
        <f t="shared" si="3"/>
        <v>2768.1999999999994</v>
      </c>
      <c r="AP5" s="15">
        <f t="shared" si="3"/>
        <v>3369.2000000000007</v>
      </c>
      <c r="AQ5" s="15">
        <f t="shared" si="3"/>
        <v>3547.3000000000006</v>
      </c>
      <c r="AR5" s="15">
        <f t="shared" si="3"/>
        <v>3933.3130000000001</v>
      </c>
      <c r="AS5" s="15">
        <f t="shared" si="3"/>
        <v>4348.720150000001</v>
      </c>
      <c r="AT5" s="15">
        <f t="shared" si="3"/>
        <v>4764.1676400000015</v>
      </c>
      <c r="AU5" s="15">
        <f t="shared" si="3"/>
        <v>5171.2887418200025</v>
      </c>
      <c r="AV5" s="15">
        <f t="shared" si="3"/>
        <v>5561.085782710803</v>
      </c>
    </row>
    <row r="6" spans="1:295" x14ac:dyDescent="0.25">
      <c r="B6" s="12" t="s">
        <v>76</v>
      </c>
      <c r="C6" s="19">
        <v>1191.0999999999999</v>
      </c>
      <c r="D6" s="19">
        <v>1319.2</v>
      </c>
      <c r="E6" s="19">
        <v>1251.5999999999999</v>
      </c>
      <c r="F6" s="19">
        <v>1256.2</v>
      </c>
      <c r="G6" s="19">
        <v>1122.3</v>
      </c>
      <c r="H6" s="19">
        <v>1284</v>
      </c>
      <c r="I6" s="19">
        <v>1070.5</v>
      </c>
      <c r="J6" s="19">
        <v>1087.0999999999999</v>
      </c>
      <c r="K6" s="19">
        <v>1072.5999999999999</v>
      </c>
      <c r="L6" s="19">
        <v>1202.5999999999999</v>
      </c>
      <c r="M6" s="7">
        <v>757.9</v>
      </c>
      <c r="N6" s="7">
        <v>638.9</v>
      </c>
      <c r="O6" s="7">
        <v>583.4</v>
      </c>
      <c r="P6" s="7">
        <v>641.5</v>
      </c>
      <c r="Q6" s="7">
        <v>545.6</v>
      </c>
      <c r="R6" s="7">
        <v>592.70000000000005</v>
      </c>
      <c r="S6" s="7">
        <v>776.3</v>
      </c>
      <c r="T6" s="7">
        <v>718.9</v>
      </c>
      <c r="U6" s="7">
        <v>659.3</v>
      </c>
      <c r="V6" s="7">
        <v>726.8</v>
      </c>
      <c r="W6" s="7">
        <v>670.7</v>
      </c>
      <c r="X6" s="7">
        <v>754.3</v>
      </c>
      <c r="Y6" s="7">
        <v>720.4</v>
      </c>
      <c r="Z6" s="7">
        <v>672.9</v>
      </c>
      <c r="AA6" s="7">
        <v>767.4</v>
      </c>
      <c r="AB6" s="7">
        <v>833.4</v>
      </c>
      <c r="AC6" s="7">
        <f>Y6*1.1</f>
        <v>792.44</v>
      </c>
      <c r="AD6" s="7">
        <f t="shared" ref="AD6" si="4">Z6*1.1</f>
        <v>740.19</v>
      </c>
      <c r="AL6" s="7">
        <f>SUM(C6:F6)</f>
        <v>5018.1000000000004</v>
      </c>
      <c r="AM6" s="7">
        <f t="shared" ref="AM6" si="5">SUM(G6:J6)</f>
        <v>4563.8999999999996</v>
      </c>
      <c r="AN6" s="7">
        <f>SUM(K6:N6)</f>
        <v>3672</v>
      </c>
      <c r="AO6" s="7">
        <f>SUM(O6:R6)</f>
        <v>2363.1999999999998</v>
      </c>
      <c r="AP6" s="7">
        <f>SUM(S6:V6)</f>
        <v>2881.3</v>
      </c>
      <c r="AQ6" s="7">
        <f>SUM(W6:Z6)</f>
        <v>2818.3</v>
      </c>
      <c r="AR6" s="7">
        <f>SUM(AA6:AD6)</f>
        <v>3133.43</v>
      </c>
      <c r="AS6" s="7">
        <f t="shared" ref="AR6:AV6" si="6">AR6*1.05</f>
        <v>3290.1014999999998</v>
      </c>
      <c r="AT6" s="7">
        <f t="shared" si="6"/>
        <v>3454.6065749999998</v>
      </c>
      <c r="AU6" s="7">
        <f t="shared" si="6"/>
        <v>3627.3369037500001</v>
      </c>
      <c r="AV6" s="7">
        <f t="shared" si="6"/>
        <v>3808.7037489375002</v>
      </c>
    </row>
    <row r="7" spans="1:295" s="15" customFormat="1" x14ac:dyDescent="0.25">
      <c r="A7" s="14"/>
      <c r="B7" s="14" t="s">
        <v>11</v>
      </c>
      <c r="C7" s="15">
        <f t="shared" ref="C7:T7" si="7">C6</f>
        <v>1191.0999999999999</v>
      </c>
      <c r="D7" s="15">
        <f t="shared" si="7"/>
        <v>1319.2</v>
      </c>
      <c r="E7" s="15">
        <f t="shared" si="7"/>
        <v>1251.5999999999999</v>
      </c>
      <c r="F7" s="15">
        <f t="shared" si="7"/>
        <v>1256.2</v>
      </c>
      <c r="G7" s="15">
        <f t="shared" si="7"/>
        <v>1122.3</v>
      </c>
      <c r="H7" s="15">
        <f t="shared" si="7"/>
        <v>1284</v>
      </c>
      <c r="I7" s="15">
        <f t="shared" si="7"/>
        <v>1070.5</v>
      </c>
      <c r="J7" s="15">
        <f t="shared" si="7"/>
        <v>1087.0999999999999</v>
      </c>
      <c r="K7" s="15">
        <f t="shared" si="7"/>
        <v>1072.5999999999999</v>
      </c>
      <c r="L7" s="15">
        <f t="shared" si="7"/>
        <v>1202.5999999999999</v>
      </c>
      <c r="M7" s="15">
        <f t="shared" ref="M7:Q7" si="8">M6</f>
        <v>757.9</v>
      </c>
      <c r="N7" s="15">
        <f t="shared" si="8"/>
        <v>638.9</v>
      </c>
      <c r="O7" s="15">
        <f t="shared" si="8"/>
        <v>583.4</v>
      </c>
      <c r="P7" s="15">
        <f t="shared" si="8"/>
        <v>641.5</v>
      </c>
      <c r="Q7" s="15">
        <f t="shared" si="7"/>
        <v>545.6</v>
      </c>
      <c r="R7" s="15">
        <f t="shared" si="7"/>
        <v>592.70000000000005</v>
      </c>
      <c r="S7" s="15">
        <f t="shared" si="7"/>
        <v>776.3</v>
      </c>
      <c r="T7" s="15">
        <f t="shared" si="7"/>
        <v>718.9</v>
      </c>
      <c r="U7" s="15">
        <f t="shared" ref="U7:X7" si="9">U6</f>
        <v>659.3</v>
      </c>
      <c r="V7" s="15">
        <f t="shared" si="9"/>
        <v>726.8</v>
      </c>
      <c r="W7" s="15">
        <f t="shared" si="9"/>
        <v>670.7</v>
      </c>
      <c r="X7" s="15">
        <f t="shared" si="9"/>
        <v>754.3</v>
      </c>
      <c r="Y7" s="15">
        <f>Y6</f>
        <v>720.4</v>
      </c>
      <c r="Z7" s="15">
        <f t="shared" ref="Z7:AD7" si="10">Z6</f>
        <v>672.9</v>
      </c>
      <c r="AA7" s="15">
        <f t="shared" si="10"/>
        <v>767.4</v>
      </c>
      <c r="AB7" s="15">
        <f t="shared" si="10"/>
        <v>833.4</v>
      </c>
      <c r="AC7" s="15">
        <f t="shared" si="10"/>
        <v>792.44</v>
      </c>
      <c r="AD7" s="15">
        <f t="shared" si="10"/>
        <v>740.19</v>
      </c>
      <c r="AL7" s="15">
        <f>AL6</f>
        <v>5018.1000000000004</v>
      </c>
      <c r="AM7" s="15">
        <f t="shared" ref="AL7:AV7" si="11">AM6</f>
        <v>4563.8999999999996</v>
      </c>
      <c r="AN7" s="15">
        <f t="shared" si="11"/>
        <v>3672</v>
      </c>
      <c r="AO7" s="15">
        <f t="shared" si="11"/>
        <v>2363.1999999999998</v>
      </c>
      <c r="AP7" s="15">
        <f t="shared" si="11"/>
        <v>2881.3</v>
      </c>
      <c r="AQ7" s="15">
        <f t="shared" si="11"/>
        <v>2818.3</v>
      </c>
      <c r="AR7" s="15">
        <f t="shared" si="11"/>
        <v>3133.43</v>
      </c>
      <c r="AS7" s="15">
        <f t="shared" si="11"/>
        <v>3290.1014999999998</v>
      </c>
      <c r="AT7" s="15">
        <f t="shared" si="11"/>
        <v>3454.6065749999998</v>
      </c>
      <c r="AU7" s="15">
        <f t="shared" si="11"/>
        <v>3627.3369037500001</v>
      </c>
      <c r="AV7" s="15">
        <f t="shared" si="11"/>
        <v>3808.7037489375002</v>
      </c>
    </row>
    <row r="8" spans="1:295" s="15" customFormat="1" x14ac:dyDescent="0.25">
      <c r="A8" s="14"/>
      <c r="B8" s="14" t="s">
        <v>19</v>
      </c>
      <c r="C8" s="15">
        <f t="shared" ref="C8:T8" si="12">C5-C7</f>
        <v>173.00000000000023</v>
      </c>
      <c r="D8" s="15">
        <f t="shared" si="12"/>
        <v>293.49999999999977</v>
      </c>
      <c r="E8" s="15">
        <f t="shared" si="12"/>
        <v>158.79999999999995</v>
      </c>
      <c r="F8" s="15">
        <f t="shared" si="12"/>
        <v>146.79999999999995</v>
      </c>
      <c r="G8" s="15">
        <f t="shared" si="12"/>
        <v>99.899999999999864</v>
      </c>
      <c r="H8" s="15">
        <f t="shared" si="12"/>
        <v>270.49999999999977</v>
      </c>
      <c r="I8" s="15">
        <f t="shared" si="12"/>
        <v>178.89999999999986</v>
      </c>
      <c r="J8" s="15">
        <f t="shared" si="12"/>
        <v>228.80000000000018</v>
      </c>
      <c r="K8" s="15">
        <f t="shared" si="12"/>
        <v>131.80000000000018</v>
      </c>
      <c r="L8" s="15">
        <f t="shared" si="12"/>
        <v>283.10000000000014</v>
      </c>
      <c r="M8" s="15">
        <f t="shared" ref="M8:Q8" si="13">M5-M7</f>
        <v>-156.19999999999993</v>
      </c>
      <c r="N8" s="15">
        <f t="shared" si="13"/>
        <v>-414.7</v>
      </c>
      <c r="O8" s="15">
        <f t="shared" si="13"/>
        <v>75.799999999999955</v>
      </c>
      <c r="P8" s="15">
        <f t="shared" si="13"/>
        <v>190.09999999999991</v>
      </c>
      <c r="Q8" s="15">
        <f t="shared" si="12"/>
        <v>90.499999999999886</v>
      </c>
      <c r="R8" s="15">
        <f t="shared" si="12"/>
        <v>48.600000000000023</v>
      </c>
      <c r="S8" s="15">
        <f t="shared" si="12"/>
        <v>90.600000000000136</v>
      </c>
      <c r="T8" s="15">
        <f t="shared" si="12"/>
        <v>298.20000000000005</v>
      </c>
      <c r="U8" s="15">
        <f t="shared" ref="U8:X8" si="14">U5-U7</f>
        <v>103.80000000000007</v>
      </c>
      <c r="V8" s="15">
        <f t="shared" si="14"/>
        <v>-4.7000000000000455</v>
      </c>
      <c r="W8" s="15">
        <f t="shared" si="14"/>
        <v>218</v>
      </c>
      <c r="X8" s="15">
        <f t="shared" si="14"/>
        <v>244</v>
      </c>
      <c r="Y8" s="15">
        <f>Y5-Y7</f>
        <v>90.400000000000091</v>
      </c>
      <c r="Z8" s="15">
        <f t="shared" ref="Z8:AD8" si="15">Z5-Z7</f>
        <v>176.59999999999991</v>
      </c>
      <c r="AA8" s="15">
        <f t="shared" si="15"/>
        <v>274.50000000000011</v>
      </c>
      <c r="AB8" s="15">
        <f t="shared" si="15"/>
        <v>290.69999999999993</v>
      </c>
      <c r="AC8" s="15">
        <f t="shared" si="15"/>
        <v>81.351000000000113</v>
      </c>
      <c r="AD8" s="15">
        <f t="shared" si="15"/>
        <v>153.33199999999988</v>
      </c>
      <c r="AL8" s="15">
        <f>AL5-AL7</f>
        <v>772.09999999999945</v>
      </c>
      <c r="AM8" s="15">
        <f t="shared" ref="AL8:AV8" si="16">AM5-AM7</f>
        <v>778.10000000000036</v>
      </c>
      <c r="AN8" s="15">
        <f t="shared" si="16"/>
        <v>-156</v>
      </c>
      <c r="AO8" s="15">
        <f t="shared" si="16"/>
        <v>404.99999999999955</v>
      </c>
      <c r="AP8" s="15">
        <f t="shared" si="16"/>
        <v>487.90000000000055</v>
      </c>
      <c r="AQ8" s="15">
        <f t="shared" si="16"/>
        <v>729.00000000000045</v>
      </c>
      <c r="AR8" s="15">
        <f t="shared" si="16"/>
        <v>799.88300000000027</v>
      </c>
      <c r="AS8" s="15">
        <f t="shared" si="16"/>
        <v>1058.6186500000013</v>
      </c>
      <c r="AT8" s="15">
        <f t="shared" si="16"/>
        <v>1309.5610650000017</v>
      </c>
      <c r="AU8" s="15">
        <f t="shared" si="16"/>
        <v>1543.9518380700024</v>
      </c>
      <c r="AV8" s="15">
        <f t="shared" si="16"/>
        <v>1752.3820337733027</v>
      </c>
    </row>
    <row r="9" spans="1:295" x14ac:dyDescent="0.25">
      <c r="B9" s="12" t="s">
        <v>63</v>
      </c>
      <c r="C9" s="19">
        <v>66.400000000000006</v>
      </c>
      <c r="D9" s="19">
        <v>60.3</v>
      </c>
      <c r="E9" s="19">
        <v>72.599999999999994</v>
      </c>
      <c r="F9" s="19">
        <v>65.7</v>
      </c>
      <c r="G9" s="19">
        <v>64.099999999999994</v>
      </c>
      <c r="H9" s="19">
        <v>68.3</v>
      </c>
      <c r="I9" s="19">
        <v>72</v>
      </c>
      <c r="J9" s="19">
        <v>71.3</v>
      </c>
      <c r="K9" s="19">
        <v>77.400000000000006</v>
      </c>
      <c r="L9" s="19">
        <v>71.099999999999994</v>
      </c>
      <c r="M9" s="7">
        <v>63.8</v>
      </c>
      <c r="N9" s="7">
        <v>57.4</v>
      </c>
      <c r="O9" s="7">
        <v>62.1</v>
      </c>
      <c r="P9" s="7">
        <v>59.2</v>
      </c>
      <c r="Q9" s="7">
        <v>50.3</v>
      </c>
      <c r="R9" s="7">
        <v>63.5</v>
      </c>
      <c r="S9" s="7">
        <v>59.8</v>
      </c>
      <c r="T9" s="7">
        <v>60.9</v>
      </c>
      <c r="U9" s="7">
        <v>62.9</v>
      </c>
      <c r="V9" s="7">
        <v>40.4</v>
      </c>
      <c r="W9" s="7">
        <v>65.900000000000006</v>
      </c>
      <c r="X9" s="7">
        <v>61</v>
      </c>
      <c r="Y9" s="7">
        <v>58.8</v>
      </c>
      <c r="Z9" s="7">
        <v>72.2</v>
      </c>
      <c r="AA9" s="7">
        <v>69.8</v>
      </c>
      <c r="AB9" s="7">
        <v>60.1</v>
      </c>
      <c r="AC9" s="7">
        <v>60</v>
      </c>
      <c r="AD9" s="7">
        <v>60</v>
      </c>
      <c r="AL9" s="7">
        <f>SUM(C9:F9)</f>
        <v>265</v>
      </c>
      <c r="AM9" s="7">
        <f t="shared" ref="AM9:AM10" si="17">SUM(G9:J9)</f>
        <v>275.7</v>
      </c>
      <c r="AN9" s="7">
        <f>SUM(K9:N9)</f>
        <v>269.7</v>
      </c>
      <c r="AO9" s="7">
        <f>SUM(O9:R9)</f>
        <v>235.10000000000002</v>
      </c>
      <c r="AP9" s="7">
        <f>SUM(S9:V9)</f>
        <v>224</v>
      </c>
      <c r="AQ9" s="7">
        <f>SUM(W9:Z9)</f>
        <v>257.89999999999998</v>
      </c>
      <c r="AR9" s="7">
        <f>SUM(AA9:AD9)</f>
        <v>249.9</v>
      </c>
      <c r="AS9" s="7">
        <f t="shared" ref="AR9:AV9" si="18">AR9*1.05</f>
        <v>262.39500000000004</v>
      </c>
      <c r="AT9" s="7">
        <f t="shared" si="18"/>
        <v>275.51475000000005</v>
      </c>
      <c r="AU9" s="7">
        <f t="shared" si="18"/>
        <v>289.29048750000004</v>
      </c>
      <c r="AV9" s="7">
        <f t="shared" si="18"/>
        <v>303.75501187500004</v>
      </c>
    </row>
    <row r="10" spans="1:295" x14ac:dyDescent="0.25">
      <c r="B10" s="12" t="s">
        <v>77</v>
      </c>
      <c r="C10" s="19">
        <v>-4.5</v>
      </c>
      <c r="D10" s="19">
        <v>-4.2</v>
      </c>
      <c r="E10" s="19">
        <v>-3.8</v>
      </c>
      <c r="F10" s="19">
        <v>-17.600000000000001</v>
      </c>
      <c r="G10" s="19">
        <v>-2.7</v>
      </c>
      <c r="H10" s="19">
        <v>-4.8</v>
      </c>
      <c r="I10" s="19">
        <v>-17.5</v>
      </c>
      <c r="J10" s="19">
        <v>-5.9</v>
      </c>
      <c r="K10" s="19">
        <v>-2.2000000000000002</v>
      </c>
      <c r="L10" s="19">
        <v>-1.3</v>
      </c>
      <c r="M10" s="7">
        <v>-0.3</v>
      </c>
      <c r="N10" s="7">
        <v>15.6</v>
      </c>
      <c r="O10" s="7">
        <v>5.8</v>
      </c>
      <c r="P10" s="7">
        <v>-17.600000000000001</v>
      </c>
      <c r="Q10" s="7">
        <v>62.5</v>
      </c>
      <c r="R10" s="7">
        <v>-6.8</v>
      </c>
      <c r="S10" s="7">
        <v>386.1</v>
      </c>
      <c r="T10" s="7">
        <v>126.2</v>
      </c>
      <c r="U10" s="7">
        <v>60.6</v>
      </c>
      <c r="V10" s="7">
        <v>-163</v>
      </c>
      <c r="W10" s="7">
        <v>98.2</v>
      </c>
      <c r="X10" s="7">
        <v>141.9</v>
      </c>
      <c r="Y10" s="7">
        <v>156.9</v>
      </c>
      <c r="Z10" s="7">
        <v>22</v>
      </c>
      <c r="AA10" s="7">
        <v>-76.599999999999994</v>
      </c>
      <c r="AB10" s="7">
        <v>80.8</v>
      </c>
      <c r="AC10" s="7">
        <v>50</v>
      </c>
      <c r="AD10" s="7">
        <v>50</v>
      </c>
      <c r="AL10" s="7">
        <f>SUM(C10:F10)</f>
        <v>-30.1</v>
      </c>
      <c r="AM10" s="7">
        <f t="shared" si="17"/>
        <v>-30.9</v>
      </c>
      <c r="AN10" s="7">
        <f>SUM(K10:N10)</f>
        <v>11.8</v>
      </c>
      <c r="AO10" s="7">
        <f>SUM(O10:R10)</f>
        <v>43.900000000000006</v>
      </c>
      <c r="AP10" s="7">
        <f>SUM(S10:V10)</f>
        <v>409.90000000000009</v>
      </c>
      <c r="AQ10" s="7">
        <f>SUM(W10:Z10)</f>
        <v>419</v>
      </c>
      <c r="AR10" s="7">
        <f>SUM(AA10:AD10)</f>
        <v>104.2</v>
      </c>
      <c r="AS10" s="7">
        <f t="shared" ref="AR10:AV10" si="19">AR10*1.05</f>
        <v>109.41000000000001</v>
      </c>
      <c r="AT10" s="7">
        <f t="shared" si="19"/>
        <v>114.88050000000001</v>
      </c>
      <c r="AU10" s="7">
        <f t="shared" si="19"/>
        <v>120.62452500000002</v>
      </c>
      <c r="AV10" s="7">
        <f t="shared" si="19"/>
        <v>126.65575125000002</v>
      </c>
    </row>
    <row r="11" spans="1:295" x14ac:dyDescent="0.25">
      <c r="B11" s="12" t="s">
        <v>12</v>
      </c>
      <c r="C11" s="7">
        <f t="shared" ref="C11:AD11" si="20">C8-C9+C10</f>
        <v>102.10000000000022</v>
      </c>
      <c r="D11" s="7">
        <f t="shared" si="20"/>
        <v>228.99999999999977</v>
      </c>
      <c r="E11" s="7">
        <f t="shared" si="20"/>
        <v>82.399999999999963</v>
      </c>
      <c r="F11" s="7">
        <f t="shared" si="20"/>
        <v>63.49999999999995</v>
      </c>
      <c r="G11" s="7">
        <f t="shared" si="20"/>
        <v>33.099999999999866</v>
      </c>
      <c r="H11" s="7">
        <f>H8-H9+H10</f>
        <v>197.39999999999975</v>
      </c>
      <c r="I11" s="7">
        <f t="shared" si="20"/>
        <v>89.399999999999864</v>
      </c>
      <c r="J11" s="7">
        <f t="shared" si="20"/>
        <v>151.60000000000016</v>
      </c>
      <c r="K11" s="7">
        <f t="shared" si="20"/>
        <v>52.200000000000173</v>
      </c>
      <c r="L11" s="7">
        <f t="shared" si="20"/>
        <v>210.70000000000013</v>
      </c>
      <c r="M11" s="7">
        <f t="shared" ref="M11:Q11" si="21">M8-M9+M10</f>
        <v>-220.29999999999995</v>
      </c>
      <c r="N11" s="7">
        <f t="shared" si="21"/>
        <v>-456.49999999999994</v>
      </c>
      <c r="O11" s="7">
        <f t="shared" si="21"/>
        <v>19.499999999999954</v>
      </c>
      <c r="P11" s="7">
        <f t="shared" si="21"/>
        <v>113.29999999999993</v>
      </c>
      <c r="Q11" s="7">
        <f t="shared" si="20"/>
        <v>102.69999999999989</v>
      </c>
      <c r="R11" s="7">
        <f>R8-R9+R10</f>
        <v>-21.699999999999978</v>
      </c>
      <c r="S11" s="7">
        <f t="shared" si="20"/>
        <v>416.90000000000015</v>
      </c>
      <c r="T11" s="7">
        <f t="shared" si="20"/>
        <v>363.50000000000006</v>
      </c>
      <c r="U11" s="7">
        <f t="shared" si="20"/>
        <v>101.50000000000007</v>
      </c>
      <c r="V11" s="7">
        <f t="shared" si="20"/>
        <v>-208.10000000000005</v>
      </c>
      <c r="W11" s="7">
        <f t="shared" si="20"/>
        <v>250.3</v>
      </c>
      <c r="X11" s="7">
        <f t="shared" si="20"/>
        <v>324.89999999999998</v>
      </c>
      <c r="Y11" s="7">
        <f>Y8-Y9+Y10</f>
        <v>188.50000000000011</v>
      </c>
      <c r="Z11" s="7">
        <f t="shared" si="20"/>
        <v>126.39999999999991</v>
      </c>
      <c r="AA11" s="7">
        <f t="shared" si="20"/>
        <v>128.10000000000011</v>
      </c>
      <c r="AB11" s="7">
        <f t="shared" si="20"/>
        <v>311.39999999999992</v>
      </c>
      <c r="AC11" s="7">
        <f t="shared" si="20"/>
        <v>71.351000000000113</v>
      </c>
      <c r="AD11" s="7">
        <f t="shared" si="20"/>
        <v>143.33199999999988</v>
      </c>
      <c r="AL11" s="7">
        <f>AL8-AL9+AL10</f>
        <v>476.99999999999943</v>
      </c>
      <c r="AM11" s="7">
        <f t="shared" ref="AL11:AV11" si="22">AM8-AM9+AM10</f>
        <v>471.5000000000004</v>
      </c>
      <c r="AN11" s="7">
        <f t="shared" si="22"/>
        <v>-413.9</v>
      </c>
      <c r="AO11" s="7">
        <f t="shared" si="22"/>
        <v>213.79999999999953</v>
      </c>
      <c r="AP11" s="7">
        <f t="shared" si="22"/>
        <v>673.80000000000064</v>
      </c>
      <c r="AQ11" s="7">
        <f>AQ8-AQ9+AQ10</f>
        <v>890.10000000000048</v>
      </c>
      <c r="AR11" s="7">
        <f t="shared" si="22"/>
        <v>654.18300000000033</v>
      </c>
      <c r="AS11" s="7">
        <f t="shared" si="22"/>
        <v>905.63365000000124</v>
      </c>
      <c r="AT11" s="7">
        <f t="shared" si="22"/>
        <v>1148.9268150000016</v>
      </c>
      <c r="AU11" s="7">
        <f t="shared" si="22"/>
        <v>1375.2858755700024</v>
      </c>
      <c r="AV11" s="7">
        <f t="shared" si="22"/>
        <v>1575.2827731483028</v>
      </c>
    </row>
    <row r="12" spans="1:295" x14ac:dyDescent="0.25">
      <c r="B12" s="12" t="s">
        <v>13</v>
      </c>
      <c r="C12" s="19">
        <v>-25.3</v>
      </c>
      <c r="D12" s="19">
        <v>-7.9</v>
      </c>
      <c r="E12" s="19">
        <v>4.4000000000000004</v>
      </c>
      <c r="F12" s="19">
        <v>4.0999999999999996</v>
      </c>
      <c r="G12" s="19">
        <v>-77.400000000000006</v>
      </c>
      <c r="H12" s="19">
        <v>78.3</v>
      </c>
      <c r="I12" s="19">
        <v>0</v>
      </c>
      <c r="J12" s="19">
        <v>-9.4</v>
      </c>
      <c r="K12" s="7">
        <v>-9.9</v>
      </c>
      <c r="L12" s="7">
        <v>-20.6</v>
      </c>
      <c r="M12" s="7">
        <v>-59.8</v>
      </c>
      <c r="N12" s="7">
        <v>-260.7</v>
      </c>
      <c r="O12" s="7">
        <v>-244.9</v>
      </c>
      <c r="P12" s="7">
        <v>-40.799999999999997</v>
      </c>
      <c r="Q12" s="7">
        <v>-19.2</v>
      </c>
      <c r="R12" s="7">
        <v>132.9</v>
      </c>
      <c r="S12" s="7">
        <v>114.6</v>
      </c>
      <c r="T12" s="7">
        <v>49.4</v>
      </c>
      <c r="U12" s="7">
        <v>0.5</v>
      </c>
      <c r="V12" s="7">
        <v>0.3</v>
      </c>
      <c r="W12" s="7">
        <v>69.7</v>
      </c>
      <c r="X12" s="7">
        <v>38.799999999999997</v>
      </c>
      <c r="Y12" s="7">
        <v>29.8</v>
      </c>
      <c r="Z12" s="7">
        <v>43.3</v>
      </c>
      <c r="AA12" s="7">
        <v>40.9</v>
      </c>
      <c r="AB12" s="7">
        <v>71.400000000000006</v>
      </c>
      <c r="AC12" s="7">
        <f>0.21*AC11</f>
        <v>14.983710000000023</v>
      </c>
      <c r="AD12" s="7">
        <f t="shared" ref="AD12" si="23">0.21*AD11</f>
        <v>30.099719999999973</v>
      </c>
      <c r="AL12" s="7">
        <f>SUM(C12:F12)</f>
        <v>-24.700000000000003</v>
      </c>
      <c r="AM12" s="7">
        <f>SUM(G12:J12)</f>
        <v>-8.5000000000000089</v>
      </c>
      <c r="AN12" s="7">
        <f>SUM(K12:N12)</f>
        <v>-351</v>
      </c>
      <c r="AO12" s="7">
        <f>SUM(O12:R12)</f>
        <v>-171.99999999999997</v>
      </c>
      <c r="AP12" s="7">
        <f>SUM(S12:V12)</f>
        <v>164.8</v>
      </c>
      <c r="AQ12" s="7">
        <f>SUM(W12:Z12)</f>
        <v>181.60000000000002</v>
      </c>
      <c r="AR12" s="7">
        <f>SUM(AA12:AD12)</f>
        <v>157.38343</v>
      </c>
      <c r="AS12" s="7">
        <f>AS11*0.21</f>
        <v>190.18306650000025</v>
      </c>
      <c r="AT12" s="7">
        <f t="shared" ref="AT12:AV12" si="24">AT11*0.21</f>
        <v>241.27463115000035</v>
      </c>
      <c r="AU12" s="7">
        <f t="shared" si="24"/>
        <v>288.81003386970048</v>
      </c>
      <c r="AV12" s="7">
        <f t="shared" si="24"/>
        <v>330.80938236114355</v>
      </c>
    </row>
    <row r="13" spans="1:295" s="15" customFormat="1" x14ac:dyDescent="0.25">
      <c r="A13" s="14"/>
      <c r="B13" s="14" t="s">
        <v>14</v>
      </c>
      <c r="C13" s="15">
        <f t="shared" ref="C13:AD13" si="25">C11-C12</f>
        <v>127.40000000000022</v>
      </c>
      <c r="D13" s="15">
        <f t="shared" si="25"/>
        <v>236.89999999999978</v>
      </c>
      <c r="E13" s="15">
        <f t="shared" si="25"/>
        <v>77.999999999999957</v>
      </c>
      <c r="F13" s="15">
        <f t="shared" si="25"/>
        <v>59.399999999999949</v>
      </c>
      <c r="G13" s="15">
        <f t="shared" si="25"/>
        <v>110.49999999999987</v>
      </c>
      <c r="H13" s="15">
        <f t="shared" si="25"/>
        <v>119.09999999999975</v>
      </c>
      <c r="I13" s="15">
        <f t="shared" si="25"/>
        <v>89.399999999999864</v>
      </c>
      <c r="J13" s="15">
        <f t="shared" si="25"/>
        <v>161.00000000000017</v>
      </c>
      <c r="K13" s="15">
        <f t="shared" si="25"/>
        <v>62.100000000000172</v>
      </c>
      <c r="L13" s="15">
        <f t="shared" si="25"/>
        <v>231.30000000000013</v>
      </c>
      <c r="M13" s="15">
        <f t="shared" ref="M13:Q13" si="26">M11-M12</f>
        <v>-160.49999999999994</v>
      </c>
      <c r="N13" s="15">
        <f t="shared" si="26"/>
        <v>-195.79999999999995</v>
      </c>
      <c r="O13" s="15">
        <f t="shared" si="26"/>
        <v>264.39999999999998</v>
      </c>
      <c r="P13" s="15">
        <f t="shared" si="26"/>
        <v>154.09999999999991</v>
      </c>
      <c r="Q13" s="15">
        <f t="shared" si="25"/>
        <v>121.89999999999989</v>
      </c>
      <c r="R13" s="15">
        <f t="shared" si="25"/>
        <v>-154.6</v>
      </c>
      <c r="S13" s="15">
        <f t="shared" si="25"/>
        <v>302.30000000000018</v>
      </c>
      <c r="T13" s="15">
        <f t="shared" si="25"/>
        <v>314.10000000000008</v>
      </c>
      <c r="U13" s="15">
        <f t="shared" si="25"/>
        <v>101.00000000000007</v>
      </c>
      <c r="V13" s="15">
        <f t="shared" si="25"/>
        <v>-208.40000000000006</v>
      </c>
      <c r="W13" s="15">
        <f t="shared" si="25"/>
        <v>180.60000000000002</v>
      </c>
      <c r="X13" s="15">
        <f t="shared" si="25"/>
        <v>286.09999999999997</v>
      </c>
      <c r="Y13" s="15">
        <f t="shared" si="25"/>
        <v>158.7000000000001</v>
      </c>
      <c r="Z13" s="15">
        <f t="shared" si="25"/>
        <v>83.099999999999909</v>
      </c>
      <c r="AA13" s="15">
        <f t="shared" si="25"/>
        <v>87.200000000000102</v>
      </c>
      <c r="AB13" s="15">
        <f t="shared" si="25"/>
        <v>239.99999999999991</v>
      </c>
      <c r="AC13" s="15">
        <f t="shared" si="25"/>
        <v>56.367290000000089</v>
      </c>
      <c r="AD13" s="15">
        <f t="shared" si="25"/>
        <v>113.2322799999999</v>
      </c>
      <c r="AL13" s="15">
        <f>AL11-AL12</f>
        <v>501.69999999999942</v>
      </c>
      <c r="AM13" s="15">
        <f t="shared" ref="AL13:AV13" si="27">AM11-AM12</f>
        <v>480.0000000000004</v>
      </c>
      <c r="AN13" s="15">
        <f t="shared" si="27"/>
        <v>-62.899999999999977</v>
      </c>
      <c r="AO13" s="15">
        <f t="shared" si="27"/>
        <v>385.7999999999995</v>
      </c>
      <c r="AP13" s="15">
        <f t="shared" si="27"/>
        <v>509.00000000000063</v>
      </c>
      <c r="AQ13" s="15">
        <f>AQ11-AQ12</f>
        <v>708.50000000000045</v>
      </c>
      <c r="AR13" s="15">
        <f t="shared" si="27"/>
        <v>496.79957000000036</v>
      </c>
      <c r="AS13" s="15">
        <f t="shared" si="27"/>
        <v>715.45058350000102</v>
      </c>
      <c r="AT13" s="15">
        <f t="shared" si="27"/>
        <v>907.65218385000128</v>
      </c>
      <c r="AU13" s="15">
        <f t="shared" si="27"/>
        <v>1086.475841700302</v>
      </c>
      <c r="AV13" s="15">
        <f t="shared" si="27"/>
        <v>1244.4733907871591</v>
      </c>
      <c r="AW13" s="15">
        <f>AV13*(1+$AZ$19)</f>
        <v>1232.0286568792876</v>
      </c>
      <c r="AX13" s="15">
        <f>AW13*(1+$AZ$19)</f>
        <v>1219.7083703104947</v>
      </c>
      <c r="AY13" s="15">
        <f>AX13*(1+$AZ$19)</f>
        <v>1207.5112866073898</v>
      </c>
      <c r="AZ13" s="15">
        <f>AY13*(1+$AZ$19)</f>
        <v>1195.436173741316</v>
      </c>
      <c r="BA13" s="15">
        <f>AZ13*(1+$AZ$19)</f>
        <v>1183.4818120039029</v>
      </c>
      <c r="BB13" s="15">
        <f>BA13*(1+$AZ$19)</f>
        <v>1171.6469938838638</v>
      </c>
      <c r="BC13" s="15">
        <f>BB13*(1+$AZ$19)</f>
        <v>1159.9305239450252</v>
      </c>
      <c r="BD13" s="15">
        <f>BC13*(1+$AZ$19)</f>
        <v>1148.3312187055749</v>
      </c>
      <c r="BE13" s="15">
        <f>BD13*(1+$AZ$19)</f>
        <v>1136.847906518519</v>
      </c>
      <c r="BF13" s="15">
        <f>BE13*(1+$AZ$19)</f>
        <v>1125.4794274533338</v>
      </c>
      <c r="BG13" s="15">
        <f>BF13*(1+$AZ$19)</f>
        <v>1114.2246331788003</v>
      </c>
      <c r="BH13" s="15">
        <f>BG13*(1+$AZ$19)</f>
        <v>1103.0823868470122</v>
      </c>
      <c r="BI13" s="15">
        <f>BH13*(1+$AZ$19)</f>
        <v>1092.0515629785421</v>
      </c>
      <c r="BJ13" s="15">
        <f>BI13*(1+$AZ$19)</f>
        <v>1081.1310473487565</v>
      </c>
      <c r="BK13" s="15">
        <f>BJ13*(1+$AZ$19)</f>
        <v>1070.319736875269</v>
      </c>
      <c r="BL13" s="15">
        <f>BK13*(1+$AZ$19)</f>
        <v>1059.6165395065163</v>
      </c>
      <c r="BM13" s="15">
        <f>BL13*(1+$AZ$19)</f>
        <v>1049.0203741114512</v>
      </c>
      <c r="BN13" s="15">
        <f>BM13*(1+$AZ$19)</f>
        <v>1038.5301703703367</v>
      </c>
      <c r="BO13" s="15">
        <f>BN13*(1+$AZ$19)</f>
        <v>1028.1448686666333</v>
      </c>
      <c r="BP13" s="15">
        <f>BO13*(1+$AZ$19)</f>
        <v>1017.863419979967</v>
      </c>
      <c r="BQ13" s="15">
        <f>BP13*(1+$AZ$19)</f>
        <v>1007.6847857801673</v>
      </c>
      <c r="BR13" s="15">
        <f>BQ13*(1+$AZ$19)</f>
        <v>997.60793792236564</v>
      </c>
      <c r="BS13" s="15">
        <f>BR13*(1+$AZ$19)</f>
        <v>987.63185854314202</v>
      </c>
      <c r="BT13" s="15">
        <f>BS13*(1+$AZ$19)</f>
        <v>977.75553995771054</v>
      </c>
      <c r="BU13" s="15">
        <f>BT13*(1+$AZ$19)</f>
        <v>967.97798455813347</v>
      </c>
      <c r="BV13" s="15">
        <f>BU13*(1+$AZ$19)</f>
        <v>958.29820471255209</v>
      </c>
      <c r="BW13" s="15">
        <f>BV13*(1+$AZ$19)</f>
        <v>948.71522266542661</v>
      </c>
      <c r="BX13" s="15">
        <f>BW13*(1+$AZ$19)</f>
        <v>939.22807043877231</v>
      </c>
      <c r="BY13" s="15">
        <f>BX13*(1+$AZ$19)</f>
        <v>929.83578973438455</v>
      </c>
      <c r="BZ13" s="15">
        <f>BY13*(1+$AZ$19)</f>
        <v>920.53743183704069</v>
      </c>
      <c r="CA13" s="15">
        <f>BZ13*(1+$AZ$19)</f>
        <v>911.33205751867024</v>
      </c>
      <c r="CB13" s="15">
        <f>CA13*(1+$AZ$19)</f>
        <v>902.21873694348358</v>
      </c>
      <c r="CC13" s="15">
        <f>CB13*(1+$AZ$19)</f>
        <v>893.19654957404873</v>
      </c>
      <c r="CD13" s="15">
        <f>CC13*(1+$AZ$19)</f>
        <v>884.26458407830819</v>
      </c>
      <c r="CE13" s="15">
        <f>CD13*(1+$AZ$19)</f>
        <v>875.42193823752507</v>
      </c>
      <c r="CF13" s="15">
        <f>CE13*(1+$AZ$19)</f>
        <v>866.66771885514981</v>
      </c>
      <c r="CG13" s="15">
        <f>CF13*(1+$AZ$19)</f>
        <v>858.00104166659833</v>
      </c>
      <c r="CH13" s="15">
        <f>CG13*(1+$AZ$19)</f>
        <v>849.4210312499323</v>
      </c>
      <c r="CI13" s="15">
        <f>CH13*(1+$AZ$19)</f>
        <v>840.92682093743292</v>
      </c>
      <c r="CJ13" s="15">
        <f>CI13*(1+$AZ$19)</f>
        <v>832.5175527280586</v>
      </c>
      <c r="CK13" s="15">
        <f>CJ13*(1+$AZ$19)</f>
        <v>824.19237720077797</v>
      </c>
      <c r="CL13" s="15">
        <f>CK13*(1+$AZ$19)</f>
        <v>815.95045342877017</v>
      </c>
      <c r="CM13" s="15">
        <f>CL13*(1+$AZ$19)</f>
        <v>807.79094889448243</v>
      </c>
      <c r="CN13" s="15">
        <f>CM13*(1+$AZ$19)</f>
        <v>799.71303940553764</v>
      </c>
      <c r="CO13" s="15">
        <f>CN13*(1+$AZ$19)</f>
        <v>791.71590901148227</v>
      </c>
      <c r="CP13" s="15">
        <f>CO13*(1+$AZ$19)</f>
        <v>783.7987499213674</v>
      </c>
      <c r="CQ13" s="15">
        <f>CP13*(1+$AZ$19)</f>
        <v>775.96076242215372</v>
      </c>
      <c r="CR13" s="15">
        <f>CQ13*(1+$AZ$19)</f>
        <v>768.20115479793219</v>
      </c>
      <c r="CS13" s="15">
        <f>CR13*(1+$AZ$19)</f>
        <v>760.51914324995289</v>
      </c>
      <c r="CT13" s="15">
        <f>CS13*(1+$AZ$19)</f>
        <v>752.91395181745338</v>
      </c>
      <c r="CU13" s="15">
        <f>CT13*(1+$AZ$19)</f>
        <v>745.38481229927879</v>
      </c>
      <c r="CV13" s="15">
        <f>CU13*(1+$AZ$19)</f>
        <v>737.93096417628601</v>
      </c>
      <c r="CW13" s="15">
        <f>CV13*(1+$AZ$19)</f>
        <v>730.5516545345231</v>
      </c>
      <c r="CX13" s="15">
        <f>CW13*(1+$AZ$19)</f>
        <v>723.2461379891779</v>
      </c>
      <c r="CY13" s="15">
        <f>CX13*(1+$AZ$19)</f>
        <v>716.01367660928611</v>
      </c>
      <c r="CZ13" s="15">
        <f>CY13*(1+$AZ$19)</f>
        <v>708.85353984319329</v>
      </c>
      <c r="DA13" s="15">
        <f>CZ13*(1+$AZ$19)</f>
        <v>701.7650044447613</v>
      </c>
      <c r="DB13" s="15">
        <f>DA13*(1+$AZ$19)</f>
        <v>694.74735440031372</v>
      </c>
      <c r="DC13" s="15">
        <f>DB13*(1+$AZ$19)</f>
        <v>687.79988085631055</v>
      </c>
      <c r="DD13" s="15">
        <f>DC13*(1+$AZ$19)</f>
        <v>680.92188204774743</v>
      </c>
      <c r="DE13" s="15">
        <f>DD13*(1+$AZ$19)</f>
        <v>674.11266322726999</v>
      </c>
      <c r="DF13" s="15">
        <f>DE13*(1+$AZ$19)</f>
        <v>667.37153659499734</v>
      </c>
      <c r="DG13" s="15">
        <f>DF13*(1+$AZ$19)</f>
        <v>660.69782122904735</v>
      </c>
      <c r="DH13" s="15">
        <f>DG13*(1+$AZ$19)</f>
        <v>654.09084301675682</v>
      </c>
      <c r="DI13" s="15">
        <f>DH13*(1+$AZ$19)</f>
        <v>647.5499345865893</v>
      </c>
      <c r="DJ13" s="15">
        <f>DI13*(1+$AZ$19)</f>
        <v>641.07443524072335</v>
      </c>
      <c r="DK13" s="15">
        <f>DJ13*(1+$AZ$19)</f>
        <v>634.66369088831607</v>
      </c>
      <c r="DL13" s="15">
        <f>DK13*(1+$AZ$19)</f>
        <v>628.3170539794329</v>
      </c>
      <c r="DM13" s="15">
        <f>DL13*(1+$AZ$19)</f>
        <v>622.03388343963854</v>
      </c>
      <c r="DN13" s="15">
        <f>DM13*(1+$AZ$19)</f>
        <v>615.8135446052421</v>
      </c>
      <c r="DO13" s="15">
        <f>DN13*(1+$AZ$19)</f>
        <v>609.65540915918973</v>
      </c>
      <c r="DP13" s="15">
        <f>DO13*(1+$AZ$19)</f>
        <v>603.55885506759785</v>
      </c>
      <c r="DQ13" s="15">
        <f>DP13*(1+$AZ$19)</f>
        <v>597.52326651692181</v>
      </c>
      <c r="DR13" s="15">
        <f>DQ13*(1+$AZ$19)</f>
        <v>591.54803385175262</v>
      </c>
      <c r="DS13" s="15">
        <f>DR13*(1+$AZ$19)</f>
        <v>585.63255351323505</v>
      </c>
      <c r="DT13" s="15">
        <f>DS13*(1+$AZ$19)</f>
        <v>579.77622797810272</v>
      </c>
      <c r="DU13" s="15">
        <f>DT13*(1+$AZ$19)</f>
        <v>573.97846569832166</v>
      </c>
      <c r="DV13" s="15">
        <f>DU13*(1+$AZ$19)</f>
        <v>568.2386810413384</v>
      </c>
      <c r="DW13" s="15">
        <f>DV13*(1+$AZ$19)</f>
        <v>562.556294230925</v>
      </c>
      <c r="DX13" s="15">
        <f>DW13*(1+$AZ$19)</f>
        <v>556.93073128861579</v>
      </c>
      <c r="DY13" s="15">
        <f>DX13*(1+$AZ$19)</f>
        <v>551.36142397572962</v>
      </c>
      <c r="DZ13" s="15">
        <f>DY13*(1+$AZ$19)</f>
        <v>545.84780973597231</v>
      </c>
      <c r="EA13" s="15">
        <f>DZ13*(1+$AZ$19)</f>
        <v>540.38933163861259</v>
      </c>
      <c r="EB13" s="15">
        <f>EA13*(1+$AZ$19)</f>
        <v>534.98543832222651</v>
      </c>
      <c r="EC13" s="15">
        <f>EB13*(1+$AZ$19)</f>
        <v>529.63558393900428</v>
      </c>
      <c r="ED13" s="15">
        <f>EC13*(1+$AZ$19)</f>
        <v>524.33922809961427</v>
      </c>
      <c r="EE13" s="15">
        <f>ED13*(1+$AZ$19)</f>
        <v>519.09583581861807</v>
      </c>
      <c r="EF13" s="15">
        <f>EE13*(1+$AZ$19)</f>
        <v>513.90487746043186</v>
      </c>
      <c r="EG13" s="15">
        <f>EF13*(1+$AZ$19)</f>
        <v>508.76582868582756</v>
      </c>
      <c r="EH13" s="15">
        <f>EG13*(1+$AZ$19)</f>
        <v>503.67817039896926</v>
      </c>
      <c r="EI13" s="15">
        <f>EH13*(1+$AZ$19)</f>
        <v>498.64138869497958</v>
      </c>
      <c r="EJ13" s="15">
        <f>EI13*(1+$AZ$19)</f>
        <v>493.65497480802981</v>
      </c>
      <c r="EK13" s="15">
        <f>EJ13*(1+$AZ$19)</f>
        <v>488.71842505994948</v>
      </c>
      <c r="EL13" s="15">
        <f>EK13*(1+$AZ$19)</f>
        <v>483.83124080934999</v>
      </c>
      <c r="EM13" s="15">
        <f>EL13*(1+$AZ$19)</f>
        <v>478.99292840125651</v>
      </c>
      <c r="EN13" s="15">
        <f>EM13*(1+$AZ$19)</f>
        <v>474.20299911724396</v>
      </c>
      <c r="EO13" s="15">
        <f>EN13*(1+$AZ$19)</f>
        <v>469.46096912607152</v>
      </c>
      <c r="EP13" s="15">
        <f>EO13*(1+$AZ$19)</f>
        <v>464.76635943481079</v>
      </c>
      <c r="EQ13" s="15">
        <f>EP13*(1+$AZ$19)</f>
        <v>460.11869584046269</v>
      </c>
      <c r="ER13" s="15">
        <f>EQ13*(1+$AZ$19)</f>
        <v>455.51750888205805</v>
      </c>
      <c r="ES13" s="15">
        <f>ER13*(1+$AZ$19)</f>
        <v>450.96233379323746</v>
      </c>
      <c r="ET13" s="15">
        <f>ES13*(1+$AZ$19)</f>
        <v>446.45271045530507</v>
      </c>
      <c r="EU13" s="15">
        <f>ET13*(1+$AZ$19)</f>
        <v>441.98818335075202</v>
      </c>
      <c r="EV13" s="15">
        <f>EU13*(1+$AZ$19)</f>
        <v>437.56830151724449</v>
      </c>
      <c r="EW13" s="15">
        <f>EV13*(1+$AZ$19)</f>
        <v>433.19261850207204</v>
      </c>
      <c r="EX13" s="15">
        <f>EW13*(1+$AZ$19)</f>
        <v>428.8606923170513</v>
      </c>
      <c r="EY13" s="15">
        <f>EX13*(1+$AZ$19)</f>
        <v>424.5720853938808</v>
      </c>
      <c r="EZ13" s="15">
        <f>EY13*(1+$AZ$19)</f>
        <v>420.32636453994201</v>
      </c>
      <c r="FA13" s="15">
        <f>EZ13*(1+$AZ$19)</f>
        <v>416.12310089454257</v>
      </c>
      <c r="FB13" s="15">
        <f>FA13*(1+$AZ$19)</f>
        <v>411.96186988559714</v>
      </c>
      <c r="FC13" s="15">
        <f>FB13*(1+$AZ$19)</f>
        <v>407.84225118674118</v>
      </c>
      <c r="FD13" s="15">
        <f>FC13*(1+$AZ$19)</f>
        <v>403.76382867487376</v>
      </c>
      <c r="FE13" s="15">
        <f>FD13*(1+$AZ$19)</f>
        <v>399.72619038812502</v>
      </c>
      <c r="FF13" s="15">
        <f>FE13*(1+$AZ$19)</f>
        <v>395.72892848424374</v>
      </c>
      <c r="FG13" s="15">
        <f>FF13*(1+$AZ$19)</f>
        <v>391.77163919940131</v>
      </c>
      <c r="FH13" s="15">
        <f>FG13*(1+$AZ$19)</f>
        <v>387.85392280740729</v>
      </c>
      <c r="FI13" s="15">
        <f>FH13*(1+$AZ$19)</f>
        <v>383.9753835793332</v>
      </c>
      <c r="FJ13" s="15">
        <f>FI13*(1+$AZ$19)</f>
        <v>380.13562974353988</v>
      </c>
      <c r="FK13" s="15">
        <f>FJ13*(1+$AZ$19)</f>
        <v>376.33427344610448</v>
      </c>
      <c r="FL13" s="15">
        <f>FK13*(1+$AZ$19)</f>
        <v>372.57093071164343</v>
      </c>
      <c r="FM13" s="15">
        <f>FL13*(1+$AZ$19)</f>
        <v>368.84522140452697</v>
      </c>
      <c r="FN13" s="15">
        <f>FM13*(1+$AZ$19)</f>
        <v>365.15676919048167</v>
      </c>
      <c r="FO13" s="15">
        <f>FN13*(1+$AZ$19)</f>
        <v>361.50520149857687</v>
      </c>
      <c r="FP13" s="15">
        <f>FO13*(1+$AZ$19)</f>
        <v>357.89014948359107</v>
      </c>
      <c r="FQ13" s="15">
        <f>FP13*(1+$AZ$19)</f>
        <v>354.31124798875516</v>
      </c>
      <c r="FR13" s="15">
        <f>FQ13*(1+$AZ$19)</f>
        <v>350.7681355088676</v>
      </c>
      <c r="FS13" s="15">
        <f>FR13*(1+$AZ$19)</f>
        <v>347.26045415377894</v>
      </c>
      <c r="FT13" s="15">
        <f>FS13*(1+$AZ$19)</f>
        <v>343.78784961224113</v>
      </c>
      <c r="FU13" s="15">
        <f>FT13*(1+$AZ$19)</f>
        <v>340.3499711161187</v>
      </c>
      <c r="FV13" s="15">
        <f>FU13*(1+$AZ$19)</f>
        <v>336.94647140495749</v>
      </c>
      <c r="FW13" s="15">
        <f>FV13*(1+$AZ$19)</f>
        <v>333.57700669090792</v>
      </c>
      <c r="FX13" s="15">
        <f>FW13*(1+$AZ$19)</f>
        <v>330.24123662399882</v>
      </c>
      <c r="FY13" s="15">
        <f>FX13*(1+$AZ$19)</f>
        <v>326.93882425775882</v>
      </c>
      <c r="FZ13" s="15">
        <f>FY13*(1+$AZ$19)</f>
        <v>323.66943601518125</v>
      </c>
      <c r="GA13" s="15">
        <f>FZ13*(1+$AZ$19)</f>
        <v>320.43274165502942</v>
      </c>
      <c r="GB13" s="15">
        <f>GA13*(1+$AZ$19)</f>
        <v>317.2284142384791</v>
      </c>
      <c r="GC13" s="15">
        <f>GB13*(1+$AZ$19)</f>
        <v>314.05613009609431</v>
      </c>
      <c r="GD13" s="15">
        <f>GC13*(1+$AZ$19)</f>
        <v>310.91556879513337</v>
      </c>
      <c r="GE13" s="15">
        <f>GD13*(1+$AZ$19)</f>
        <v>307.80641310718204</v>
      </c>
      <c r="GF13" s="15">
        <f>GE13*(1+$AZ$19)</f>
        <v>304.72834897611023</v>
      </c>
      <c r="GG13" s="15">
        <f>GF13*(1+$AZ$19)</f>
        <v>301.6810654863491</v>
      </c>
      <c r="GH13" s="15">
        <f>GG13*(1+$AZ$19)</f>
        <v>298.66425483148561</v>
      </c>
      <c r="GI13" s="15">
        <f>GH13*(1+$AZ$19)</f>
        <v>295.67761228317073</v>
      </c>
      <c r="GJ13" s="15">
        <f>GI13*(1+$AZ$19)</f>
        <v>292.72083616033905</v>
      </c>
      <c r="GK13" s="15">
        <f>GJ13*(1+$AZ$19)</f>
        <v>289.79362779873566</v>
      </c>
      <c r="GL13" s="15">
        <f>GK13*(1+$AZ$19)</f>
        <v>286.8956915207483</v>
      </c>
      <c r="GM13" s="15">
        <f>GL13*(1+$AZ$19)</f>
        <v>284.02673460554081</v>
      </c>
      <c r="GN13" s="15">
        <f>GM13*(1+$AZ$19)</f>
        <v>281.18646725948543</v>
      </c>
      <c r="GO13" s="15">
        <f>GN13*(1+$AZ$19)</f>
        <v>278.37460258689055</v>
      </c>
      <c r="GP13" s="15">
        <f>GO13*(1+$AZ$19)</f>
        <v>275.59085656102161</v>
      </c>
      <c r="GQ13" s="15">
        <f>GP13*(1+$AZ$19)</f>
        <v>272.83494799541137</v>
      </c>
      <c r="GR13" s="15">
        <f>GQ13*(1+$AZ$19)</f>
        <v>270.10659851545728</v>
      </c>
      <c r="GS13" s="15">
        <f>GR13*(1+$AZ$19)</f>
        <v>267.40553253030271</v>
      </c>
      <c r="GT13" s="15">
        <f>GS13*(1+$AZ$19)</f>
        <v>264.73147720499969</v>
      </c>
      <c r="GU13" s="15">
        <f>GT13*(1+$AZ$19)</f>
        <v>262.08416243294971</v>
      </c>
      <c r="GV13" s="15">
        <f>GU13*(1+$AZ$19)</f>
        <v>259.46332080862021</v>
      </c>
      <c r="GW13" s="15">
        <f>GV13*(1+$AZ$19)</f>
        <v>256.86868760053403</v>
      </c>
      <c r="GX13" s="15">
        <f>GW13*(1+$AZ$19)</f>
        <v>254.3000007245287</v>
      </c>
      <c r="GY13" s="15">
        <f>GX13*(1+$AZ$19)</f>
        <v>251.7570007172834</v>
      </c>
      <c r="GZ13" s="15">
        <f>GY13*(1+$AZ$19)</f>
        <v>249.23943071011055</v>
      </c>
      <c r="HA13" s="15">
        <f>GZ13*(1+$AZ$19)</f>
        <v>246.74703640300945</v>
      </c>
      <c r="HB13" s="15">
        <f>HA13*(1+$AZ$19)</f>
        <v>244.27956603897934</v>
      </c>
      <c r="HC13" s="15">
        <f>HB13*(1+$AZ$19)</f>
        <v>241.83677037858953</v>
      </c>
      <c r="HD13" s="15">
        <f>HC13*(1+$AZ$19)</f>
        <v>239.41840267480364</v>
      </c>
      <c r="HE13" s="15">
        <f>HD13*(1+$AZ$19)</f>
        <v>237.02421864805561</v>
      </c>
      <c r="HF13" s="15">
        <f>HE13*(1+$AZ$19)</f>
        <v>234.65397646157504</v>
      </c>
      <c r="HG13" s="15">
        <f>HF13*(1+$AZ$19)</f>
        <v>232.30743669695929</v>
      </c>
      <c r="HH13" s="15">
        <f>HG13*(1+$AZ$19)</f>
        <v>229.98436232998969</v>
      </c>
      <c r="HI13" s="15">
        <f>HH13*(1+$AZ$19)</f>
        <v>227.6845187066898</v>
      </c>
      <c r="HJ13" s="15">
        <f>HI13*(1+$AZ$19)</f>
        <v>225.4076735196229</v>
      </c>
      <c r="HK13" s="15">
        <f>HJ13*(1+$AZ$19)</f>
        <v>223.15359678442667</v>
      </c>
      <c r="HL13" s="15">
        <f>HK13*(1+$AZ$19)</f>
        <v>220.92206081658239</v>
      </c>
      <c r="HM13" s="15">
        <f>HL13*(1+$AZ$19)</f>
        <v>218.71284020841657</v>
      </c>
      <c r="HN13" s="15">
        <f>HM13*(1+$AZ$19)</f>
        <v>216.5257118063324</v>
      </c>
      <c r="HO13" s="15">
        <f>HN13*(1+$AZ$19)</f>
        <v>214.36045468826907</v>
      </c>
      <c r="HP13" s="15">
        <f>HO13*(1+$AZ$19)</f>
        <v>212.21685014138637</v>
      </c>
      <c r="HQ13" s="15">
        <f>HP13*(1+$AZ$19)</f>
        <v>210.09468163997252</v>
      </c>
      <c r="HR13" s="15">
        <f>HQ13*(1+$AZ$19)</f>
        <v>207.99373482357279</v>
      </c>
      <c r="HS13" s="15">
        <f>HR13*(1+$AZ$19)</f>
        <v>205.91379747533708</v>
      </c>
      <c r="HT13" s="15">
        <f>HS13*(1+$AZ$19)</f>
        <v>203.85465950058369</v>
      </c>
      <c r="HU13" s="15">
        <f>HT13*(1+$AZ$19)</f>
        <v>201.81611290557785</v>
      </c>
      <c r="HV13" s="15">
        <f>HU13*(1+$AZ$19)</f>
        <v>199.79795177652207</v>
      </c>
      <c r="HW13" s="15">
        <f>HV13*(1+$AZ$19)</f>
        <v>197.79997225875684</v>
      </c>
      <c r="HX13" s="15">
        <f>HW13*(1+$AZ$19)</f>
        <v>195.82197253616926</v>
      </c>
      <c r="HY13" s="15">
        <f>HX13*(1+$AZ$19)</f>
        <v>193.86375281080757</v>
      </c>
      <c r="HZ13" s="15">
        <f>HY13*(1+$AZ$19)</f>
        <v>191.92511528269949</v>
      </c>
      <c r="IA13" s="15">
        <f>HZ13*(1+$AZ$19)</f>
        <v>190.00586412987249</v>
      </c>
      <c r="IB13" s="15">
        <f>IA13*(1+$AZ$19)</f>
        <v>188.10580548857376</v>
      </c>
      <c r="IC13" s="15">
        <f>IB13*(1+$AZ$19)</f>
        <v>186.22474743368804</v>
      </c>
      <c r="ID13" s="15">
        <f>IC13*(1+$AZ$19)</f>
        <v>184.36249995935117</v>
      </c>
      <c r="IE13" s="15">
        <f>ID13*(1+$AZ$19)</f>
        <v>182.51887495975765</v>
      </c>
      <c r="IF13" s="15">
        <f>IE13*(1+$AZ$19)</f>
        <v>180.69368621016008</v>
      </c>
      <c r="IG13" s="15">
        <f>IF13*(1+$AZ$19)</f>
        <v>178.88674934805849</v>
      </c>
      <c r="IH13" s="15">
        <f>IG13*(1+$AZ$19)</f>
        <v>177.09788185457791</v>
      </c>
      <c r="II13" s="15">
        <f>IH13*(1+$AZ$19)</f>
        <v>175.32690303603212</v>
      </c>
      <c r="IJ13" s="15">
        <f>II13*(1+$AZ$19)</f>
        <v>173.57363400567181</v>
      </c>
      <c r="IK13" s="15">
        <f>IJ13*(1+$AZ$19)</f>
        <v>171.83789766561509</v>
      </c>
      <c r="IL13" s="15">
        <f>IK13*(1+$AZ$19)</f>
        <v>170.11951868895895</v>
      </c>
      <c r="IM13" s="15">
        <f>IL13*(1+$AZ$19)</f>
        <v>168.41832350206937</v>
      </c>
      <c r="IN13" s="15">
        <f>IM13*(1+$AZ$19)</f>
        <v>166.73414026704867</v>
      </c>
      <c r="IO13" s="15">
        <f>IN13*(1+$AZ$19)</f>
        <v>165.06679886437817</v>
      </c>
      <c r="IP13" s="15">
        <f>IO13*(1+$AZ$19)</f>
        <v>163.41613087573438</v>
      </c>
      <c r="IQ13" s="15">
        <f>IP13*(1+$AZ$19)</f>
        <v>161.78196956697704</v>
      </c>
      <c r="IR13" s="15">
        <f>IQ13*(1+$AZ$19)</f>
        <v>160.16414987130727</v>
      </c>
      <c r="IS13" s="15">
        <f>IR13*(1+$AZ$19)</f>
        <v>158.56250837259421</v>
      </c>
      <c r="IT13" s="15">
        <f>IS13*(1+$AZ$19)</f>
        <v>156.97688328886827</v>
      </c>
      <c r="IU13" s="15">
        <f>IT13*(1+$AZ$19)</f>
        <v>155.40711445597958</v>
      </c>
      <c r="IV13" s="15">
        <f>IU13*(1+$AZ$19)</f>
        <v>153.85304331141978</v>
      </c>
      <c r="IW13" s="15">
        <f>IV13*(1+$AZ$19)</f>
        <v>152.31451287830558</v>
      </c>
      <c r="IX13" s="15">
        <f>IW13*(1+$AZ$19)</f>
        <v>150.79136774952252</v>
      </c>
      <c r="IY13" s="15">
        <f>IX13*(1+$AZ$19)</f>
        <v>149.2834540720273</v>
      </c>
      <c r="IZ13" s="15">
        <f>IY13*(1+$AZ$19)</f>
        <v>147.79061953130702</v>
      </c>
      <c r="JA13" s="15">
        <f>IZ13*(1+$AZ$19)</f>
        <v>146.31271333599395</v>
      </c>
      <c r="JB13" s="15">
        <f>JA13*(1+$AZ$19)</f>
        <v>144.84958620263401</v>
      </c>
      <c r="JC13" s="15">
        <f>JB13*(1+$AZ$19)</f>
        <v>143.40109034060768</v>
      </c>
      <c r="JD13" s="15">
        <f>JC13*(1+$AZ$19)</f>
        <v>141.96707943720159</v>
      </c>
      <c r="JE13" s="15">
        <f>JD13*(1+$AZ$19)</f>
        <v>140.54740864282957</v>
      </c>
      <c r="JF13" s="15">
        <f>JE13*(1+$AZ$19)</f>
        <v>139.14193455640128</v>
      </c>
      <c r="JG13" s="15">
        <f>JF13*(1+$AZ$19)</f>
        <v>137.75051521083728</v>
      </c>
      <c r="JH13" s="15">
        <f>JG13*(1+$AZ$19)</f>
        <v>136.37301005872891</v>
      </c>
      <c r="JI13" s="15">
        <f>JH13*(1+$AZ$19)</f>
        <v>135.0092799581416</v>
      </c>
      <c r="JJ13" s="15">
        <f>JI13*(1+$AZ$19)</f>
        <v>133.6591871585602</v>
      </c>
      <c r="JK13" s="15">
        <f>JJ13*(1+$AZ$19)</f>
        <v>132.3225952869746</v>
      </c>
      <c r="JL13" s="15">
        <f>JK13*(1+$AZ$19)</f>
        <v>130.99936933410487</v>
      </c>
      <c r="JM13" s="15">
        <f>JL13*(1+$AZ$19)</f>
        <v>129.68937564076381</v>
      </c>
      <c r="JN13" s="15">
        <f>JM13*(1+$AZ$19)</f>
        <v>128.39248188435619</v>
      </c>
      <c r="JO13" s="15">
        <f>JN13*(1+$AZ$19)</f>
        <v>127.10855706551263</v>
      </c>
      <c r="JP13" s="15">
        <f>JO13*(1+$AZ$19)</f>
        <v>125.8374714948575</v>
      </c>
      <c r="JQ13" s="15">
        <f>JP13*(1+$AZ$19)</f>
        <v>124.57909677990892</v>
      </c>
      <c r="JR13" s="15">
        <f>JQ13*(1+$AZ$19)</f>
        <v>123.33330581210983</v>
      </c>
      <c r="JS13" s="15">
        <f>JR13*(1+$AZ$19)</f>
        <v>122.09997275398872</v>
      </c>
      <c r="JT13" s="15">
        <f>JS13*(1+$AZ$19)</f>
        <v>120.87897302644883</v>
      </c>
      <c r="JU13" s="15">
        <f>JT13*(1+$AZ$19)</f>
        <v>119.67018329618435</v>
      </c>
      <c r="JV13" s="15">
        <f>JU13*(1+$AZ$19)</f>
        <v>118.4734814632225</v>
      </c>
      <c r="JW13" s="15">
        <f>JV13*(1+$AZ$19)</f>
        <v>117.28874664859028</v>
      </c>
      <c r="JX13" s="15">
        <f>JW13*(1+$AZ$19)</f>
        <v>116.11585918210437</v>
      </c>
      <c r="JY13" s="15">
        <f>JX13*(1+$AZ$19)</f>
        <v>114.95470059028332</v>
      </c>
      <c r="JZ13" s="15">
        <f>JY13*(1+$AZ$19)</f>
        <v>113.80515358438049</v>
      </c>
      <c r="KA13" s="15">
        <f>JZ13*(1+$AZ$19)</f>
        <v>112.66710204853669</v>
      </c>
      <c r="KB13" s="15">
        <f>KA13*(1+$AZ$19)</f>
        <v>111.54043102805133</v>
      </c>
      <c r="KC13" s="15">
        <f>KB13*(1+$AZ$19)</f>
        <v>110.42502671777082</v>
      </c>
      <c r="KD13" s="15">
        <f>KC13*(1+$AZ$19)</f>
        <v>109.32077645059312</v>
      </c>
      <c r="KE13" s="15">
        <f>KD13*(1+$AZ$19)</f>
        <v>108.22756868608718</v>
      </c>
      <c r="KF13" s="15">
        <f>KE13*(1+$AZ$19)</f>
        <v>107.14529299922631</v>
      </c>
      <c r="KG13" s="15">
        <f>KF13*(1+$AZ$19)</f>
        <v>106.07384006923405</v>
      </c>
      <c r="KH13" s="15">
        <f>KG13*(1+$AZ$19)</f>
        <v>105.01310166854171</v>
      </c>
      <c r="KI13" s="15">
        <f>KH13*(1+$AZ$19)</f>
        <v>103.9629706518563</v>
      </c>
    </row>
    <row r="14" spans="1:295" x14ac:dyDescent="0.25">
      <c r="B14" s="12" t="s">
        <v>15</v>
      </c>
      <c r="C14" s="19">
        <v>748.6</v>
      </c>
      <c r="D14" s="19">
        <v>752.7</v>
      </c>
      <c r="E14" s="19">
        <v>750.1</v>
      </c>
      <c r="F14" s="19">
        <v>750.6</v>
      </c>
      <c r="G14" s="19">
        <v>750.8</v>
      </c>
      <c r="H14" s="19">
        <v>751.1</v>
      </c>
      <c r="I14" s="19">
        <v>751.4</v>
      </c>
      <c r="J14" s="19">
        <v>751.6</v>
      </c>
      <c r="K14" s="19">
        <v>758.9</v>
      </c>
      <c r="L14" s="19">
        <v>758.1</v>
      </c>
      <c r="M14" s="19">
        <v>760.8</v>
      </c>
      <c r="N14" s="19">
        <v>763.3</v>
      </c>
      <c r="O14" s="19">
        <v>916.7</v>
      </c>
      <c r="P14" s="19">
        <v>764.6</v>
      </c>
      <c r="Q14" s="7">
        <v>765.4</v>
      </c>
      <c r="R14" s="7">
        <v>765.4</v>
      </c>
      <c r="S14" s="7">
        <v>787.7</v>
      </c>
      <c r="T14" s="7">
        <v>842.7</v>
      </c>
      <c r="U14" s="7">
        <v>852.9</v>
      </c>
      <c r="V14" s="7">
        <v>838.4</v>
      </c>
      <c r="W14" s="7">
        <v>882.2</v>
      </c>
      <c r="X14" s="7">
        <v>886.8</v>
      </c>
      <c r="Y14" s="7">
        <v>865.2</v>
      </c>
      <c r="Z14" s="7">
        <v>864.7</v>
      </c>
      <c r="AA14" s="7">
        <v>854.3</v>
      </c>
      <c r="AB14" s="7">
        <v>922.8</v>
      </c>
      <c r="AC14" s="7">
        <f>Y14*1.05</f>
        <v>908.46</v>
      </c>
      <c r="AD14" s="7">
        <f t="shared" ref="AD14" si="28">Z14*1.05</f>
        <v>907.93500000000006</v>
      </c>
      <c r="AL14" s="7">
        <f>F14</f>
        <v>750.6</v>
      </c>
      <c r="AM14" s="7">
        <f>J14</f>
        <v>751.6</v>
      </c>
      <c r="AN14" s="7">
        <f>N14</f>
        <v>763.3</v>
      </c>
      <c r="AO14" s="7">
        <f>R14</f>
        <v>765.4</v>
      </c>
      <c r="AP14" s="7">
        <f>V14</f>
        <v>838.4</v>
      </c>
      <c r="AQ14" s="7">
        <f>Z14</f>
        <v>864.7</v>
      </c>
      <c r="AR14" s="7">
        <f>AD14</f>
        <v>907.93500000000006</v>
      </c>
      <c r="AS14" s="7">
        <f>AR14*1.01</f>
        <v>917.01435000000004</v>
      </c>
      <c r="AT14" s="7">
        <f t="shared" ref="AT14:AV14" si="29">AS14*1.01</f>
        <v>926.18449350000003</v>
      </c>
      <c r="AU14" s="7">
        <f t="shared" si="29"/>
        <v>935.44633843500003</v>
      </c>
      <c r="AV14" s="7">
        <f t="shared" si="29"/>
        <v>944.80080181935</v>
      </c>
    </row>
    <row r="15" spans="1:295" x14ac:dyDescent="0.25">
      <c r="B15" s="12" t="s">
        <v>16</v>
      </c>
      <c r="C15" s="13">
        <f t="shared" ref="C15:P15" si="30">C13/C14</f>
        <v>0.17018434410900377</v>
      </c>
      <c r="D15" s="13">
        <f t="shared" si="30"/>
        <v>0.31473362561445434</v>
      </c>
      <c r="E15" s="13">
        <f t="shared" si="30"/>
        <v>0.10398613518197568</v>
      </c>
      <c r="F15" s="13">
        <f t="shared" si="30"/>
        <v>7.9136690647481939E-2</v>
      </c>
      <c r="G15" s="13">
        <f t="shared" si="30"/>
        <v>0.14717634523175263</v>
      </c>
      <c r="H15" s="13">
        <f t="shared" si="30"/>
        <v>0.15856743442950305</v>
      </c>
      <c r="I15" s="13">
        <f t="shared" si="30"/>
        <v>0.11897790790524337</v>
      </c>
      <c r="J15" s="13">
        <f t="shared" si="30"/>
        <v>0.2142096860031934</v>
      </c>
      <c r="K15" s="13">
        <f t="shared" si="30"/>
        <v>8.1828962972723907E-2</v>
      </c>
      <c r="L15" s="13">
        <f t="shared" si="30"/>
        <v>0.30510486743173737</v>
      </c>
      <c r="M15" s="13">
        <f t="shared" si="30"/>
        <v>-0.21096214511041003</v>
      </c>
      <c r="N15" s="13">
        <f t="shared" si="30"/>
        <v>-0.25651775186689368</v>
      </c>
      <c r="O15" s="13">
        <f t="shared" si="30"/>
        <v>0.28842587542271186</v>
      </c>
      <c r="P15" s="13">
        <f t="shared" si="30"/>
        <v>0.20154329060946888</v>
      </c>
      <c r="Q15" s="13">
        <f>Q13/Q14</f>
        <v>0.15926313038933876</v>
      </c>
      <c r="R15" s="13">
        <f t="shared" ref="R15:AD15" si="31">R13/R14</f>
        <v>-0.20198588973085968</v>
      </c>
      <c r="S15" s="13">
        <f t="shared" si="31"/>
        <v>0.38377554906690386</v>
      </c>
      <c r="T15" s="13">
        <f>T13/T14</f>
        <v>0.37273050907796379</v>
      </c>
      <c r="U15" s="13">
        <f t="shared" si="31"/>
        <v>0.11841950990737493</v>
      </c>
      <c r="V15" s="13">
        <f t="shared" si="31"/>
        <v>-0.24856870229007641</v>
      </c>
      <c r="W15" s="13">
        <f t="shared" si="31"/>
        <v>0.20471548401722967</v>
      </c>
      <c r="X15" s="13">
        <f t="shared" si="31"/>
        <v>0.32262065854758681</v>
      </c>
      <c r="Y15" s="13">
        <f t="shared" si="31"/>
        <v>0.18342579750346752</v>
      </c>
      <c r="Z15" s="13">
        <f t="shared" si="31"/>
        <v>9.6102694576153475E-2</v>
      </c>
      <c r="AA15" s="13">
        <f t="shared" si="31"/>
        <v>0.10207187170783109</v>
      </c>
      <c r="AB15" s="13">
        <f t="shared" si="31"/>
        <v>0.26007802340702202</v>
      </c>
      <c r="AC15" s="13">
        <f t="shared" si="31"/>
        <v>6.2047079673293364E-2</v>
      </c>
      <c r="AD15" s="13">
        <f t="shared" si="31"/>
        <v>0.12471408195520593</v>
      </c>
      <c r="AL15" s="13">
        <f t="shared" ref="AL15:AV15" si="32">AL13/AL14</f>
        <v>0.66839861444177917</v>
      </c>
      <c r="AM15" s="13">
        <f t="shared" si="32"/>
        <v>0.63863757317722247</v>
      </c>
      <c r="AN15" s="13">
        <f t="shared" si="32"/>
        <v>-8.2405345211581271E-2</v>
      </c>
      <c r="AO15" s="13">
        <f t="shared" si="32"/>
        <v>0.50405016984583162</v>
      </c>
      <c r="AP15" s="13">
        <f t="shared" si="32"/>
        <v>0.60710877862595491</v>
      </c>
      <c r="AQ15" s="13">
        <f t="shared" si="32"/>
        <v>0.8193593153694928</v>
      </c>
      <c r="AR15" s="13">
        <f t="shared" si="32"/>
        <v>0.54717526034352715</v>
      </c>
      <c r="AS15" s="13">
        <f t="shared" si="32"/>
        <v>0.78019562452866853</v>
      </c>
      <c r="AT15" s="13">
        <f t="shared" si="32"/>
        <v>0.97999069323654275</v>
      </c>
      <c r="AU15" s="13">
        <f t="shared" si="32"/>
        <v>1.161451808682018</v>
      </c>
      <c r="AV15" s="13">
        <f t="shared" si="32"/>
        <v>1.317180709828724</v>
      </c>
    </row>
    <row r="16" spans="1:295" x14ac:dyDescent="0.25">
      <c r="C16" s="36"/>
      <c r="D16" s="36"/>
      <c r="E16" s="36"/>
      <c r="F16" s="36"/>
      <c r="G16" s="35"/>
      <c r="H16" s="33"/>
      <c r="I16" s="35"/>
      <c r="J16" s="35"/>
      <c r="L16" s="33"/>
      <c r="M16" s="33"/>
      <c r="N16" s="35"/>
      <c r="AA16" s="34"/>
    </row>
    <row r="17" spans="2:52" x14ac:dyDescent="0.25">
      <c r="B17" s="12" t="s">
        <v>42</v>
      </c>
      <c r="G17" s="25">
        <f t="shared" ref="G17:AA17" si="33">G3/C3-1</f>
        <v>-9.2480900683554523E-2</v>
      </c>
      <c r="H17" s="25">
        <f t="shared" si="33"/>
        <v>-4.7922353654837768E-2</v>
      </c>
      <c r="I17" s="25">
        <f t="shared" si="33"/>
        <v>-0.10442254915193228</v>
      </c>
      <c r="J17" s="25">
        <f t="shared" si="33"/>
        <v>-8.0020875010872405E-2</v>
      </c>
      <c r="K17" s="25">
        <f t="shared" si="33"/>
        <v>-4.3568158322256689E-2</v>
      </c>
      <c r="L17" s="25">
        <f t="shared" si="33"/>
        <v>-6.6183497929276802E-2</v>
      </c>
      <c r="M17" s="25">
        <f t="shared" si="33"/>
        <v>-0.46624133427107406</v>
      </c>
      <c r="N17" s="25">
        <f t="shared" si="33"/>
        <v>-0.73508556301408712</v>
      </c>
      <c r="O17" s="25">
        <f t="shared" si="33"/>
        <v>-0.42140210006176659</v>
      </c>
      <c r="P17" s="25">
        <f t="shared" si="33"/>
        <v>-0.39633262260127933</v>
      </c>
      <c r="Q17" s="25">
        <f t="shared" si="33"/>
        <v>-3.2658823529411851E-2</v>
      </c>
      <c r="R17" s="25">
        <f t="shared" si="33"/>
        <v>0.89578872234118512</v>
      </c>
      <c r="S17" s="25">
        <f t="shared" si="33"/>
        <v>0.22026510096966478</v>
      </c>
      <c r="T17" s="25">
        <f t="shared" si="33"/>
        <v>0.11486295563718585</v>
      </c>
      <c r="U17" s="25">
        <f t="shared" si="33"/>
        <v>0.15411558669001768</v>
      </c>
      <c r="V17" s="25">
        <f t="shared" si="33"/>
        <v>9.9679969879517882E-2</v>
      </c>
      <c r="W17" s="25">
        <f t="shared" si="33"/>
        <v>1.3341109572063914E-2</v>
      </c>
      <c r="X17" s="25">
        <f t="shared" si="33"/>
        <v>-3.4596375617792496E-2</v>
      </c>
      <c r="Y17" s="25">
        <f t="shared" si="33"/>
        <v>8.6578991738324174E-2</v>
      </c>
      <c r="Z17" s="25">
        <f t="shared" si="33"/>
        <v>0.15689463322776676</v>
      </c>
      <c r="AA17" s="25">
        <f t="shared" si="33"/>
        <v>0.18086330935251804</v>
      </c>
      <c r="AB17" s="25">
        <f>AB3/X3-1</f>
        <v>0.13389341034392221</v>
      </c>
      <c r="AC17" s="25">
        <f t="shared" ref="AC17:AD17" si="34">AC3/Y3-1</f>
        <v>6.0000000000000053E-2</v>
      </c>
      <c r="AD17" s="25">
        <f t="shared" si="34"/>
        <v>4.0000000000000036E-2</v>
      </c>
      <c r="AM17" s="25">
        <f>AM3/AL3-1</f>
        <v>-7.9751010853373105E-2</v>
      </c>
      <c r="AN17" s="25">
        <f>AN3/AM3-1</f>
        <v>-0.31656356593628954</v>
      </c>
      <c r="AO17" s="25">
        <f>AO3/AN3-1</f>
        <v>-0.21669176239700882</v>
      </c>
      <c r="AP17" s="25">
        <f>AP3/AO3-1</f>
        <v>0.14568349208406239</v>
      </c>
      <c r="AQ17" s="25">
        <f>AQ3/AP3-1</f>
        <v>4.7074127139733024E-2</v>
      </c>
      <c r="AR17" s="25">
        <f>AR3/AQ3-1</f>
        <v>0.10565132064600924</v>
      </c>
      <c r="AS17" s="25">
        <f>AS3/AR3-1</f>
        <v>0.10000000000000009</v>
      </c>
      <c r="AT17" s="25">
        <f>AT3/AS3-1</f>
        <v>9.000000000000008E-2</v>
      </c>
      <c r="AU17" s="25">
        <f>AU3/AT3-1</f>
        <v>8.0000000000000071E-2</v>
      </c>
      <c r="AV17" s="25">
        <f>AV3/AU3-1</f>
        <v>7.0000000000000062E-2</v>
      </c>
    </row>
    <row r="18" spans="2:52" x14ac:dyDescent="0.25">
      <c r="B18" s="12" t="s">
        <v>80</v>
      </c>
      <c r="G18" s="25">
        <f t="shared" ref="G18:L18" si="35">G4/C4-1</f>
        <v>-7.4468085106383031E-2</v>
      </c>
      <c r="H18" s="25">
        <f t="shared" si="35"/>
        <v>-6.6543077373402371E-2</v>
      </c>
      <c r="I18" s="25">
        <f t="shared" si="35"/>
        <v>-8.7529237966268547E-2</v>
      </c>
      <c r="J18" s="25">
        <f t="shared" si="35"/>
        <v>-0.10809906291834004</v>
      </c>
      <c r="K18" s="25">
        <f t="shared" si="35"/>
        <v>-8.7381040662464549E-2</v>
      </c>
      <c r="L18" s="25">
        <f t="shared" si="35"/>
        <v>-0.10180829936239166</v>
      </c>
      <c r="M18" s="25">
        <f>M4/I4-1</f>
        <v>-0.37830545062061527</v>
      </c>
      <c r="N18" s="25">
        <f t="shared" ref="N18:AD18" si="36">N4/J4-1</f>
        <v>-0.57948717948717943</v>
      </c>
      <c r="O18" s="25">
        <f t="shared" si="36"/>
        <v>-0.37039544962080173</v>
      </c>
      <c r="P18" s="25">
        <f t="shared" si="36"/>
        <v>-0.32037705108809489</v>
      </c>
      <c r="Q18" s="25">
        <f t="shared" si="36"/>
        <v>-0.14995659722222232</v>
      </c>
      <c r="R18" s="25">
        <f t="shared" si="36"/>
        <v>0.25252825698988701</v>
      </c>
      <c r="S18" s="25">
        <f t="shared" si="36"/>
        <v>8.5824908582490922E-2</v>
      </c>
      <c r="T18" s="25">
        <f t="shared" si="36"/>
        <v>-3.9212328767123217E-2</v>
      </c>
      <c r="U18" s="25">
        <f t="shared" si="36"/>
        <v>8.0163390349757613E-2</v>
      </c>
      <c r="V18" s="25">
        <f t="shared" si="36"/>
        <v>5.9605794348135843E-2</v>
      </c>
      <c r="W18" s="25">
        <f t="shared" si="36"/>
        <v>-6.9334389857369505E-3</v>
      </c>
      <c r="X18" s="25">
        <f t="shared" si="36"/>
        <v>-6.3803243628586803E-2</v>
      </c>
      <c r="Y18" s="25">
        <f t="shared" si="36"/>
        <v>0.12999290947766484</v>
      </c>
      <c r="Z18" s="25">
        <f t="shared" si="36"/>
        <v>0.12528014343343807</v>
      </c>
      <c r="AA18" s="25">
        <f t="shared" si="36"/>
        <v>0.19589068422102529</v>
      </c>
      <c r="AB18" s="25">
        <f t="shared" si="36"/>
        <v>0.14886731391585761</v>
      </c>
      <c r="AC18" s="25">
        <f t="shared" si="36"/>
        <v>3.0000000000000027E-2</v>
      </c>
      <c r="AD18" s="25">
        <f t="shared" si="36"/>
        <v>2.0000000000000018E-2</v>
      </c>
      <c r="AM18" s="25">
        <f>AM4/AL4-1</f>
        <v>-8.3513498530960795E-2</v>
      </c>
      <c r="AN18" s="25">
        <f t="shared" ref="AN18:AV18" si="37">AN4/AM4-1</f>
        <v>-0.27575986692877674</v>
      </c>
      <c r="AO18" s="25">
        <f t="shared" si="37"/>
        <v>-0.22257485279993305</v>
      </c>
      <c r="AP18" s="25">
        <f t="shared" si="37"/>
        <v>3.9480045120051432E-2</v>
      </c>
      <c r="AQ18" s="25">
        <f t="shared" si="37"/>
        <v>3.6998759818106519E-2</v>
      </c>
      <c r="AR18" s="25">
        <f>AR4/AQ4-1</f>
        <v>0.10005232210484372</v>
      </c>
      <c r="AS18" s="25">
        <f t="shared" si="37"/>
        <v>9.000000000000008E-2</v>
      </c>
      <c r="AT18" s="25">
        <f t="shared" si="37"/>
        <v>8.0000000000000071E-2</v>
      </c>
      <c r="AU18" s="25">
        <f t="shared" si="37"/>
        <v>7.0000000000000062E-2</v>
      </c>
      <c r="AV18" s="25">
        <f t="shared" si="37"/>
        <v>6.0000000000000053E-2</v>
      </c>
    </row>
    <row r="19" spans="2:52" x14ac:dyDescent="0.25">
      <c r="B19" s="12" t="s">
        <v>43</v>
      </c>
      <c r="G19" s="25">
        <f t="shared" ref="G19:AA19" si="38">G5/C5-1</f>
        <v>-0.10402463162524767</v>
      </c>
      <c r="H19" s="25">
        <f t="shared" si="38"/>
        <v>-3.6088547156941764E-2</v>
      </c>
      <c r="I19" s="25">
        <f t="shared" si="38"/>
        <v>-0.11415201361315941</v>
      </c>
      <c r="J19" s="25">
        <f t="shared" si="38"/>
        <v>-6.2081254454739776E-2</v>
      </c>
      <c r="K19" s="25">
        <f t="shared" si="38"/>
        <v>-1.4563901161839032E-2</v>
      </c>
      <c r="L19" s="25">
        <f t="shared" si="38"/>
        <v>-4.425860405274995E-2</v>
      </c>
      <c r="M19" s="25">
        <f t="shared" si="38"/>
        <v>-0.51840883624139578</v>
      </c>
      <c r="N19" s="25">
        <f t="shared" si="38"/>
        <v>-0.82962231172581502</v>
      </c>
      <c r="O19" s="25">
        <f t="shared" si="38"/>
        <v>-0.45267353038857527</v>
      </c>
      <c r="P19" s="25">
        <f t="shared" si="38"/>
        <v>-0.44026384869085289</v>
      </c>
      <c r="Q19" s="25">
        <f t="shared" si="38"/>
        <v>5.7171347847764453E-2</v>
      </c>
      <c r="R19" s="25">
        <f t="shared" si="38"/>
        <v>1.8603925066904554</v>
      </c>
      <c r="S19" s="25">
        <f t="shared" si="38"/>
        <v>0.3150788834951459</v>
      </c>
      <c r="T19" s="25">
        <f t="shared" si="38"/>
        <v>0.22306397306397319</v>
      </c>
      <c r="U19" s="25">
        <f t="shared" si="38"/>
        <v>0.19965414243043567</v>
      </c>
      <c r="V19" s="25">
        <f t="shared" si="38"/>
        <v>0.12599407453609834</v>
      </c>
      <c r="W19" s="25">
        <f t="shared" si="38"/>
        <v>2.5147075787288031E-2</v>
      </c>
      <c r="X19" s="25">
        <f t="shared" si="38"/>
        <v>-1.8483924884475589E-2</v>
      </c>
      <c r="Y19" s="25">
        <f t="shared" si="38"/>
        <v>6.2508190276503894E-2</v>
      </c>
      <c r="Z19" s="25">
        <f t="shared" si="38"/>
        <v>0.17642985736047634</v>
      </c>
      <c r="AA19" s="25">
        <f t="shared" si="38"/>
        <v>0.17238663215933392</v>
      </c>
      <c r="AB19" s="25">
        <f>AB5/X5-1</f>
        <v>0.12601422418110775</v>
      </c>
      <c r="AC19" s="25">
        <f>AC5/Y5-1</f>
        <v>7.7689935865811632E-2</v>
      </c>
      <c r="AD19" s="25">
        <f>AD5/Z5-1</f>
        <v>5.1821071218363768E-2</v>
      </c>
      <c r="AM19" s="25">
        <f>AM5/AL5-1</f>
        <v>-7.7406652619944061E-2</v>
      </c>
      <c r="AN19" s="25">
        <f>AN5/AM5-1</f>
        <v>-0.34181954324223141</v>
      </c>
      <c r="AO19" s="25">
        <f>AO5/AN5-1</f>
        <v>-0.21268486916951101</v>
      </c>
      <c r="AP19" s="25">
        <f>AP5/AO5-1</f>
        <v>0.21710859041976782</v>
      </c>
      <c r="AQ19" s="25">
        <f>AQ5/AP5-1</f>
        <v>5.286121334441396E-2</v>
      </c>
      <c r="AR19" s="25">
        <f>AR5/AQ5-1</f>
        <v>0.10881881994756548</v>
      </c>
      <c r="AS19" s="25">
        <f>AS5/AR5-1</f>
        <v>0.10561253325123143</v>
      </c>
      <c r="AT19" s="25">
        <f>AT5/AS5-1</f>
        <v>9.5533277762194002E-2</v>
      </c>
      <c r="AU19" s="25">
        <f>AU5/AT5-1</f>
        <v>8.5454822874369007E-2</v>
      </c>
      <c r="AV19" s="25">
        <f>AV5/AU5-1</f>
        <v>7.5377156517780097E-2</v>
      </c>
      <c r="AY19" s="18" t="s">
        <v>68</v>
      </c>
      <c r="AZ19" s="24">
        <v>-0.01</v>
      </c>
    </row>
    <row r="20" spans="2:52" x14ac:dyDescent="0.25">
      <c r="B20" s="12" t="s">
        <v>44</v>
      </c>
      <c r="G20" s="25">
        <f t="shared" ref="G20:AA20" si="39">G7/C7-1</f>
        <v>-5.7761732851985492E-2</v>
      </c>
      <c r="H20" s="25">
        <f t="shared" si="39"/>
        <v>-2.6682838083687099E-2</v>
      </c>
      <c r="I20" s="25">
        <f t="shared" si="39"/>
        <v>-0.14469479066794499</v>
      </c>
      <c r="J20" s="25">
        <f t="shared" si="39"/>
        <v>-0.13461232287852265</v>
      </c>
      <c r="K20" s="25">
        <f t="shared" si="39"/>
        <v>-4.4284059520627306E-2</v>
      </c>
      <c r="L20" s="25">
        <f t="shared" si="39"/>
        <v>-6.3395638629283546E-2</v>
      </c>
      <c r="M20" s="25">
        <f t="shared" si="39"/>
        <v>-0.29201307800093412</v>
      </c>
      <c r="N20" s="25">
        <f t="shared" si="39"/>
        <v>-0.41228957777573361</v>
      </c>
      <c r="O20" s="25">
        <f t="shared" si="39"/>
        <v>-0.45608801044191682</v>
      </c>
      <c r="P20" s="25">
        <f t="shared" si="39"/>
        <v>-0.46657242640944618</v>
      </c>
      <c r="Q20" s="25">
        <f t="shared" si="39"/>
        <v>-0.28011611030478945</v>
      </c>
      <c r="R20" s="25">
        <f t="shared" si="39"/>
        <v>-7.2311785881984503E-2</v>
      </c>
      <c r="S20" s="25">
        <f t="shared" si="39"/>
        <v>0.33064792595131975</v>
      </c>
      <c r="T20" s="25">
        <f t="shared" si="39"/>
        <v>0.1206547155105222</v>
      </c>
      <c r="U20" s="25">
        <f t="shared" si="39"/>
        <v>0.20839442815249254</v>
      </c>
      <c r="V20" s="25">
        <f t="shared" si="39"/>
        <v>0.22625274169056842</v>
      </c>
      <c r="W20" s="25">
        <f t="shared" si="39"/>
        <v>-0.13602988535360028</v>
      </c>
      <c r="X20" s="25">
        <f t="shared" si="39"/>
        <v>4.9241897343163199E-2</v>
      </c>
      <c r="Y20" s="25">
        <f t="shared" si="39"/>
        <v>9.2674048232974426E-2</v>
      </c>
      <c r="Z20" s="25">
        <f t="shared" si="39"/>
        <v>-7.4160704457897575E-2</v>
      </c>
      <c r="AA20" s="25">
        <f t="shared" si="39"/>
        <v>0.14417772476517055</v>
      </c>
      <c r="AB20" s="25">
        <f>AB7/X7-1</f>
        <v>0.10486543815458038</v>
      </c>
      <c r="AC20" s="25">
        <f>AC7/Y7-1</f>
        <v>0.10000000000000009</v>
      </c>
      <c r="AD20" s="25">
        <f>AD7/Z7-1</f>
        <v>0.10000000000000009</v>
      </c>
      <c r="AM20" s="25">
        <f>AM7/AL7-1</f>
        <v>-9.0512345309977982E-2</v>
      </c>
      <c r="AN20" s="25">
        <f>AN7/AM7-1</f>
        <v>-0.1954249654900414</v>
      </c>
      <c r="AO20" s="25">
        <f>AO7/AN7-1</f>
        <v>-0.35642701525054477</v>
      </c>
      <c r="AP20" s="25">
        <f>AP7/AO7-1</f>
        <v>0.21923662830060953</v>
      </c>
      <c r="AQ20" s="25">
        <f>AQ7/AP7-1</f>
        <v>-2.1865130323117987E-2</v>
      </c>
      <c r="AR20" s="25">
        <f>AR7/AQ7-1</f>
        <v>0.11181563353794832</v>
      </c>
      <c r="AS20" s="25">
        <f>AS7/AR7-1</f>
        <v>5.0000000000000044E-2</v>
      </c>
      <c r="AT20" s="25">
        <f>AT7/AS7-1</f>
        <v>5.0000000000000044E-2</v>
      </c>
      <c r="AU20" s="25">
        <f>AU7/AT7-1</f>
        <v>5.0000000000000044E-2</v>
      </c>
      <c r="AV20" s="25">
        <f>AV7/AU7-1</f>
        <v>5.0000000000000044E-2</v>
      </c>
      <c r="AY20" s="18" t="s">
        <v>69</v>
      </c>
      <c r="AZ20" s="27">
        <f>WACC!C18</f>
        <v>8.3341765758214809E-2</v>
      </c>
    </row>
    <row r="21" spans="2:52" x14ac:dyDescent="0.25">
      <c r="B21" s="12" t="s">
        <v>45</v>
      </c>
      <c r="G21" s="25">
        <f t="shared" ref="G21:AA21" si="40">G8/C8-1</f>
        <v>-0.42254335260115761</v>
      </c>
      <c r="H21" s="25">
        <f t="shared" si="40"/>
        <v>-7.8364565587734303E-2</v>
      </c>
      <c r="I21" s="25">
        <f t="shared" si="40"/>
        <v>0.12657430730478536</v>
      </c>
      <c r="J21" s="25">
        <f t="shared" si="40"/>
        <v>0.55858310626703167</v>
      </c>
      <c r="K21" s="25">
        <f t="shared" si="40"/>
        <v>0.31931931931932289</v>
      </c>
      <c r="L21" s="25">
        <f t="shared" si="40"/>
        <v>4.6580406654345152E-2</v>
      </c>
      <c r="M21" s="25">
        <f t="shared" si="40"/>
        <v>-1.8731134712129685</v>
      </c>
      <c r="N21" s="25">
        <f t="shared" si="40"/>
        <v>-2.8124999999999982</v>
      </c>
      <c r="O21" s="25">
        <f t="shared" si="40"/>
        <v>-0.42488619119878723</v>
      </c>
      <c r="P21" s="25">
        <f t="shared" si="40"/>
        <v>-0.32850582832921293</v>
      </c>
      <c r="Q21" s="25">
        <f t="shared" si="40"/>
        <v>-1.5793854033290649</v>
      </c>
      <c r="R21" s="25">
        <f t="shared" si="40"/>
        <v>-1.1171931516759104</v>
      </c>
      <c r="S21" s="25">
        <f t="shared" si="40"/>
        <v>0.19525065963060939</v>
      </c>
      <c r="T21" s="25">
        <f t="shared" si="40"/>
        <v>0.56864807995791788</v>
      </c>
      <c r="U21" s="25">
        <f t="shared" si="40"/>
        <v>0.14696132596685296</v>
      </c>
      <c r="V21" s="25">
        <f t="shared" si="40"/>
        <v>-1.0967078189300421</v>
      </c>
      <c r="W21" s="25">
        <f t="shared" si="40"/>
        <v>1.4061810154525349</v>
      </c>
      <c r="X21" s="25">
        <f t="shared" si="40"/>
        <v>-0.18175720992622413</v>
      </c>
      <c r="Y21" s="25">
        <f t="shared" si="40"/>
        <v>-0.12909441233140628</v>
      </c>
      <c r="Z21" s="25">
        <f t="shared" si="40"/>
        <v>-38.574468085105998</v>
      </c>
      <c r="AA21" s="25">
        <f t="shared" si="40"/>
        <v>0.25917431192660612</v>
      </c>
      <c r="AB21" s="25">
        <f>AB8/X8-1</f>
        <v>0.19139344262295044</v>
      </c>
      <c r="AC21" s="25">
        <f>AC8/Y8-1</f>
        <v>-0.10009955752212352</v>
      </c>
      <c r="AD21" s="25">
        <f>AD8/Z8-1</f>
        <v>-0.13175537938844872</v>
      </c>
      <c r="AM21" s="25">
        <f>AM8/AL8-1</f>
        <v>7.7710141173434888E-3</v>
      </c>
      <c r="AN21" s="25">
        <f>AN8/AM8-1</f>
        <v>-1.2004883691042281</v>
      </c>
      <c r="AO21" s="25">
        <f>AO8/AN8-1</f>
        <v>-3.5961538461538431</v>
      </c>
      <c r="AP21" s="25">
        <f>AP8/AO8-1</f>
        <v>0.20469135802469407</v>
      </c>
      <c r="AQ21" s="25">
        <f>AQ8/AP8-1</f>
        <v>0.4941586390653816</v>
      </c>
      <c r="AR21" s="25">
        <f>AR8/AQ8-1</f>
        <v>9.7233196159121738E-2</v>
      </c>
      <c r="AS21" s="25">
        <f>AS8/AR8-1</f>
        <v>0.32346686952966985</v>
      </c>
      <c r="AT21" s="25">
        <f>AT8/AS8-1</f>
        <v>0.23704703766554669</v>
      </c>
      <c r="AU21" s="25">
        <f>AU8/AT8-1</f>
        <v>0.17898422558095861</v>
      </c>
      <c r="AV21" s="25">
        <f>AV8/AU8-1</f>
        <v>0.13499786104976308</v>
      </c>
      <c r="AY21" s="18" t="s">
        <v>70</v>
      </c>
      <c r="AZ21" s="12">
        <f>NPV(AZ20,AQ13:KI13)</f>
        <v>11961.810451490417</v>
      </c>
    </row>
    <row r="22" spans="2:52" x14ac:dyDescent="0.25">
      <c r="B22" s="12" t="s">
        <v>46</v>
      </c>
      <c r="G22" s="25">
        <f t="shared" ref="G22:AA22" si="41">G13/C13-1</f>
        <v>-0.13265306122449227</v>
      </c>
      <c r="H22" s="25">
        <f t="shared" si="41"/>
        <v>-0.49725622625580468</v>
      </c>
      <c r="I22" s="25">
        <f t="shared" si="41"/>
        <v>0.14615384615384497</v>
      </c>
      <c r="J22" s="25">
        <f t="shared" si="41"/>
        <v>1.7104377104377155</v>
      </c>
      <c r="K22" s="25">
        <f t="shared" si="41"/>
        <v>-0.43800904977375343</v>
      </c>
      <c r="L22" s="25">
        <f t="shared" si="41"/>
        <v>0.94206549118388416</v>
      </c>
      <c r="M22" s="25">
        <f t="shared" si="41"/>
        <v>-2.7953020134228206</v>
      </c>
      <c r="N22" s="25">
        <f t="shared" si="41"/>
        <v>-2.2161490683229799</v>
      </c>
      <c r="O22" s="25">
        <f t="shared" si="41"/>
        <v>3.257648953301115</v>
      </c>
      <c r="P22" s="25">
        <f t="shared" si="41"/>
        <v>-0.33376567228707377</v>
      </c>
      <c r="Q22" s="25">
        <f t="shared" si="41"/>
        <v>-1.7595015576323982</v>
      </c>
      <c r="R22" s="25">
        <f t="shared" si="41"/>
        <v>-0.21041879468845748</v>
      </c>
      <c r="S22" s="25">
        <f t="shared" si="41"/>
        <v>0.14334341906202797</v>
      </c>
      <c r="T22" s="25">
        <f t="shared" si="41"/>
        <v>1.0382868267358876</v>
      </c>
      <c r="U22" s="25">
        <f t="shared" si="41"/>
        <v>-0.17145200984413322</v>
      </c>
      <c r="V22" s="25">
        <f t="shared" si="41"/>
        <v>0.34799482535575721</v>
      </c>
      <c r="W22" s="25">
        <f t="shared" si="41"/>
        <v>-0.40258021832616631</v>
      </c>
      <c r="X22" s="25">
        <f t="shared" si="41"/>
        <v>-8.9143584845590929E-2</v>
      </c>
      <c r="Y22" s="25">
        <f t="shared" si="41"/>
        <v>0.57128712871287113</v>
      </c>
      <c r="Z22" s="25">
        <f t="shared" si="41"/>
        <v>-1.398752399232245</v>
      </c>
      <c r="AA22" s="25">
        <f t="shared" si="41"/>
        <v>-0.51716500553709799</v>
      </c>
      <c r="AB22" s="25">
        <f>AB13/X13-1</f>
        <v>-0.16113247116392893</v>
      </c>
      <c r="AC22" s="25">
        <f>AC13/Y13-1</f>
        <v>-0.64481858853182072</v>
      </c>
      <c r="AD22" s="25">
        <f>AD13/Z13-1</f>
        <v>0.36260264741275594</v>
      </c>
      <c r="AM22" s="25">
        <f>AM13/AL13-1</f>
        <v>-4.3252940003984497E-2</v>
      </c>
      <c r="AN22" s="25">
        <f>AN13/AM13-1</f>
        <v>-1.1310416666666665</v>
      </c>
      <c r="AO22" s="25">
        <f>AO13/AN13-1</f>
        <v>-7.1335453100158928</v>
      </c>
      <c r="AP22" s="25">
        <f>AP13/AO13-1</f>
        <v>0.31933644375324333</v>
      </c>
      <c r="AQ22" s="25">
        <f>AQ13/AP13-1</f>
        <v>0.39194499017681639</v>
      </c>
      <c r="AR22" s="25">
        <f>AR13/AQ13-1</f>
        <v>-0.29880088920254055</v>
      </c>
      <c r="AS22" s="25">
        <f>AS13/AR13-1</f>
        <v>0.44011916817883012</v>
      </c>
      <c r="AT22" s="25">
        <f>AT13/AS13-1</f>
        <v>0.2686441311009149</v>
      </c>
      <c r="AU22" s="25">
        <f>AU13/AT13-1</f>
        <v>0.19701782360262921</v>
      </c>
      <c r="AV22" s="25">
        <f>AV13/AU13-1</f>
        <v>0.14542205452041679</v>
      </c>
      <c r="AY22" s="18" t="s">
        <v>71</v>
      </c>
      <c r="AZ22" s="19">
        <f>Main!C8-Main!C9</f>
        <v>-3241.8</v>
      </c>
    </row>
    <row r="23" spans="2:52" x14ac:dyDescent="0.25">
      <c r="B23" s="12" t="s">
        <v>47</v>
      </c>
      <c r="G23" s="25">
        <f t="shared" ref="G23:AA23" si="42">G14/C14-1</f>
        <v>2.938819129040704E-3</v>
      </c>
      <c r="H23" s="25">
        <f t="shared" si="42"/>
        <v>-2.1256808821575879E-3</v>
      </c>
      <c r="I23" s="25">
        <f t="shared" si="42"/>
        <v>1.7331022530329143E-3</v>
      </c>
      <c r="J23" s="25">
        <f t="shared" si="42"/>
        <v>1.3322675193179201E-3</v>
      </c>
      <c r="K23" s="25">
        <f t="shared" si="42"/>
        <v>1.0788492274906858E-2</v>
      </c>
      <c r="L23" s="25">
        <f t="shared" si="42"/>
        <v>9.3196644920783278E-3</v>
      </c>
      <c r="M23" s="25">
        <f t="shared" si="42"/>
        <v>1.2509981368112877E-2</v>
      </c>
      <c r="N23" s="25">
        <f t="shared" si="42"/>
        <v>1.5566790846194722E-2</v>
      </c>
      <c r="O23" s="25">
        <f t="shared" si="42"/>
        <v>0.20793253393068922</v>
      </c>
      <c r="P23" s="25">
        <f t="shared" si="42"/>
        <v>8.574066745811848E-3</v>
      </c>
      <c r="Q23" s="25">
        <f t="shared" si="42"/>
        <v>6.0462670872765134E-3</v>
      </c>
      <c r="R23" s="25">
        <f t="shared" si="42"/>
        <v>2.7512118433119515E-3</v>
      </c>
      <c r="S23" s="25">
        <f t="shared" si="42"/>
        <v>-0.14072215555797973</v>
      </c>
      <c r="T23" s="25">
        <f t="shared" si="42"/>
        <v>0.10214491237248247</v>
      </c>
      <c r="U23" s="25">
        <f t="shared" si="42"/>
        <v>0.11431931016461983</v>
      </c>
      <c r="V23" s="25">
        <f t="shared" si="42"/>
        <v>9.5374967337339855E-2</v>
      </c>
      <c r="W23" s="25">
        <f t="shared" si="42"/>
        <v>0.11996953154754353</v>
      </c>
      <c r="X23" s="25">
        <f t="shared" si="42"/>
        <v>5.2331790672837109E-2</v>
      </c>
      <c r="Y23" s="25">
        <f t="shared" si="42"/>
        <v>1.4421385860007074E-2</v>
      </c>
      <c r="Z23" s="25">
        <f t="shared" si="42"/>
        <v>3.1369274809160297E-2</v>
      </c>
      <c r="AA23" s="25">
        <f t="shared" si="42"/>
        <v>-3.1625481750170104E-2</v>
      </c>
      <c r="AB23" s="25">
        <f>AB14/X14-1</f>
        <v>4.0595399188092074E-2</v>
      </c>
      <c r="AC23" s="25">
        <f>AC14/Y14-1</f>
        <v>5.0000000000000044E-2</v>
      </c>
      <c r="AD23" s="25">
        <f>AD14/Z14-1</f>
        <v>5.0000000000000044E-2</v>
      </c>
      <c r="AM23" s="25">
        <f t="shared" ref="AM23:AO23" si="43">AM14/AL14-1</f>
        <v>1.3322675193179201E-3</v>
      </c>
      <c r="AN23" s="25">
        <f t="shared" si="43"/>
        <v>1.5566790846194722E-2</v>
      </c>
      <c r="AO23" s="25">
        <f t="shared" si="43"/>
        <v>2.7512118433119515E-3</v>
      </c>
      <c r="AP23" s="25">
        <f>AP14/AO14-1</f>
        <v>9.5374967337339855E-2</v>
      </c>
      <c r="AQ23" s="25">
        <f>AQ14/AP14-1</f>
        <v>3.1369274809160297E-2</v>
      </c>
      <c r="AR23" s="25">
        <f>AR14/AQ14-1</f>
        <v>5.0000000000000044E-2</v>
      </c>
      <c r="AS23" s="25">
        <f t="shared" ref="AR23:AV23" si="44">AS14/AR14-1</f>
        <v>1.0000000000000009E-2</v>
      </c>
      <c r="AT23" s="25">
        <f t="shared" si="44"/>
        <v>1.0000000000000009E-2</v>
      </c>
      <c r="AU23" s="25">
        <f t="shared" si="44"/>
        <v>1.0000000000000009E-2</v>
      </c>
      <c r="AV23" s="25">
        <f t="shared" si="44"/>
        <v>1.0000000000000009E-2</v>
      </c>
      <c r="AY23" s="19" t="s">
        <v>72</v>
      </c>
      <c r="AZ23" s="19">
        <f>AZ21+AZ22</f>
        <v>8720.010451490416</v>
      </c>
    </row>
    <row r="24" spans="2:52" x14ac:dyDescent="0.25">
      <c r="B24" s="12" t="s">
        <v>48</v>
      </c>
      <c r="C24" s="25">
        <f t="shared" ref="C24:AB24" si="45">C5/C3</f>
        <v>0.6094357324755395</v>
      </c>
      <c r="D24" s="25">
        <f t="shared" si="45"/>
        <v>0.61142705489839244</v>
      </c>
      <c r="E24" s="25">
        <f t="shared" si="45"/>
        <v>0.63454357313177667</v>
      </c>
      <c r="F24" s="25">
        <f t="shared" si="45"/>
        <v>0.61015917195790204</v>
      </c>
      <c r="G24" s="25">
        <f t="shared" si="45"/>
        <v>0.60168365086397868</v>
      </c>
      <c r="H24" s="25">
        <f t="shared" si="45"/>
        <v>0.61902676011468616</v>
      </c>
      <c r="I24" s="25">
        <f t="shared" si="45"/>
        <v>0.62764995478750119</v>
      </c>
      <c r="J24" s="25">
        <f t="shared" si="45"/>
        <v>0.62205729412876998</v>
      </c>
      <c r="K24" s="25">
        <f t="shared" si="45"/>
        <v>0.61992999794111603</v>
      </c>
      <c r="L24" s="25">
        <f t="shared" si="45"/>
        <v>0.6335607675906183</v>
      </c>
      <c r="M24" s="25">
        <f t="shared" si="45"/>
        <v>0.56630588235294121</v>
      </c>
      <c r="N24" s="25">
        <f t="shared" si="45"/>
        <v>0.40007137758743755</v>
      </c>
      <c r="O24" s="25">
        <f t="shared" si="45"/>
        <v>0.58642469531180497</v>
      </c>
      <c r="P24" s="25">
        <f t="shared" si="45"/>
        <v>0.58745408307431479</v>
      </c>
      <c r="Q24" s="25">
        <f t="shared" si="45"/>
        <v>0.61889472660050593</v>
      </c>
      <c r="R24" s="25">
        <f t="shared" si="45"/>
        <v>0.60363328313253017</v>
      </c>
      <c r="S24" s="25">
        <f t="shared" si="45"/>
        <v>0.63198950207771387</v>
      </c>
      <c r="T24" s="25">
        <f t="shared" si="45"/>
        <v>0.64446838170067167</v>
      </c>
      <c r="U24" s="25">
        <f t="shared" si="45"/>
        <v>0.64331478671387621</v>
      </c>
      <c r="V24" s="25">
        <f t="shared" si="45"/>
        <v>0.61807754857485231</v>
      </c>
      <c r="W24" s="25">
        <f t="shared" si="45"/>
        <v>0.63935251798561155</v>
      </c>
      <c r="X24" s="25">
        <f t="shared" si="45"/>
        <v>0.65522446836440007</v>
      </c>
      <c r="Y24" s="25">
        <f t="shared" si="45"/>
        <v>0.62906354255566765</v>
      </c>
      <c r="Z24" s="25">
        <f t="shared" si="45"/>
        <v>0.62851435335898187</v>
      </c>
      <c r="AA24" s="25">
        <f t="shared" si="45"/>
        <v>0.63476300718898504</v>
      </c>
      <c r="AB24" s="25">
        <f>AB5/AB3</f>
        <v>0.65067145172493634</v>
      </c>
      <c r="AC24" s="25">
        <f>AC5/AC3</f>
        <v>0.63956174418145062</v>
      </c>
      <c r="AD24" s="25">
        <f>AD5/AD3</f>
        <v>0.63565830810207846</v>
      </c>
      <c r="AM24" s="25">
        <f>AM5/AM3</f>
        <v>0.61767936636410936</v>
      </c>
      <c r="AN24" s="25">
        <f>AN5/AN3</f>
        <v>0.59485340145837218</v>
      </c>
      <c r="AO24" s="25">
        <f>AO5/AO3</f>
        <v>0.59789628285708107</v>
      </c>
      <c r="AP24" s="25">
        <f>AP5/AP3</f>
        <v>0.6351708015986729</v>
      </c>
      <c r="AQ24" s="25">
        <f>AQ5/AQ3</f>
        <v>0.6386813345096416</v>
      </c>
      <c r="AR24" s="25">
        <f>AR5/AR3</f>
        <v>0.6405110457786467</v>
      </c>
      <c r="AS24" s="25">
        <f>AS5/AS3</f>
        <v>0.64377912718065911</v>
      </c>
      <c r="AT24" s="25">
        <f>AT5/AT3</f>
        <v>0.6470472085826714</v>
      </c>
      <c r="AU24" s="25">
        <f>AU5/AU3</f>
        <v>0.65031528998468369</v>
      </c>
      <c r="AV24" s="25">
        <f>AV5/AV3</f>
        <v>0.65358337138669609</v>
      </c>
      <c r="AY24" s="19" t="s">
        <v>73</v>
      </c>
      <c r="AZ24" s="28">
        <f>AZ23/Main!C6</f>
        <v>9.4495128429675077</v>
      </c>
    </row>
    <row r="25" spans="2:52" x14ac:dyDescent="0.25">
      <c r="B25" s="12" t="s">
        <v>49</v>
      </c>
      <c r="C25" s="25">
        <f t="shared" ref="C25:AB25" si="46">C8/C3</f>
        <v>7.7290801054371722E-2</v>
      </c>
      <c r="D25" s="25">
        <f t="shared" si="46"/>
        <v>0.11127540188049734</v>
      </c>
      <c r="E25" s="25">
        <f t="shared" si="46"/>
        <v>7.1444639402528445E-2</v>
      </c>
      <c r="F25" s="25">
        <f t="shared" si="46"/>
        <v>6.384274158476122E-2</v>
      </c>
      <c r="G25" s="25">
        <f t="shared" si="46"/>
        <v>4.9180327868852396E-2</v>
      </c>
      <c r="H25" s="25">
        <f t="shared" si="46"/>
        <v>0.10771742593182534</v>
      </c>
      <c r="I25" s="25">
        <f t="shared" si="46"/>
        <v>8.9872400281322151E-2</v>
      </c>
      <c r="J25" s="25">
        <f t="shared" si="46"/>
        <v>0.10815921338753907</v>
      </c>
      <c r="K25" s="25">
        <f t="shared" si="46"/>
        <v>6.7840230595017592E-2</v>
      </c>
      <c r="L25" s="25">
        <f t="shared" si="46"/>
        <v>0.12072494669509601</v>
      </c>
      <c r="M25" s="25">
        <f t="shared" si="46"/>
        <v>-0.14701176470588229</v>
      </c>
      <c r="N25" s="25">
        <f t="shared" si="46"/>
        <v>-0.74000713775874372</v>
      </c>
      <c r="O25" s="25">
        <f t="shared" si="46"/>
        <v>6.7431723156302789E-2</v>
      </c>
      <c r="P25" s="25">
        <f t="shared" si="46"/>
        <v>0.13428934727324096</v>
      </c>
      <c r="Q25" s="25">
        <f t="shared" si="46"/>
        <v>8.8052150223778838E-2</v>
      </c>
      <c r="R25" s="25">
        <f t="shared" si="46"/>
        <v>4.5745481927710864E-2</v>
      </c>
      <c r="S25" s="25">
        <f t="shared" si="46"/>
        <v>6.6049427717431025E-2</v>
      </c>
      <c r="T25" s="25">
        <f t="shared" si="46"/>
        <v>0.1889494360664048</v>
      </c>
      <c r="U25" s="25">
        <f t="shared" si="46"/>
        <v>8.7506322711178613E-2</v>
      </c>
      <c r="V25" s="25">
        <f t="shared" si="46"/>
        <v>-4.0229393135325225E-3</v>
      </c>
      <c r="W25" s="25">
        <f t="shared" si="46"/>
        <v>0.15683453237410072</v>
      </c>
      <c r="X25" s="25">
        <f t="shared" si="46"/>
        <v>0.1601470202152796</v>
      </c>
      <c r="Y25" s="25">
        <f t="shared" si="46"/>
        <v>7.013732640235866E-2</v>
      </c>
      <c r="Z25" s="25">
        <f t="shared" si="46"/>
        <v>0.1306599585676235</v>
      </c>
      <c r="AA25" s="25">
        <f t="shared" si="46"/>
        <v>0.16723528695016454</v>
      </c>
      <c r="AB25" s="25">
        <f>AB8/AB3</f>
        <v>0.16826811761981939</v>
      </c>
      <c r="AC25" s="25">
        <f>AC8/AC3</f>
        <v>5.9543972701601708E-2</v>
      </c>
      <c r="AD25" s="25">
        <f>AD8/AD3</f>
        <v>0.1090815443804493</v>
      </c>
      <c r="AM25" s="25">
        <f>AM8/AM3</f>
        <v>8.9969358848355246E-2</v>
      </c>
      <c r="AN25" s="25">
        <f>AN8/AN3</f>
        <v>-2.6392813033989208E-2</v>
      </c>
      <c r="AO25" s="25">
        <f>AO8/AO3</f>
        <v>8.7474891466338273E-2</v>
      </c>
      <c r="AP25" s="25">
        <f>AP8/AP3</f>
        <v>9.1980242817283855E-2</v>
      </c>
      <c r="AQ25" s="25">
        <f>AQ8/AQ3</f>
        <v>0.13125438864982633</v>
      </c>
      <c r="AR25" s="25">
        <f>AR8/AR3</f>
        <v>0.13025505390254002</v>
      </c>
      <c r="AS25" s="25">
        <f>AS8/AS3</f>
        <v>0.15671658948073913</v>
      </c>
      <c r="AT25" s="25">
        <f>AT8/AT3</f>
        <v>0.17785852547724393</v>
      </c>
      <c r="AU25" s="25">
        <f>AU8/AU3</f>
        <v>0.19415962585440705</v>
      </c>
      <c r="AV25" s="25">
        <f>AV8/AV3</f>
        <v>0.20595398135231238</v>
      </c>
      <c r="AY25" s="19" t="s">
        <v>74</v>
      </c>
      <c r="AZ25" s="28">
        <f>Main!C5</f>
        <v>12.67</v>
      </c>
    </row>
    <row r="26" spans="2:52" x14ac:dyDescent="0.25">
      <c r="B26" s="12" t="s">
        <v>50</v>
      </c>
      <c r="C26" s="25">
        <f t="shared" ref="C26:AB26" si="47">C12/C11</f>
        <v>-0.24779627815866745</v>
      </c>
      <c r="D26" s="25">
        <f t="shared" si="47"/>
        <v>-3.4497816593886496E-2</v>
      </c>
      <c r="E26" s="25">
        <f t="shared" si="47"/>
        <v>5.3398058252427209E-2</v>
      </c>
      <c r="F26" s="25">
        <f t="shared" si="47"/>
        <v>6.4566929133858308E-2</v>
      </c>
      <c r="G26" s="25">
        <f t="shared" si="47"/>
        <v>-2.3383685800604326</v>
      </c>
      <c r="H26" s="25">
        <f t="shared" si="47"/>
        <v>0.39665653495440778</v>
      </c>
      <c r="I26" s="25">
        <f t="shared" si="47"/>
        <v>0</v>
      </c>
      <c r="J26" s="25">
        <f t="shared" si="47"/>
        <v>-6.2005277044854819E-2</v>
      </c>
      <c r="K26" s="25">
        <f t="shared" si="47"/>
        <v>-0.18965517241379248</v>
      </c>
      <c r="L26" s="25">
        <f t="shared" si="47"/>
        <v>-9.7769340294257184E-2</v>
      </c>
      <c r="M26" s="25">
        <f t="shared" si="47"/>
        <v>0.271448025419882</v>
      </c>
      <c r="N26" s="25">
        <f t="shared" si="47"/>
        <v>0.57108433734939767</v>
      </c>
      <c r="O26" s="25">
        <f t="shared" si="47"/>
        <v>-12.558974358974389</v>
      </c>
      <c r="P26" s="25">
        <f t="shared" si="47"/>
        <v>-0.36010591350397197</v>
      </c>
      <c r="Q26" s="25">
        <f t="shared" si="47"/>
        <v>-0.18695228821811119</v>
      </c>
      <c r="R26" s="25">
        <f t="shared" si="47"/>
        <v>-6.1244239631336468</v>
      </c>
      <c r="S26" s="25">
        <f t="shared" si="47"/>
        <v>0.2748860638042695</v>
      </c>
      <c r="T26" s="25">
        <f t="shared" si="47"/>
        <v>0.13590096286107287</v>
      </c>
      <c r="U26" s="25">
        <f t="shared" si="47"/>
        <v>4.926108374384233E-3</v>
      </c>
      <c r="V26" s="25">
        <f t="shared" si="47"/>
        <v>-1.4416146083613642E-3</v>
      </c>
      <c r="W26" s="25">
        <f t="shared" si="47"/>
        <v>0.27846584099081101</v>
      </c>
      <c r="X26" s="25">
        <f t="shared" si="47"/>
        <v>0.11942136041859033</v>
      </c>
      <c r="Y26" s="25">
        <f t="shared" si="47"/>
        <v>0.15809018567639249</v>
      </c>
      <c r="Z26" s="25">
        <f t="shared" si="47"/>
        <v>0.34256329113924072</v>
      </c>
      <c r="AA26" s="25">
        <f t="shared" si="47"/>
        <v>0.31928181108508952</v>
      </c>
      <c r="AB26" s="25">
        <f>AB12/AB11</f>
        <v>0.22928709055876695</v>
      </c>
      <c r="AC26" s="25">
        <f>AC12/AC11</f>
        <v>0.21</v>
      </c>
      <c r="AD26" s="25">
        <f>AD12/AD11</f>
        <v>0.21</v>
      </c>
      <c r="AM26" s="25">
        <f>AM12/AM11</f>
        <v>-1.8027571580063632E-2</v>
      </c>
      <c r="AN26" s="25">
        <f>AN12/AN11</f>
        <v>0.84803092534428615</v>
      </c>
      <c r="AO26" s="25">
        <f>AO12/AO11</f>
        <v>-0.80449017773620368</v>
      </c>
      <c r="AP26" s="25">
        <f>AP12/AP11</f>
        <v>0.24458296230335388</v>
      </c>
      <c r="AQ26" s="25">
        <f>AQ12/AQ11</f>
        <v>0.20402201999775299</v>
      </c>
      <c r="AR26" s="25">
        <f>AR12/AR11</f>
        <v>0.24058012819042979</v>
      </c>
      <c r="AS26" s="25">
        <f>AS12/AS11</f>
        <v>0.21</v>
      </c>
      <c r="AT26" s="25">
        <f>AT12/AT11</f>
        <v>0.21</v>
      </c>
      <c r="AU26" s="25">
        <f>AU12/AU11</f>
        <v>0.20999999999999996</v>
      </c>
      <c r="AV26" s="25">
        <f>AV12/AV11</f>
        <v>0.20999999999999996</v>
      </c>
      <c r="AY26" s="26" t="s">
        <v>75</v>
      </c>
      <c r="AZ26" s="29">
        <f>AZ24/AZ25-1</f>
        <v>-0.25418209605623454</v>
      </c>
    </row>
  </sheetData>
  <phoneticPr fontId="4" type="noConversion"/>
  <conditionalFormatting sqref="AZ26">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C18" sqref="C18"/>
    </sheetView>
  </sheetViews>
  <sheetFormatPr defaultRowHeight="14.4" x14ac:dyDescent="0.3"/>
  <cols>
    <col min="2" max="2" width="15.6640625" bestFit="1" customWidth="1"/>
    <col min="4" max="4" width="12.33203125" bestFit="1" customWidth="1"/>
  </cols>
  <sheetData>
    <row r="3" spans="2:4" x14ac:dyDescent="0.3">
      <c r="B3" s="18" t="s">
        <v>7</v>
      </c>
      <c r="C3" s="19">
        <f>Main!C9</f>
        <v>3691.8</v>
      </c>
      <c r="D3" s="18"/>
    </row>
    <row r="4" spans="2:4" x14ac:dyDescent="0.3">
      <c r="B4" s="18" t="s">
        <v>30</v>
      </c>
      <c r="C4" s="19">
        <f>Main!C7</f>
        <v>11691.876</v>
      </c>
      <c r="D4" s="18"/>
    </row>
    <row r="5" spans="2:4" x14ac:dyDescent="0.3">
      <c r="B5" s="18" t="s">
        <v>31</v>
      </c>
      <c r="C5" s="19">
        <f>C3+C4</f>
        <v>15383.675999999999</v>
      </c>
      <c r="D5" s="18"/>
    </row>
    <row r="6" spans="2:4" x14ac:dyDescent="0.3">
      <c r="B6" s="20" t="s">
        <v>32</v>
      </c>
      <c r="C6" s="21">
        <f>C3/C5</f>
        <v>0.23998165327974927</v>
      </c>
      <c r="D6" s="18"/>
    </row>
    <row r="7" spans="2:4" x14ac:dyDescent="0.3">
      <c r="B7" s="20" t="s">
        <v>33</v>
      </c>
      <c r="C7" s="21">
        <f>C4/C5</f>
        <v>0.76001834672025081</v>
      </c>
      <c r="D7" s="18"/>
    </row>
    <row r="8" spans="2:4" x14ac:dyDescent="0.3">
      <c r="B8" s="18"/>
      <c r="C8" s="18"/>
      <c r="D8" s="18"/>
    </row>
    <row r="9" spans="2:4" x14ac:dyDescent="0.3">
      <c r="B9" s="18" t="s">
        <v>34</v>
      </c>
      <c r="C9" s="22">
        <f>AVERAGE(Model!AP26:AQ26)</f>
        <v>0.22430249115055345</v>
      </c>
      <c r="D9" s="18"/>
    </row>
    <row r="10" spans="2:4" x14ac:dyDescent="0.3">
      <c r="B10" s="18" t="s">
        <v>35</v>
      </c>
      <c r="C10" s="19">
        <f>Model!AQ9</f>
        <v>257.89999999999998</v>
      </c>
      <c r="D10" s="18"/>
    </row>
    <row r="11" spans="2:4" x14ac:dyDescent="0.3">
      <c r="B11" s="20" t="s">
        <v>36</v>
      </c>
      <c r="C11" s="23">
        <f>C10/C3</f>
        <v>6.9857522075952097E-2</v>
      </c>
      <c r="D11" s="18"/>
    </row>
    <row r="12" spans="2:4" x14ac:dyDescent="0.3">
      <c r="B12" s="18"/>
      <c r="C12" s="18"/>
      <c r="D12" s="18"/>
    </row>
    <row r="13" spans="2:4" x14ac:dyDescent="0.3">
      <c r="B13" s="18" t="s">
        <v>37</v>
      </c>
      <c r="C13" s="22">
        <f>'[1]T-Bond Yields'!$C$12</f>
        <v>4.2999999999999997E-2</v>
      </c>
      <c r="D13" s="18" t="s">
        <v>79</v>
      </c>
    </row>
    <row r="14" spans="2:4" x14ac:dyDescent="0.3">
      <c r="B14" s="18" t="s">
        <v>38</v>
      </c>
      <c r="C14" s="18">
        <v>1.89</v>
      </c>
      <c r="D14" s="18" t="s">
        <v>78</v>
      </c>
    </row>
    <row r="15" spans="2:4" x14ac:dyDescent="0.3">
      <c r="B15" s="18" t="s">
        <v>39</v>
      </c>
      <c r="C15" s="24">
        <v>0.08</v>
      </c>
      <c r="D15" s="18"/>
    </row>
    <row r="16" spans="2:4" x14ac:dyDescent="0.3">
      <c r="B16" s="20" t="s">
        <v>40</v>
      </c>
      <c r="C16" s="21">
        <f>C13+C14*(C15-C13)</f>
        <v>0.11293</v>
      </c>
      <c r="D16" s="18"/>
    </row>
    <row r="17" spans="2:4" x14ac:dyDescent="0.3">
      <c r="B17" s="18"/>
      <c r="C17" s="18"/>
      <c r="D17" s="18"/>
    </row>
    <row r="18" spans="2:4" x14ac:dyDescent="0.3">
      <c r="B18" s="20" t="s">
        <v>41</v>
      </c>
      <c r="C18" s="21">
        <f>(C6*C11)+(C7*C16)*(1-C9)</f>
        <v>8.3341765758214809E-2</v>
      </c>
      <c r="D1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2024-03-02T19:54:15Z</dcterms:modified>
</cp:coreProperties>
</file>