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lshe\Documents\Models\"/>
    </mc:Choice>
  </mc:AlternateContent>
  <xr:revisionPtr revIDLastSave="0" documentId="13_ncr:1_{4E7C73D1-42C9-457E-AE96-4A731529C006}" xr6:coauthVersionLast="47" xr6:coauthVersionMax="47" xr10:uidLastSave="{00000000-0000-0000-0000-000000000000}"/>
  <bookViews>
    <workbookView xWindow="-28920" yWindow="-120" windowWidth="29040" windowHeight="15720" activeTab="1" xr2:uid="{4588CD03-294E-421F-A4EF-704A3E6AC4BE}"/>
  </bookViews>
  <sheets>
    <sheet name="T-Bond Yields" sheetId="2" r:id="rId1"/>
    <sheet name="All" sheetId="1" r:id="rId2"/>
    <sheet name="Communication" sheetId="12" r:id="rId3"/>
    <sheet name="Discretionary" sheetId="5" r:id="rId4"/>
    <sheet name="Staples" sheetId="6" r:id="rId5"/>
    <sheet name="Energy" sheetId="8" r:id="rId6"/>
    <sheet name="Financials" sheetId="11" r:id="rId7"/>
    <sheet name="Health Care" sheetId="7" r:id="rId8"/>
    <sheet name="Industrials" sheetId="10" r:id="rId9"/>
    <sheet name="Materials" sheetId="9" r:id="rId10"/>
    <sheet name="Real Estate" sheetId="14" r:id="rId11"/>
    <sheet name="Tech" sheetId="4" r:id="rId12"/>
    <sheet name="Utilities" sheetId="13" r:id="rId13"/>
    <sheet name="Screens" sheetId="3" r:id="rId14"/>
  </sheets>
  <externalReferences>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P16" i="1" l="1"/>
  <c r="O16" i="1"/>
  <c r="N16" i="1"/>
  <c r="M16" i="1"/>
  <c r="I16" i="1"/>
  <c r="Q16" i="1" l="1"/>
  <c r="U16" i="1" l="1"/>
  <c r="F21" i="1" l="1" a="1"/>
  <c r="F21" i="1" s="1"/>
  <c r="F9" i="1" a="1"/>
  <c r="F9" i="1" s="1"/>
  <c r="F16" i="1" a="1"/>
  <c r="F16" i="1" s="1"/>
  <c r="F20" i="1" a="1"/>
  <c r="F20" i="1" s="1"/>
  <c r="R18" i="1"/>
  <c r="P18" i="1"/>
  <c r="O18" i="1"/>
  <c r="N18" i="1"/>
  <c r="M18" i="1"/>
  <c r="K18" i="1"/>
  <c r="I18" i="1"/>
  <c r="Q18" i="1" l="1"/>
  <c r="U18" i="1" l="1"/>
  <c r="U17" i="1" l="1"/>
  <c r="Q17" i="1"/>
  <c r="P17" i="1"/>
  <c r="O17" i="1"/>
  <c r="N17" i="1"/>
  <c r="M17" i="1"/>
  <c r="K17" i="1"/>
  <c r="T17" i="1" a="1"/>
  <c r="T17" i="1" s="1"/>
  <c r="S17" i="1" s="1"/>
  <c r="I17" i="1"/>
  <c r="J17" i="1" l="1"/>
  <c r="L17" i="1" s="1"/>
  <c r="V17" i="1"/>
  <c r="U19" i="1"/>
  <c r="Q19" i="1"/>
  <c r="P19" i="1"/>
  <c r="O19" i="1"/>
  <c r="N19" i="1"/>
  <c r="M19" i="1"/>
  <c r="K19" i="1"/>
  <c r="I19" i="1"/>
  <c r="U9" i="1" l="1"/>
  <c r="Q9" i="1"/>
  <c r="P9" i="1"/>
  <c r="O9" i="1"/>
  <c r="N9" i="1"/>
  <c r="M9" i="1"/>
  <c r="I9" i="1"/>
  <c r="K16" i="1" l="1"/>
  <c r="D5" i="6" l="1" a="1"/>
  <c r="D5" i="6" s="1"/>
  <c r="D4" i="6" a="1"/>
  <c r="D4" i="6" s="1"/>
  <c r="D3" i="6" a="1"/>
  <c r="D3" i="6" s="1"/>
  <c r="D3" i="12" a="1"/>
  <c r="D3" i="12" s="1"/>
  <c r="D4" i="5" a="1"/>
  <c r="D4" i="5" s="1"/>
  <c r="D5" i="5" a="1"/>
  <c r="D5" i="5" s="1"/>
  <c r="D6" i="5" a="1"/>
  <c r="D6" i="5" s="1"/>
  <c r="D7" i="5" a="1"/>
  <c r="D7" i="5" s="1"/>
  <c r="D8" i="5" a="1"/>
  <c r="D8" i="5" s="1"/>
  <c r="D9" i="5" a="1"/>
  <c r="D9" i="5" s="1"/>
  <c r="D10" i="5" a="1"/>
  <c r="D10" i="5" s="1"/>
  <c r="D11" i="5" a="1"/>
  <c r="D11" i="5" s="1"/>
  <c r="D3" i="5" a="1"/>
  <c r="D3" i="5" s="1"/>
  <c r="E10" i="5"/>
  <c r="E9" i="5"/>
  <c r="E11" i="5"/>
  <c r="F11" i="5" l="1"/>
  <c r="H11" i="5" s="1"/>
  <c r="F10" i="5"/>
  <c r="H10" i="5" s="1"/>
  <c r="F9" i="5"/>
  <c r="H9" i="5" s="1"/>
  <c r="U20" i="1"/>
  <c r="Q20" i="1" l="1"/>
  <c r="P20" i="1"/>
  <c r="O20" i="1"/>
  <c r="N20" i="1"/>
  <c r="M20" i="1"/>
  <c r="K20" i="1"/>
  <c r="I20" i="1"/>
  <c r="E5" i="6" s="1"/>
  <c r="F5" i="6" s="1"/>
  <c r="F19" i="1" l="1" a="1"/>
  <c r="F19" i="1" s="1"/>
  <c r="F18" i="1" a="1"/>
  <c r="F18" i="1" s="1"/>
  <c r="T20" i="1" a="1"/>
  <c r="T20" i="1" s="1"/>
  <c r="J20" i="1" s="1"/>
  <c r="T19" i="1" a="1"/>
  <c r="T19" i="1" s="1"/>
  <c r="T18" i="1" a="1"/>
  <c r="T18" i="1" s="1"/>
  <c r="F17" i="1" a="1"/>
  <c r="F17" i="1" s="1"/>
  <c r="F4" i="1" a="1"/>
  <c r="F4" i="1" s="1"/>
  <c r="F5" i="1" a="1"/>
  <c r="F5" i="1" s="1"/>
  <c r="F6" i="1" a="1"/>
  <c r="F6" i="1" s="1"/>
  <c r="F7" i="1" a="1"/>
  <c r="F7" i="1" s="1"/>
  <c r="F8" i="1" a="1"/>
  <c r="F8" i="1" s="1"/>
  <c r="F10" i="1" a="1"/>
  <c r="F10" i="1" s="1"/>
  <c r="F11" i="1" a="1"/>
  <c r="F11" i="1" s="1"/>
  <c r="F12" i="1" a="1"/>
  <c r="F12" i="1" s="1"/>
  <c r="F13" i="1" a="1"/>
  <c r="F13" i="1" s="1"/>
  <c r="F14" i="1" a="1"/>
  <c r="F14" i="1" s="1"/>
  <c r="F15" i="1" a="1"/>
  <c r="F15" i="1" s="1"/>
  <c r="F3" i="1" a="1"/>
  <c r="F3" i="1" s="1"/>
  <c r="I3" i="1"/>
  <c r="E3" i="5" s="1"/>
  <c r="F3" i="5" s="1"/>
  <c r="P4" i="1"/>
  <c r="O4" i="1"/>
  <c r="N4" i="1"/>
  <c r="M4" i="1"/>
  <c r="K4" i="1"/>
  <c r="G4" i="5" s="1"/>
  <c r="K3" i="1"/>
  <c r="G3" i="5" s="1"/>
  <c r="J19" i="1" l="1"/>
  <c r="V19" i="1"/>
  <c r="V18" i="1"/>
  <c r="S18" i="1"/>
  <c r="J18" i="1"/>
  <c r="H3" i="5"/>
  <c r="T15" i="1" a="1"/>
  <c r="T15" i="1" s="1"/>
  <c r="S15" i="1" s="1"/>
  <c r="R14" i="1"/>
  <c r="R13" i="1"/>
  <c r="R12" i="1"/>
  <c r="R11" i="1"/>
  <c r="R9" i="1"/>
  <c r="R8" i="1"/>
  <c r="R7" i="1"/>
  <c r="R4" i="1"/>
  <c r="R15" i="1"/>
  <c r="P15" i="1"/>
  <c r="O15" i="1"/>
  <c r="N15" i="1"/>
  <c r="M15" i="1"/>
  <c r="K15" i="1"/>
  <c r="I15" i="1"/>
  <c r="J15" i="1" l="1"/>
  <c r="E8" i="5"/>
  <c r="F8" i="5" s="1"/>
  <c r="H8" i="5" s="1"/>
  <c r="Q15" i="1"/>
  <c r="U15" i="1" l="1"/>
  <c r="V15" i="1" s="1"/>
  <c r="U3" i="1"/>
  <c r="Q3" i="1"/>
  <c r="P3" i="1"/>
  <c r="O3" i="1"/>
  <c r="N3" i="1"/>
  <c r="M3" i="1"/>
  <c r="T16" i="1" l="1" a="1"/>
  <c r="T16" i="1" s="1"/>
  <c r="U13" i="1"/>
  <c r="V16" i="1" l="1"/>
  <c r="J16" i="1"/>
  <c r="L16" i="1" s="1"/>
  <c r="S16" i="1"/>
  <c r="P14" i="1"/>
  <c r="O14" i="1"/>
  <c r="N14" i="1"/>
  <c r="M14" i="1"/>
  <c r="K14" i="1"/>
  <c r="I14" i="1"/>
  <c r="E7" i="5" s="1"/>
  <c r="F7" i="5" s="1"/>
  <c r="H7" i="5" s="1"/>
  <c r="T14" i="1" a="1"/>
  <c r="T14" i="1" s="1"/>
  <c r="S14" i="1" l="1"/>
  <c r="J14" i="1"/>
  <c r="Q14" i="1"/>
  <c r="U14" i="1" l="1"/>
  <c r="V14" i="1" s="1"/>
  <c r="L15" i="1" l="1"/>
  <c r="L14" i="1"/>
  <c r="L18" i="1"/>
  <c r="L19" i="1"/>
  <c r="L20" i="1"/>
  <c r="S19" i="1"/>
  <c r="S20" i="1"/>
  <c r="V20" i="1"/>
  <c r="Q13" i="1"/>
  <c r="P13" i="1"/>
  <c r="O13" i="1"/>
  <c r="N13" i="1"/>
  <c r="M13" i="1"/>
  <c r="K13" i="1"/>
  <c r="I13" i="1"/>
  <c r="U12" i="1" l="1"/>
  <c r="Q12" i="1"/>
  <c r="P12" i="1"/>
  <c r="O12" i="1"/>
  <c r="N12" i="1"/>
  <c r="M12" i="1"/>
  <c r="K12" i="1"/>
  <c r="I12" i="1"/>
  <c r="U11" i="1" l="1"/>
  <c r="Q11" i="1"/>
  <c r="P11" i="1"/>
  <c r="O11" i="1"/>
  <c r="N11" i="1"/>
  <c r="M11" i="1"/>
  <c r="K11" i="1"/>
  <c r="I11" i="1"/>
  <c r="U10" i="1" l="1"/>
  <c r="Q10" i="1"/>
  <c r="P10" i="1"/>
  <c r="O10" i="1"/>
  <c r="N10" i="1"/>
  <c r="M10" i="1"/>
  <c r="K10" i="1"/>
  <c r="G3" i="12" s="1"/>
  <c r="T13" i="1" a="1"/>
  <c r="T13" i="1" s="1"/>
  <c r="V13" i="1" s="1"/>
  <c r="T12" i="1" a="1"/>
  <c r="T12" i="1" s="1"/>
  <c r="V12" i="1" s="1"/>
  <c r="T11" i="1" a="1"/>
  <c r="T11" i="1" s="1"/>
  <c r="V11" i="1" s="1"/>
  <c r="T10" i="1" a="1"/>
  <c r="T10" i="1" s="1"/>
  <c r="I10" i="1"/>
  <c r="E3" i="12" s="1"/>
  <c r="F3" i="12" s="1"/>
  <c r="H3" i="12" l="1"/>
  <c r="V10" i="1"/>
  <c r="J10" i="1"/>
  <c r="L10" i="1" s="1"/>
  <c r="S10" i="1"/>
  <c r="S11" i="1"/>
  <c r="J11" i="1"/>
  <c r="L11" i="1" s="1"/>
  <c r="S12" i="1"/>
  <c r="J12" i="1"/>
  <c r="L12" i="1" s="1"/>
  <c r="S13" i="1"/>
  <c r="J13" i="1"/>
  <c r="L13" i="1" s="1"/>
  <c r="K9" i="1" l="1"/>
  <c r="E6" i="5"/>
  <c r="F6" i="5" s="1"/>
  <c r="H6" i="5" s="1"/>
  <c r="U8" i="1" l="1"/>
  <c r="Q8" i="1"/>
  <c r="P8" i="1"/>
  <c r="O8" i="1"/>
  <c r="N8" i="1"/>
  <c r="M8" i="1"/>
  <c r="K8" i="1"/>
  <c r="I8" i="1"/>
  <c r="E4" i="6" s="1"/>
  <c r="F4" i="6" s="1"/>
  <c r="U7" i="1" l="1"/>
  <c r="Q7" i="1"/>
  <c r="P7" i="1"/>
  <c r="O7" i="1"/>
  <c r="N7" i="1"/>
  <c r="M7" i="1"/>
  <c r="K7" i="1"/>
  <c r="I7" i="1"/>
  <c r="E3" i="6" s="1"/>
  <c r="F3" i="6" s="1"/>
  <c r="U6" i="1" l="1"/>
  <c r="Q6" i="1"/>
  <c r="P6" i="1"/>
  <c r="O6" i="1"/>
  <c r="N6" i="1"/>
  <c r="M6" i="1"/>
  <c r="K6" i="1"/>
  <c r="I6" i="1"/>
  <c r="E5" i="5" s="1"/>
  <c r="F5" i="5" s="1"/>
  <c r="H5" i="5" s="1"/>
  <c r="U5" i="1" l="1"/>
  <c r="Q5" i="1"/>
  <c r="P5" i="1"/>
  <c r="O5" i="1"/>
  <c r="N5" i="1"/>
  <c r="M5" i="1"/>
  <c r="K5" i="1"/>
  <c r="I5" i="1"/>
  <c r="I4" i="1"/>
  <c r="E4" i="5" s="1"/>
  <c r="F4" i="5" s="1"/>
  <c r="H4" i="5" s="1"/>
  <c r="E8" i="2" l="1"/>
  <c r="E6" i="2"/>
  <c r="E5" i="2"/>
  <c r="E4" i="2"/>
  <c r="E9" i="2"/>
  <c r="T9" i="1" l="1" a="1"/>
  <c r="T9" i="1" s="1"/>
  <c r="S9" i="1" l="1"/>
  <c r="J9" i="1"/>
  <c r="L9" i="1" s="1"/>
  <c r="T6" i="1" l="1" a="1"/>
  <c r="T6" i="1" s="1"/>
  <c r="T3" i="1" a="1"/>
  <c r="T3" i="1" s="1"/>
  <c r="S3" i="1" s="1"/>
  <c r="T4" i="1" a="1"/>
  <c r="T4" i="1" s="1"/>
  <c r="S4" i="1" s="1"/>
  <c r="T5" i="1" a="1"/>
  <c r="T5" i="1" s="1"/>
  <c r="S5" i="1" s="1"/>
  <c r="T8" i="1" a="1"/>
  <c r="T8" i="1" s="1"/>
  <c r="S8" i="1" s="1"/>
  <c r="T7" i="1" a="1"/>
  <c r="T7" i="1" s="1"/>
  <c r="S7" i="1" s="1"/>
  <c r="S6" i="1" l="1"/>
  <c r="J6" i="1"/>
  <c r="V8" i="1"/>
  <c r="E16" i="2" l="1"/>
  <c r="E15" i="2"/>
  <c r="E14" i="2"/>
  <c r="E13" i="2"/>
  <c r="E12" i="2"/>
  <c r="E11" i="2"/>
  <c r="E10" i="2"/>
  <c r="J5" i="1" l="1"/>
  <c r="J3" i="1"/>
  <c r="L3" i="1" s="1"/>
  <c r="V3" i="1"/>
  <c r="J4" i="1"/>
  <c r="J8" i="1"/>
  <c r="J7" i="1"/>
  <c r="L5" i="1" l="1"/>
  <c r="L4" i="1"/>
  <c r="L6" i="1"/>
  <c r="L7" i="1"/>
  <c r="L8" i="1"/>
  <c r="V5" i="1" l="1"/>
  <c r="V6" i="1" l="1"/>
  <c r="V7" i="1" l="1"/>
  <c r="Q4" i="1" l="1"/>
  <c r="U4" i="1" l="1"/>
  <c r="V4" i="1" s="1"/>
  <c r="V9"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tc={49B2FB88-EDB1-47B3-9023-937A804038C9}</author>
    <author>tc={1DF6433C-B120-4A2D-85AF-549564FF6DEE}</author>
    <author>tc={D9A90F2B-8659-49F8-9E1C-B354DA2DCB3D}</author>
    <author>tc={9E71E09E-0600-4605-8DE5-464B622D8134}</author>
    <author>tc={93C12A89-94F8-43EC-9B6F-DED8B4DC56F8}</author>
    <author>tc={51B9BE83-FA4F-4331-A8E4-230A7629C793}</author>
    <author>tc={98132863-37BE-4D21-8DB8-FF1FD4C7CBED}</author>
  </authors>
  <commentList>
    <comment ref="G2" authorId="0" shapeId="0" xr:uid="{49B2FB88-EDB1-47B3-9023-937A804038C9}">
      <text>
        <t>[Threaded comment]
Your version of Excel allows you to read this threaded comment; however, any edits to it will get removed if the file is opened in a newer version of Excel. Learn more: https://go.microsoft.com/fwlink/?linkid=870924
Comment:
    Koyfin</t>
      </text>
    </comment>
    <comment ref="H2" authorId="1" shapeId="0" xr:uid="{1DF6433C-B120-4A2D-85AF-549564FF6DEE}">
      <text>
        <t>[Threaded comment]
Your version of Excel allows you to read this threaded comment; however, any edits to it will get removed if the file is opened in a newer version of Excel. Learn more: https://go.microsoft.com/fwlink/?linkid=870924
Comment:
    Koyfin</t>
      </text>
    </comment>
    <comment ref="M2" authorId="2" shapeId="0" xr:uid="{D9A90F2B-8659-49F8-9E1C-B354DA2DCB3D}">
      <text>
        <t>[Threaded comment]
Your version of Excel allows you to read this threaded comment; however, any edits to it will get removed if the file is opened in a newer version of Excel. Learn more: https://go.microsoft.com/fwlink/?linkid=870924
Comment:
    previous FY</t>
      </text>
    </comment>
    <comment ref="N2" authorId="3" shapeId="0" xr:uid="{9E71E09E-0600-4605-8DE5-464B622D8134}">
      <text>
        <t>[Threaded comment]
Your version of Excel allows you to read this threaded comment; however, any edits to it will get removed if the file is opened in a newer version of Excel. Learn more: https://go.microsoft.com/fwlink/?linkid=870924
Comment:
    previous FY</t>
      </text>
    </comment>
    <comment ref="O2" authorId="4" shapeId="0" xr:uid="{93C12A89-94F8-43EC-9B6F-DED8B4DC56F8}">
      <text>
        <t>[Threaded comment]
Your version of Excel allows you to read this threaded comment; however, any edits to it will get removed if the file is opened in a newer version of Excel. Learn more: https://go.microsoft.com/fwlink/?linkid=870924
Comment:
    previous FY</t>
      </text>
    </comment>
    <comment ref="P2" authorId="5" shapeId="0" xr:uid="{51B9BE83-FA4F-4331-A8E4-230A7629C793}">
      <text>
        <t>[Threaded comment]
Your version of Excel allows you to read this threaded comment; however, any edits to it will get removed if the file is opened in a newer version of Excel. Learn more: https://go.microsoft.com/fwlink/?linkid=870924
Comment:
    previous FY</t>
      </text>
    </comment>
    <comment ref="R2" authorId="6" shapeId="0" xr:uid="{98132863-37BE-4D21-8DB8-FF1FD4C7CBED}">
      <text>
        <t>[Threaded comment]
Your version of Excel allows you to read this threaded comment; however, any edits to it will get removed if the file is opened in a newer version of Excel. Learn more: https://go.microsoft.com/fwlink/?linkid=870924
Comment:
    Annual</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9">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futureMetadata>
  <cellMetadata count="1">
    <bk>
      <rc t="1" v="0"/>
    </bk>
  </cellMetadata>
  <valueMetadata count="1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valueMetadata>
</metadata>
</file>

<file path=xl/sharedStrings.xml><?xml version="1.0" encoding="utf-8"?>
<sst xmlns="http://schemas.openxmlformats.org/spreadsheetml/2006/main" count="264" uniqueCount="139">
  <si>
    <t>U.S. T-Bonds</t>
  </si>
  <si>
    <t>Difference</t>
  </si>
  <si>
    <t>1Y</t>
  </si>
  <si>
    <t>2Y</t>
  </si>
  <si>
    <t>3Y</t>
  </si>
  <si>
    <t>5Y</t>
  </si>
  <si>
    <t>7Y</t>
  </si>
  <si>
    <t>10Y</t>
  </si>
  <si>
    <t>20Y</t>
  </si>
  <si>
    <t>30Y</t>
  </si>
  <si>
    <t>Company</t>
  </si>
  <si>
    <t>HQ</t>
  </si>
  <si>
    <t>CEO</t>
  </si>
  <si>
    <t>FT Employees</t>
  </si>
  <si>
    <t xml:space="preserve">Sector </t>
  </si>
  <si>
    <t>Industry</t>
  </si>
  <si>
    <t>Shares</t>
  </si>
  <si>
    <t>Market Cap</t>
  </si>
  <si>
    <t>Net Cash</t>
  </si>
  <si>
    <t>EV</t>
  </si>
  <si>
    <t>RevG</t>
  </si>
  <si>
    <t>GM %</t>
  </si>
  <si>
    <t>OM %</t>
  </si>
  <si>
    <t>Tax Rate</t>
  </si>
  <si>
    <t>WACC</t>
  </si>
  <si>
    <t>Current Price</t>
  </si>
  <si>
    <t>Model Price</t>
  </si>
  <si>
    <t>Minneapolis, MN</t>
  </si>
  <si>
    <t>Brian Cornell</t>
  </si>
  <si>
    <t>Consumer Discretionary</t>
  </si>
  <si>
    <t>Beaverton, OR</t>
  </si>
  <si>
    <t>John Donahoe II</t>
  </si>
  <si>
    <t>San Francisco, CA</t>
  </si>
  <si>
    <t>Bentonville, AR</t>
  </si>
  <si>
    <t>Douglas McMillon</t>
  </si>
  <si>
    <t>Consumer Staples</t>
  </si>
  <si>
    <t>Information Technology</t>
  </si>
  <si>
    <t>Seattle, WA</t>
  </si>
  <si>
    <t>Carlsbad, CA</t>
  </si>
  <si>
    <t>Oliver Brewer III</t>
  </si>
  <si>
    <t>Andrew Houston</t>
  </si>
  <si>
    <t>Treasury</t>
  </si>
  <si>
    <t>Source:</t>
  </si>
  <si>
    <t>2Mo</t>
  </si>
  <si>
    <t>1Mo</t>
  </si>
  <si>
    <t>3Mo</t>
  </si>
  <si>
    <t>4Mo</t>
  </si>
  <si>
    <t>6Mo</t>
  </si>
  <si>
    <t>FinViz Dividend Screen 6/15/23</t>
  </si>
  <si>
    <t>Parameters:</t>
  </si>
  <si>
    <t>Dividend Yield</t>
  </si>
  <si>
    <t>Avg. Volume</t>
  </si>
  <si>
    <t>&gt;500k</t>
  </si>
  <si>
    <t>P/E</t>
  </si>
  <si>
    <t>profitable</t>
  </si>
  <si>
    <t>D/E</t>
  </si>
  <si>
    <t>under 1</t>
  </si>
  <si>
    <t>positive low</t>
  </si>
  <si>
    <t>Sales Growth Last 5 Years</t>
  </si>
  <si>
    <t>LT D/E</t>
  </si>
  <si>
    <t>BBY</t>
  </si>
  <si>
    <t>Results to Model</t>
  </si>
  <si>
    <t>BKU</t>
  </si>
  <si>
    <t>BNS</t>
  </si>
  <si>
    <t>over 4%</t>
  </si>
  <si>
    <t>Market Cap.</t>
  </si>
  <si>
    <t>+ Mid</t>
  </si>
  <si>
    <t>APLE</t>
  </si>
  <si>
    <t>BTI</t>
  </si>
  <si>
    <t>CBRL</t>
  </si>
  <si>
    <t>CFG</t>
  </si>
  <si>
    <t>CIG</t>
  </si>
  <si>
    <t>FL</t>
  </si>
  <si>
    <t>KHC</t>
  </si>
  <si>
    <t>Dividend ($)</t>
  </si>
  <si>
    <t>Laxman Narasimhan</t>
  </si>
  <si>
    <t>Canonsburg, PA</t>
  </si>
  <si>
    <t>New York, NY</t>
  </si>
  <si>
    <t>Santa Clara, CA</t>
  </si>
  <si>
    <t>Los Gatos, CA</t>
  </si>
  <si>
    <t>Communication Services</t>
  </si>
  <si>
    <t>Jen-Hsun Huang</t>
  </si>
  <si>
    <t>Dr. Albert Bourla</t>
  </si>
  <si>
    <t>Health Care</t>
  </si>
  <si>
    <t>Scott Smith</t>
  </si>
  <si>
    <t>Richfield, Minnesota</t>
  </si>
  <si>
    <t>Corie Barry</t>
  </si>
  <si>
    <t>Founded</t>
  </si>
  <si>
    <t>Mary Dillon</t>
  </si>
  <si>
    <t>2007</t>
  </si>
  <si>
    <t>1945</t>
  </si>
  <si>
    <t>1902</t>
  </si>
  <si>
    <t>Columbus, OH</t>
  </si>
  <si>
    <t>Andrew Jassy</t>
  </si>
  <si>
    <t>Bruce Thorn</t>
  </si>
  <si>
    <t>Michelle Gass</t>
  </si>
  <si>
    <t>Ted Sarandos &amp; Greg Peters</t>
  </si>
  <si>
    <t>Cupertino, CA</t>
  </si>
  <si>
    <t>Tim Cook</t>
  </si>
  <si>
    <t>Pittsburgh, PA</t>
  </si>
  <si>
    <t>Dr. Luis Alfonso von Ahn</t>
  </si>
  <si>
    <t>Sue Nabi</t>
  </si>
  <si>
    <t>Consumer Staples Distribution &amp; Retail</t>
  </si>
  <si>
    <t>Textiles, Apparel and Luxury Goods</t>
  </si>
  <si>
    <t>Software</t>
  </si>
  <si>
    <t>Leisure Products</t>
  </si>
  <si>
    <t>Hotels, Restaurants and Leisure</t>
  </si>
  <si>
    <t>Entertainment</t>
  </si>
  <si>
    <t>Semiconductors and Semiconductor Equipment</t>
  </si>
  <si>
    <t>Pharmaceuticals</t>
  </si>
  <si>
    <t>Specialty Retail</t>
  </si>
  <si>
    <t>Broadline Retail</t>
  </si>
  <si>
    <t>Technology, Hardware, Storage and Peripherals</t>
  </si>
  <si>
    <t>Diversified Consumer Services</t>
  </si>
  <si>
    <t>Personal Care Products</t>
  </si>
  <si>
    <t>FinViz Tech 3/4/24</t>
  </si>
  <si>
    <t>parameters:</t>
  </si>
  <si>
    <t>market cap</t>
  </si>
  <si>
    <t>sector</t>
  </si>
  <si>
    <t>technology</t>
  </si>
  <si>
    <t>Forward P/E</t>
  </si>
  <si>
    <t>LT Debt/Equity</t>
  </si>
  <si>
    <t>Performance</t>
  </si>
  <si>
    <t>YTD down</t>
  </si>
  <si>
    <t>under 25</t>
  </si>
  <si>
    <t>under 0.5</t>
  </si>
  <si>
    <t>results</t>
  </si>
  <si>
    <t>Sales growth over past 5yrs</t>
  </si>
  <si>
    <t>over 10%</t>
  </si>
  <si>
    <t>ACLS</t>
  </si>
  <si>
    <t>IDCC</t>
  </si>
  <si>
    <t>SNX</t>
  </si>
  <si>
    <t>STM</t>
  </si>
  <si>
    <t>TDY</t>
  </si>
  <si>
    <t>WNS</t>
  </si>
  <si>
    <t>https://x.com/Beth_Kindig/status/1723877664539250931?s=20</t>
  </si>
  <si>
    <t xml:space="preserve"> </t>
  </si>
  <si>
    <t>Geneva, Switzerland</t>
  </si>
  <si>
    <t>Jean-Marc Chery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</si>
</sst>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0" x14ac:knownFonts="1">
    <font>
      <sz val="11"/>
      <color theme="1"/>
      <name val="Arial"/>
      <family val="2"/>
    </font>
    <font>
      <sz val="11"/>
      <color theme="1"/>
      <name val="Arial"/>
      <family val="2"/>
    </font>
    <font>
      <u/>
      <sz val="11"/>
      <color theme="10"/>
      <name val="Arial"/>
      <family val="2"/>
    </font>
    <font>
      <sz val="11"/>
      <color theme="1"/>
      <name val="Calibri"/>
      <family val="2"/>
      <scheme val="minor"/>
    </font>
    <font>
      <u/>
      <sz val="11"/>
      <color theme="1"/>
      <name val="Arial"/>
      <family val="2"/>
    </font>
    <font>
      <i/>
      <sz val="11"/>
      <color theme="1"/>
      <name val="Arial"/>
      <family val="2"/>
    </font>
    <font>
      <u/>
      <sz val="11"/>
      <color theme="10"/>
      <name val="Calibri"/>
      <family val="2"/>
      <scheme val="minor"/>
    </font>
    <font>
      <b/>
      <u/>
      <sz val="11"/>
      <color theme="1"/>
      <name val="Arial"/>
      <family val="2"/>
    </font>
    <font>
      <sz val="11"/>
      <name val="Arial"/>
      <family val="2"/>
    </font>
    <font>
      <i/>
      <u/>
      <sz val="11"/>
      <color theme="1"/>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6">
    <xf numFmtId="0" fontId="0" fillId="0" borderId="0"/>
    <xf numFmtId="44"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0"/>
    <xf numFmtId="0" fontId="6" fillId="0" borderId="0" applyNumberFormat="0" applyFill="0" applyBorder="0" applyAlignment="0" applyProtection="0"/>
  </cellStyleXfs>
  <cellXfs count="44">
    <xf numFmtId="0" fontId="0" fillId="0" borderId="0" xfId="0"/>
    <xf numFmtId="0" fontId="4" fillId="0" borderId="0" xfId="4" applyFont="1" applyAlignment="1">
      <alignment horizontal="center"/>
    </xf>
    <xf numFmtId="0" fontId="1" fillId="0" borderId="0" xfId="4" applyFont="1"/>
    <xf numFmtId="0" fontId="1" fillId="0" borderId="0" xfId="4" applyFont="1" applyAlignment="1">
      <alignment horizontal="center"/>
    </xf>
    <xf numFmtId="9" fontId="1" fillId="0" borderId="0" xfId="4" applyNumberFormat="1" applyFont="1"/>
    <xf numFmtId="14" fontId="5" fillId="0" borderId="0" xfId="4" applyNumberFormat="1" applyFont="1" applyAlignment="1">
      <alignment horizontal="center"/>
    </xf>
    <xf numFmtId="0" fontId="2" fillId="0" borderId="0" xfId="5" applyFont="1" applyAlignment="1">
      <alignment horizontal="center" vertical="center"/>
    </xf>
    <xf numFmtId="14" fontId="5" fillId="0" borderId="0" xfId="4" applyNumberFormat="1" applyFont="1"/>
    <xf numFmtId="0" fontId="7" fillId="0" borderId="0" xfId="0" applyFont="1" applyAlignment="1">
      <alignment horizontal="left" vertical="center"/>
    </xf>
    <xf numFmtId="0" fontId="1" fillId="0" borderId="0" xfId="0" applyFont="1" applyAlignment="1">
      <alignment horizontal="center" vertical="center"/>
    </xf>
    <xf numFmtId="49" fontId="8" fillId="0" borderId="0" xfId="5" applyNumberFormat="1" applyFont="1" applyAlignment="1">
      <alignment horizontal="center" vertical="center"/>
    </xf>
    <xf numFmtId="3" fontId="1" fillId="0" borderId="0" xfId="0" applyNumberFormat="1" applyFont="1" applyAlignment="1">
      <alignment horizontal="center" vertical="center"/>
    </xf>
    <xf numFmtId="9" fontId="1" fillId="0" borderId="0" xfId="2" applyFont="1" applyAlignment="1">
      <alignment horizontal="center" vertical="center"/>
    </xf>
    <xf numFmtId="9" fontId="1" fillId="0" borderId="0" xfId="0" applyNumberFormat="1" applyFont="1" applyAlignment="1">
      <alignment horizontal="center" vertical="center"/>
    </xf>
    <xf numFmtId="4" fontId="1" fillId="0" borderId="0" xfId="1" applyNumberFormat="1" applyFont="1" applyAlignment="1">
      <alignment horizontal="center"/>
    </xf>
    <xf numFmtId="49" fontId="1" fillId="0" borderId="0" xfId="0" applyNumberFormat="1" applyFont="1" applyAlignment="1">
      <alignment horizontal="center" vertical="center"/>
    </xf>
    <xf numFmtId="2" fontId="1" fillId="0" borderId="0" xfId="0" applyNumberFormat="1" applyFont="1" applyAlignment="1">
      <alignment horizontal="center"/>
    </xf>
    <xf numFmtId="4" fontId="1" fillId="0" borderId="0" xfId="0" applyNumberFormat="1" applyFont="1" applyAlignment="1">
      <alignment horizontal="center" vertical="center"/>
    </xf>
    <xf numFmtId="3" fontId="0" fillId="0" borderId="0" xfId="0" applyNumberFormat="1" applyAlignment="1">
      <alignment horizontal="center"/>
    </xf>
    <xf numFmtId="0" fontId="2" fillId="0" borderId="0" xfId="3" applyAlignment="1">
      <alignment horizontal="left" vertical="center"/>
    </xf>
    <xf numFmtId="49" fontId="2" fillId="0" borderId="0" xfId="3" applyNumberFormat="1" applyAlignment="1">
      <alignment horizontal="left" vertical="center"/>
    </xf>
    <xf numFmtId="0" fontId="2" fillId="0" borderId="0" xfId="3"/>
    <xf numFmtId="0" fontId="8" fillId="0" borderId="0" xfId="5" applyFont="1" applyAlignment="1">
      <alignment horizontal="center" vertical="center"/>
    </xf>
    <xf numFmtId="10" fontId="1" fillId="0" borderId="0" xfId="4" applyNumberFormat="1" applyFont="1" applyAlignment="1">
      <alignment horizontal="center"/>
    </xf>
    <xf numFmtId="9" fontId="1" fillId="0" borderId="0" xfId="4" applyNumberFormat="1" applyFont="1" applyAlignment="1">
      <alignment horizontal="center"/>
    </xf>
    <xf numFmtId="14" fontId="9" fillId="0" borderId="0" xfId="4" applyNumberFormat="1" applyFont="1" applyAlignment="1">
      <alignment horizontal="center"/>
    </xf>
    <xf numFmtId="0" fontId="0" fillId="0" borderId="0" xfId="0" applyAlignment="1">
      <alignment horizontal="center"/>
    </xf>
    <xf numFmtId="39" fontId="0" fillId="0" borderId="0" xfId="0" applyNumberFormat="1" applyAlignment="1">
      <alignment horizontal="center"/>
    </xf>
    <xf numFmtId="4" fontId="0" fillId="0" borderId="0" xfId="0" applyNumberFormat="1" applyAlignment="1">
      <alignment horizontal="center"/>
    </xf>
    <xf numFmtId="10" fontId="5" fillId="0" borderId="0" xfId="2" applyNumberFormat="1" applyFont="1" applyAlignment="1">
      <alignment horizontal="center"/>
    </xf>
    <xf numFmtId="49" fontId="0" fillId="0" borderId="0" xfId="0" applyNumberFormat="1"/>
    <xf numFmtId="0" fontId="0" fillId="2" borderId="0" xfId="0" applyFill="1"/>
    <xf numFmtId="0" fontId="7" fillId="0" borderId="0" xfId="0" applyFont="1" applyAlignment="1">
      <alignment horizontal="center" vertical="center"/>
    </xf>
    <xf numFmtId="3" fontId="7" fillId="0" borderId="0" xfId="0" applyNumberFormat="1" applyFont="1" applyAlignment="1">
      <alignment horizontal="center" vertical="center"/>
    </xf>
    <xf numFmtId="9" fontId="0" fillId="0" borderId="0" xfId="0" applyNumberFormat="1" applyAlignment="1">
      <alignment horizontal="center"/>
    </xf>
    <xf numFmtId="10" fontId="1" fillId="0" borderId="0" xfId="0" applyNumberFormat="1" applyFont="1" applyAlignment="1">
      <alignment horizontal="center"/>
    </xf>
    <xf numFmtId="0" fontId="0" fillId="0" borderId="1" xfId="0" applyBorder="1"/>
    <xf numFmtId="1" fontId="1" fillId="0" borderId="0" xfId="0" applyNumberFormat="1" applyFont="1" applyAlignment="1">
      <alignment horizontal="center" vertical="center"/>
    </xf>
    <xf numFmtId="1" fontId="0" fillId="0" borderId="0" xfId="0" applyNumberFormat="1" applyAlignment="1">
      <alignment horizontal="center"/>
    </xf>
    <xf numFmtId="3" fontId="0" fillId="0" borderId="0" xfId="0" applyNumberFormat="1"/>
    <xf numFmtId="9" fontId="0" fillId="0" borderId="0" xfId="0" applyNumberFormat="1"/>
    <xf numFmtId="3" fontId="0" fillId="0" borderId="0" xfId="0" applyNumberFormat="1" applyAlignment="1">
      <alignment horizontal="center" vertical="center"/>
    </xf>
    <xf numFmtId="3" fontId="8" fillId="0" borderId="0" xfId="5" applyNumberFormat="1" applyFont="1" applyAlignment="1">
      <alignment horizontal="center" vertical="center"/>
    </xf>
    <xf numFmtId="2" fontId="0" fillId="0" borderId="0" xfId="0" applyNumberFormat="1" applyAlignment="1">
      <alignment horizontal="center"/>
    </xf>
  </cellXfs>
  <cellStyles count="6">
    <cellStyle name="Currency" xfId="1" builtinId="4"/>
    <cellStyle name="Hyperlink" xfId="3" builtinId="8"/>
    <cellStyle name="Hyperlink 2" xfId="5" xr:uid="{A7B20633-D8C0-4BA6-B794-18B301111BAF}"/>
    <cellStyle name="Normal" xfId="0" builtinId="0"/>
    <cellStyle name="Normal 2" xfId="4" xr:uid="{8DB66348-1D6F-4E58-A830-A34256D0289C}"/>
    <cellStyle name="Percent" xfId="2" builtinId="5"/>
  </cellStyles>
  <dxfs count="2">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4.xml"/><Relationship Id="rId26" Type="http://schemas.openxmlformats.org/officeDocument/2006/relationships/externalLink" Target="externalLinks/externalLink12.xml"/><Relationship Id="rId39" Type="http://schemas.microsoft.com/office/2017/06/relationships/rdRichValueStructure" Target="richData/rdrichvaluestructure.xml"/><Relationship Id="rId21" Type="http://schemas.openxmlformats.org/officeDocument/2006/relationships/externalLink" Target="externalLinks/externalLink7.xml"/><Relationship Id="rId34" Type="http://schemas.openxmlformats.org/officeDocument/2006/relationships/theme" Target="theme/theme1.xml"/><Relationship Id="rId42" Type="http://schemas.microsoft.com/office/2017/06/relationships/rdSupportingPropertyBag" Target="richData/rdsupportingpropertybag.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externalLink" Target="externalLinks/externalLink2.xml"/><Relationship Id="rId29" Type="http://schemas.openxmlformats.org/officeDocument/2006/relationships/externalLink" Target="externalLinks/externalLink1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0.xml"/><Relationship Id="rId32" Type="http://schemas.openxmlformats.org/officeDocument/2006/relationships/externalLink" Target="externalLinks/externalLink18.xml"/><Relationship Id="rId37" Type="http://schemas.openxmlformats.org/officeDocument/2006/relationships/sheetMetadata" Target="metadata.xml"/><Relationship Id="rId40" Type="http://schemas.microsoft.com/office/2017/06/relationships/richStyles" Target="richData/richStyles.xml"/><Relationship Id="rId45"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externalLink" Target="externalLinks/externalLink9.xml"/><Relationship Id="rId28" Type="http://schemas.openxmlformats.org/officeDocument/2006/relationships/externalLink" Target="externalLinks/externalLink14.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5.xml"/><Relationship Id="rId31" Type="http://schemas.openxmlformats.org/officeDocument/2006/relationships/externalLink" Target="externalLinks/externalLink17.xml"/><Relationship Id="rId44"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8.xml"/><Relationship Id="rId27" Type="http://schemas.openxmlformats.org/officeDocument/2006/relationships/externalLink" Target="externalLinks/externalLink13.xml"/><Relationship Id="rId30" Type="http://schemas.openxmlformats.org/officeDocument/2006/relationships/externalLink" Target="externalLinks/externalLink16.xml"/><Relationship Id="rId35" Type="http://schemas.openxmlformats.org/officeDocument/2006/relationships/styles" Target="styles.xml"/><Relationship Id="rId43" Type="http://schemas.microsoft.com/office/2017/06/relationships/rdRichValueTypes" Target="richData/rdRichValueTyp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externalLink" Target="externalLinks/externalLink3.xml"/><Relationship Id="rId25" Type="http://schemas.openxmlformats.org/officeDocument/2006/relationships/externalLink" Target="externalLinks/externalLink11.xml"/><Relationship Id="rId33" Type="http://schemas.openxmlformats.org/officeDocument/2006/relationships/externalLink" Target="externalLinks/externalLink19.xml"/><Relationship Id="rId38" Type="http://schemas.microsoft.com/office/2017/06/relationships/rdRichValue" Target="richData/rdrichvalue.xml"/><Relationship Id="rId20" Type="http://schemas.openxmlformats.org/officeDocument/2006/relationships/externalLink" Target="externalLinks/externalLink6.xml"/><Relationship Id="rId41"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U.S.</a:t>
            </a:r>
            <a:r>
              <a:rPr lang="en-US" baseline="0"/>
              <a:t> Yield Curve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'T-Bond Yields'!$C$3</c:f>
              <c:strCache>
                <c:ptCount val="1"/>
                <c:pt idx="0">
                  <c:v>2/21/2024</c:v>
                </c:pt>
              </c:strCache>
            </c:strRef>
          </c:tx>
          <c:spPr>
            <a:ln w="28575" cap="rnd">
              <a:solidFill>
                <a:schemeClr val="accent1"/>
              </a:solidFill>
              <a:round/>
            </a:ln>
            <a:effectLst/>
          </c:spPr>
          <c:marker>
            <c:symbol val="none"/>
          </c:marker>
          <c:cat>
            <c:strRef>
              <c:f>'T-Bond Yields'!$B$9:$B$16</c:f>
              <c:strCache>
                <c:ptCount val="8"/>
                <c:pt idx="0">
                  <c:v>1Y</c:v>
                </c:pt>
                <c:pt idx="1">
                  <c:v>2Y</c:v>
                </c:pt>
                <c:pt idx="2">
                  <c:v>3Y</c:v>
                </c:pt>
                <c:pt idx="3">
                  <c:v>5Y</c:v>
                </c:pt>
                <c:pt idx="4">
                  <c:v>7Y</c:v>
                </c:pt>
                <c:pt idx="5">
                  <c:v>10Y</c:v>
                </c:pt>
                <c:pt idx="6">
                  <c:v>20Y</c:v>
                </c:pt>
                <c:pt idx="7">
                  <c:v>30Y</c:v>
                </c:pt>
              </c:strCache>
            </c:strRef>
          </c:cat>
          <c:val>
            <c:numRef>
              <c:f>'T-Bond Yields'!$C$9:$C$16</c:f>
              <c:numCache>
                <c:formatCode>0.00%</c:formatCode>
                <c:ptCount val="8"/>
                <c:pt idx="0">
                  <c:v>4.9799999999999997E-2</c:v>
                </c:pt>
                <c:pt idx="1">
                  <c:v>4.6399999999999997E-2</c:v>
                </c:pt>
                <c:pt idx="2">
                  <c:v>4.4299999999999999E-2</c:v>
                </c:pt>
                <c:pt idx="3">
                  <c:v>4.2999999999999997E-2</c:v>
                </c:pt>
                <c:pt idx="4">
                  <c:v>4.3299999999999998E-2</c:v>
                </c:pt>
                <c:pt idx="5">
                  <c:v>4.3200000000000002E-2</c:v>
                </c:pt>
                <c:pt idx="6">
                  <c:v>4.5900000000000003E-2</c:v>
                </c:pt>
                <c:pt idx="7">
                  <c:v>4.4900000000000002E-2</c:v>
                </c:pt>
              </c:numCache>
            </c:numRef>
          </c:val>
          <c:smooth val="0"/>
          <c:extLst>
            <c:ext xmlns:c16="http://schemas.microsoft.com/office/drawing/2014/chart" uri="{C3380CC4-5D6E-409C-BE32-E72D297353CC}">
              <c16:uniqueId val="{00000000-0B96-450A-AC1A-A6292810A5CF}"/>
            </c:ext>
          </c:extLst>
        </c:ser>
        <c:ser>
          <c:idx val="1"/>
          <c:order val="1"/>
          <c:tx>
            <c:strRef>
              <c:f>'T-Bond Yields'!$D$3</c:f>
              <c:strCache>
                <c:ptCount val="1"/>
                <c:pt idx="0">
                  <c:v>2/21/2023</c:v>
                </c:pt>
              </c:strCache>
            </c:strRef>
          </c:tx>
          <c:spPr>
            <a:ln w="28575" cap="rnd">
              <a:solidFill>
                <a:schemeClr val="accent2"/>
              </a:solidFill>
              <a:round/>
            </a:ln>
            <a:effectLst/>
          </c:spPr>
          <c:marker>
            <c:symbol val="none"/>
          </c:marker>
          <c:cat>
            <c:strRef>
              <c:f>'T-Bond Yields'!$B$9:$B$16</c:f>
              <c:strCache>
                <c:ptCount val="8"/>
                <c:pt idx="0">
                  <c:v>1Y</c:v>
                </c:pt>
                <c:pt idx="1">
                  <c:v>2Y</c:v>
                </c:pt>
                <c:pt idx="2">
                  <c:v>3Y</c:v>
                </c:pt>
                <c:pt idx="3">
                  <c:v>5Y</c:v>
                </c:pt>
                <c:pt idx="4">
                  <c:v>7Y</c:v>
                </c:pt>
                <c:pt idx="5">
                  <c:v>10Y</c:v>
                </c:pt>
                <c:pt idx="6">
                  <c:v>20Y</c:v>
                </c:pt>
                <c:pt idx="7">
                  <c:v>30Y</c:v>
                </c:pt>
              </c:strCache>
            </c:strRef>
          </c:cat>
          <c:val>
            <c:numRef>
              <c:f>'T-Bond Yields'!$D$9:$D$16</c:f>
              <c:numCache>
                <c:formatCode>0.00%</c:formatCode>
                <c:ptCount val="8"/>
                <c:pt idx="0">
                  <c:v>5.0700000000000002E-2</c:v>
                </c:pt>
                <c:pt idx="1">
                  <c:v>4.6699999999999998E-2</c:v>
                </c:pt>
                <c:pt idx="2">
                  <c:v>4.4400000000000002E-2</c:v>
                </c:pt>
                <c:pt idx="3">
                  <c:v>4.1599999999999998E-2</c:v>
                </c:pt>
                <c:pt idx="4">
                  <c:v>4.0800000000000003E-2</c:v>
                </c:pt>
                <c:pt idx="5">
                  <c:v>3.95E-2</c:v>
                </c:pt>
                <c:pt idx="6">
                  <c:v>4.1200000000000001E-2</c:v>
                </c:pt>
                <c:pt idx="7">
                  <c:v>3.9800000000000002E-2</c:v>
                </c:pt>
              </c:numCache>
            </c:numRef>
          </c:val>
          <c:smooth val="0"/>
          <c:extLst>
            <c:ext xmlns:c16="http://schemas.microsoft.com/office/drawing/2014/chart" uri="{C3380CC4-5D6E-409C-BE32-E72D297353CC}">
              <c16:uniqueId val="{00000001-0B96-450A-AC1A-A6292810A5CF}"/>
            </c:ext>
          </c:extLst>
        </c:ser>
        <c:dLbls>
          <c:showLegendKey val="0"/>
          <c:showVal val="0"/>
          <c:showCatName val="0"/>
          <c:showSerName val="0"/>
          <c:showPercent val="0"/>
          <c:showBubbleSize val="0"/>
        </c:dLbls>
        <c:smooth val="0"/>
        <c:axId val="89457176"/>
        <c:axId val="89454552"/>
      </c:lineChart>
      <c:catAx>
        <c:axId val="89457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454552"/>
        <c:crosses val="autoZero"/>
        <c:auto val="1"/>
        <c:lblAlgn val="ctr"/>
        <c:lblOffset val="100"/>
        <c:noMultiLvlLbl val="0"/>
      </c:catAx>
      <c:valAx>
        <c:axId val="8945455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4571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647700</xdr:colOff>
      <xdr:row>2</xdr:row>
      <xdr:rowOff>9524</xdr:rowOff>
    </xdr:from>
    <xdr:to>
      <xdr:col>17</xdr:col>
      <xdr:colOff>666750</xdr:colOff>
      <xdr:row>31</xdr:row>
      <xdr:rowOff>171449</xdr:rowOff>
    </xdr:to>
    <xdr:graphicFrame macro="">
      <xdr:nvGraphicFramePr>
        <xdr:cNvPr id="5" name="Chart 4">
          <a:extLst>
            <a:ext uri="{FF2B5EF4-FFF2-40B4-BE49-F238E27FC236}">
              <a16:creationId xmlns:a16="http://schemas.microsoft.com/office/drawing/2014/main" id="{2339EA6C-B856-9E49-2F32-D6ECD4FDB5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wlshe\Documents\Models\NKE.xlsx" TargetMode="External"/><Relationship Id="rId1" Type="http://schemas.openxmlformats.org/officeDocument/2006/relationships/externalLinkPath" Target="NKE.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wlshe\Documents\Models\LEVI.xlsx" TargetMode="External"/><Relationship Id="rId1" Type="http://schemas.openxmlformats.org/officeDocument/2006/relationships/externalLinkPath" Target="LEVI.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wlshe\Documents\Models\DBX.xlsx" TargetMode="External"/><Relationship Id="rId1" Type="http://schemas.openxmlformats.org/officeDocument/2006/relationships/externalLinkPath" Target="DBX.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file:///C:\Users\wlshe\Documents\Models\ELY.xlsx" TargetMode="External"/><Relationship Id="rId1" Type="http://schemas.openxmlformats.org/officeDocument/2006/relationships/externalLinkPath" Target="ELY.xlsx" TargetMode="External"/></Relationships>
</file>

<file path=xl/externalLinks/_rels/externalLink5.xml.rels><?xml version="1.0" encoding="UTF-8" standalone="yes"?>
<Relationships xmlns="http://schemas.openxmlformats.org/package/2006/relationships"><Relationship Id="rId2" Type="http://schemas.openxmlformats.org/officeDocument/2006/relationships/externalLinkPath" Target="file:///C:\Users\wlshe\Documents\Models\WMT.xlsx" TargetMode="External"/><Relationship Id="rId1" Type="http://schemas.openxmlformats.org/officeDocument/2006/relationships/externalLinkPath" Target="WMT.xlsx" TargetMode="External"/></Relationships>
</file>

<file path=xl/externalLinks/_rels/externalLink6.xml.rels><?xml version="1.0" encoding="UTF-8" standalone="yes"?>
<Relationships xmlns="http://schemas.openxmlformats.org/package/2006/relationships"><Relationship Id="rId2" Type="http://schemas.openxmlformats.org/officeDocument/2006/relationships/externalLinkPath" Target="file:///C:\Users\wlshe\Documents\Models\TGT.xlsx" TargetMode="External"/><Relationship Id="rId1" Type="http://schemas.openxmlformats.org/officeDocument/2006/relationships/externalLinkPath" Target="TGT.xlsx"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file:///C:\Users\wlshe\Documents\Models\SBUX.xlsx" TargetMode="External"/><Relationship Id="rId1" Type="http://schemas.openxmlformats.org/officeDocument/2006/relationships/externalLinkPath" Target="SBUX.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file:///C:\Users\wlshe\Documents\Models\NFLX.xlsx" TargetMode="External"/><Relationship Id="rId1" Type="http://schemas.openxmlformats.org/officeDocument/2006/relationships/externalLinkPath" Target="NFLX.xlsx" TargetMode="External"/></Relationships>
</file>

<file path=xl/externalLinks/_rels/externalLink9.xml.rels><?xml version="1.0" encoding="UTF-8" standalone="yes"?>
<Relationships xmlns="http://schemas.openxmlformats.org/package/2006/relationships"><Relationship Id="rId2" Type="http://schemas.openxmlformats.org/officeDocument/2006/relationships/externalLinkPath" Target="file:///C:\Users\wlshe\Documents\Models\NVDA.xlsx" TargetMode="External"/><Relationship Id="rId1" Type="http://schemas.openxmlformats.org/officeDocument/2006/relationships/externalLinkPath" Target="NVDA.xlsx" TargetMode="External"/></Relationships>
</file>

<file path=xl/externalLinks/_rels/externalLink10.xml.rels><?xml version="1.0" encoding="UTF-8" standalone="yes"?>
<Relationships xmlns="http://schemas.openxmlformats.org/package/2006/relationships"><Relationship Id="rId2" Type="http://schemas.openxmlformats.org/officeDocument/2006/relationships/externalLinkPath" Target="file:///C:\Users\wlshe\Documents\Models\PFE.xlsx" TargetMode="External"/><Relationship Id="rId1" Type="http://schemas.openxmlformats.org/officeDocument/2006/relationships/externalLinkPath" Target="PFE.xlsx" TargetMode="External"/></Relationships>
</file>

<file path=xl/externalLinks/_rels/externalLink11.xml.rels><?xml version="1.0" encoding="UTF-8" standalone="yes"?>
<Relationships xmlns="http://schemas.openxmlformats.org/package/2006/relationships"><Relationship Id="rId2" Type="http://schemas.openxmlformats.org/officeDocument/2006/relationships/externalLinkPath" Target="file:///C:\Users\wlshe\Documents\Models\FL.xlsx" TargetMode="External"/><Relationship Id="rId1" Type="http://schemas.openxmlformats.org/officeDocument/2006/relationships/externalLinkPath" Target="FL.xlsx" TargetMode="External"/></Relationships>
</file>

<file path=xl/externalLinks/_rels/externalLink12.xml.rels><?xml version="1.0" encoding="UTF-8" standalone="yes"?>
<Relationships xmlns="http://schemas.openxmlformats.org/package/2006/relationships"><Relationship Id="rId2" Type="http://schemas.openxmlformats.org/officeDocument/2006/relationships/externalLinkPath" Target="file:///C:\Users\wlshe\Documents\Models\VTRS.xlsx" TargetMode="External"/><Relationship Id="rId1" Type="http://schemas.openxmlformats.org/officeDocument/2006/relationships/externalLinkPath" Target="VTRS.xlsx" TargetMode="External"/></Relationships>
</file>

<file path=xl/externalLinks/_rels/externalLink13.xml.rels><?xml version="1.0" encoding="UTF-8" standalone="yes"?>
<Relationships xmlns="http://schemas.openxmlformats.org/package/2006/relationships"><Relationship Id="rId2" Type="http://schemas.openxmlformats.org/officeDocument/2006/relationships/externalLinkPath" Target="file:///C:\Users\wlshe\Documents\Models\BBY.xlsx" TargetMode="External"/><Relationship Id="rId1" Type="http://schemas.openxmlformats.org/officeDocument/2006/relationships/externalLinkPath" Target="BBY.xlsx" TargetMode="External"/></Relationships>
</file>

<file path=xl/externalLinks/_rels/externalLink14.xml.rels><?xml version="1.0" encoding="UTF-8" standalone="yes"?>
<Relationships xmlns="http://schemas.openxmlformats.org/package/2006/relationships"><Relationship Id="rId2" Type="http://schemas.openxmlformats.org/officeDocument/2006/relationships/externalLinkPath" Target="file:///C:\Users\wlshe\Documents\Models\STM.xlsx" TargetMode="External"/><Relationship Id="rId1" Type="http://schemas.openxmlformats.org/officeDocument/2006/relationships/externalLinkPath" Target="STM.xlsx" TargetMode="External"/></Relationships>
</file>

<file path=xl/externalLinks/_rels/externalLink15.xml.rels><?xml version="1.0" encoding="UTF-8" standalone="yes"?>
<Relationships xmlns="http://schemas.openxmlformats.org/package/2006/relationships"><Relationship Id="rId2" Type="http://schemas.openxmlformats.org/officeDocument/2006/relationships/externalLinkPath" Target="file:///C:\Users\wlshe\Documents\Models\AMZN.xlsx" TargetMode="External"/><Relationship Id="rId1" Type="http://schemas.openxmlformats.org/officeDocument/2006/relationships/externalLinkPath" Target="AMZN.xlsx" TargetMode="External"/></Relationships>
</file>

<file path=xl/externalLinks/_rels/externalLink16.xml.rels><?xml version="1.0" encoding="UTF-8" standalone="yes"?>
<Relationships xmlns="http://schemas.openxmlformats.org/package/2006/relationships"><Relationship Id="rId2" Type="http://schemas.openxmlformats.org/officeDocument/2006/relationships/externalLinkPath" Target="file:///C:\Users\wlshe\Documents\Models\AAPL.xlsx" TargetMode="External"/><Relationship Id="rId1" Type="http://schemas.openxmlformats.org/officeDocument/2006/relationships/externalLinkPath" Target="AAPL.xlsx" TargetMode="External"/></Relationships>
</file>

<file path=xl/externalLinks/_rels/externalLink17.xml.rels><?xml version="1.0" encoding="UTF-8" standalone="yes"?>
<Relationships xmlns="http://schemas.openxmlformats.org/package/2006/relationships"><Relationship Id="rId2" Type="http://schemas.openxmlformats.org/officeDocument/2006/relationships/externalLinkPath" Target="file:///C:\Users\wlshe\Documents\Models\DUOL.xlsx" TargetMode="External"/><Relationship Id="rId1" Type="http://schemas.openxmlformats.org/officeDocument/2006/relationships/externalLinkPath" Target="DUOL.xlsx" TargetMode="External"/></Relationships>
</file>

<file path=xl/externalLinks/_rels/externalLink18.xml.rels><?xml version="1.0" encoding="UTF-8" standalone="yes"?>
<Relationships xmlns="http://schemas.openxmlformats.org/package/2006/relationships"><Relationship Id="rId2" Type="http://schemas.openxmlformats.org/officeDocument/2006/relationships/externalLinkPath" Target="file:///C:\Users\wlshe\Documents\Models\COTY.xlsx" TargetMode="External"/><Relationship Id="rId1" Type="http://schemas.openxmlformats.org/officeDocument/2006/relationships/externalLinkPath" Target="COTY.xlsx" TargetMode="External"/></Relationships>
</file>

<file path=xl/externalLinks/_rels/externalLink19.xml.rels><?xml version="1.0" encoding="UTF-8" standalone="yes"?>
<Relationships xmlns="http://schemas.openxmlformats.org/package/2006/relationships"><Relationship Id="rId2" Type="http://schemas.openxmlformats.org/officeDocument/2006/relationships/externalLinkPath" Target="file:///C:\Users\wlshe\Documents\Models\BIG.xlsx" TargetMode="External"/><Relationship Id="rId1" Type="http://schemas.openxmlformats.org/officeDocument/2006/relationships/externalLinkPath" Target="BI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DCF"/>
      <sheetName val="WACC"/>
    </sheetNames>
    <sheetDataSet>
      <sheetData sheetId="0">
        <row r="5">
          <cell r="C5">
            <v>1532.1</v>
          </cell>
        </row>
        <row r="7">
          <cell r="C7">
            <v>9927</v>
          </cell>
        </row>
        <row r="8">
          <cell r="C8">
            <v>8936</v>
          </cell>
        </row>
      </sheetData>
      <sheetData sheetId="1">
        <row r="59">
          <cell r="AT59">
            <v>9.6488974523656568E-2</v>
          </cell>
        </row>
        <row r="65">
          <cell r="BB65">
            <v>65.335353207723571</v>
          </cell>
        </row>
        <row r="66">
          <cell r="AT66">
            <v>0.43524610969014194</v>
          </cell>
        </row>
        <row r="67">
          <cell r="AT67">
            <v>0.11548899779370131</v>
          </cell>
        </row>
        <row r="68">
          <cell r="AT68">
            <v>0.18238993710691823</v>
          </cell>
        </row>
      </sheetData>
      <sheetData sheetId="2">
        <row r="18">
          <cell r="C18">
            <v>7.9644490125083622E-2</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WACC"/>
    </sheetNames>
    <sheetDataSet>
      <sheetData sheetId="0">
        <row r="5">
          <cell r="C5">
            <v>401.58329700000002</v>
          </cell>
        </row>
        <row r="7">
          <cell r="C7">
            <v>398.8</v>
          </cell>
        </row>
        <row r="8">
          <cell r="C8">
            <v>2168</v>
          </cell>
        </row>
      </sheetData>
      <sheetData sheetId="1">
        <row r="45">
          <cell r="AL45">
            <v>1.685957915896541E-3</v>
          </cell>
        </row>
        <row r="50">
          <cell r="AV50">
            <v>17.530246384279053</v>
          </cell>
        </row>
        <row r="52">
          <cell r="AL52">
            <v>0.56897556238873603</v>
          </cell>
        </row>
        <row r="53">
          <cell r="AL53">
            <v>7.1775368182553811E-2</v>
          </cell>
        </row>
        <row r="54">
          <cell r="AL54">
            <v>4.4175576814856496E-2</v>
          </cell>
        </row>
      </sheetData>
      <sheetData sheetId="2">
        <row r="18">
          <cell r="C18">
            <v>6.2908523021171267E-2</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WACC"/>
      <sheetName val="Ratios"/>
    </sheetNames>
    <sheetDataSet>
      <sheetData sheetId="0">
        <row r="3">
          <cell r="M3">
            <v>22.91548481095889</v>
          </cell>
        </row>
        <row r="5">
          <cell r="C5">
            <v>348.8</v>
          </cell>
        </row>
        <row r="7">
          <cell r="C7">
            <v>1253.0999999999999</v>
          </cell>
        </row>
        <row r="8">
          <cell r="C8">
            <v>2278.4</v>
          </cell>
        </row>
      </sheetData>
      <sheetData sheetId="1">
        <row r="30">
          <cell r="AO30">
            <v>7.7390055146206782E-2</v>
          </cell>
        </row>
        <row r="33">
          <cell r="AO33">
            <v>0.80893801883951988</v>
          </cell>
        </row>
        <row r="34">
          <cell r="AO34">
            <v>0.15333992859907947</v>
          </cell>
        </row>
        <row r="35">
          <cell r="AO35">
            <v>-0.97988583854308287</v>
          </cell>
        </row>
      </sheetData>
      <sheetData sheetId="2">
        <row r="18">
          <cell r="C18">
            <v>5.1466680590457232E-2</v>
          </cell>
        </row>
      </sheetData>
      <sheetData sheetId="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WACC"/>
    </sheetNames>
    <sheetDataSet>
      <sheetData sheetId="0">
        <row r="5">
          <cell r="C5">
            <v>201.5</v>
          </cell>
        </row>
        <row r="7">
          <cell r="C7">
            <v>180.6</v>
          </cell>
        </row>
        <row r="8">
          <cell r="C8">
            <v>1639.8</v>
          </cell>
        </row>
      </sheetData>
      <sheetData sheetId="1">
        <row r="28">
          <cell r="AR28">
            <v>0.2752023769820815</v>
          </cell>
        </row>
        <row r="33">
          <cell r="AY33">
            <v>5.8416428061448409</v>
          </cell>
        </row>
        <row r="36">
          <cell r="AR36">
            <v>0.60342368045649075</v>
          </cell>
        </row>
        <row r="37">
          <cell r="AR37">
            <v>6.4269089270966223E-2</v>
          </cell>
        </row>
        <row r="38">
          <cell r="AR38">
            <v>-0.11275546159267111</v>
          </cell>
        </row>
      </sheetData>
      <sheetData sheetId="2">
        <row r="18">
          <cell r="C18">
            <v>7.3356889927392671E-2</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WACC"/>
      <sheetName val="Ratios"/>
    </sheetNames>
    <sheetDataSet>
      <sheetData sheetId="0">
        <row r="3">
          <cell r="M3">
            <v>246.53351366994207</v>
          </cell>
        </row>
        <row r="5">
          <cell r="C5">
            <v>2701</v>
          </cell>
        </row>
        <row r="7">
          <cell r="C7">
            <v>9867</v>
          </cell>
        </row>
        <row r="8">
          <cell r="C8">
            <v>40457</v>
          </cell>
        </row>
      </sheetData>
      <sheetData sheetId="1">
        <row r="58">
          <cell r="AQ58">
            <v>6.7280193590965709E-2</v>
          </cell>
        </row>
        <row r="66">
          <cell r="AQ66">
            <v>0.24140463839525986</v>
          </cell>
        </row>
        <row r="67">
          <cell r="AQ67">
            <v>3.3417908714208827E-2</v>
          </cell>
        </row>
        <row r="68">
          <cell r="AQ68">
            <v>0.33638928067700985</v>
          </cell>
        </row>
      </sheetData>
      <sheetData sheetId="2">
        <row r="18">
          <cell r="C18">
            <v>3.7900355013211547E-2</v>
          </cell>
        </row>
      </sheetData>
      <sheetData sheetId="3"/>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DCF"/>
      <sheetName val="WACC"/>
    </sheetNames>
    <sheetDataSet>
      <sheetData sheetId="0">
        <row r="3">
          <cell r="M3">
            <v>256.04483672436879</v>
          </cell>
        </row>
        <row r="5">
          <cell r="C5">
            <v>462.5</v>
          </cell>
        </row>
        <row r="7">
          <cell r="C7">
            <v>954</v>
          </cell>
        </row>
        <row r="8">
          <cell r="C8">
            <v>16444</v>
          </cell>
        </row>
      </sheetData>
      <sheetData sheetId="1">
        <row r="32">
          <cell r="AN32">
            <v>2.9385406348757082E-2</v>
          </cell>
        </row>
        <row r="38">
          <cell r="AN38">
            <v>0.24643511730205278</v>
          </cell>
        </row>
        <row r="39">
          <cell r="AN39">
            <v>5.7120601173020528E-2</v>
          </cell>
        </row>
        <row r="40">
          <cell r="AN40">
            <v>0.1099431328623126</v>
          </cell>
        </row>
      </sheetData>
      <sheetData sheetId="2">
        <row r="18">
          <cell r="C18">
            <v>5.2633868912505821E-2</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DCF"/>
      <sheetName val="WACC"/>
    </sheetNames>
    <sheetDataSet>
      <sheetData sheetId="0">
        <row r="5">
          <cell r="C5">
            <v>1140.5999999999999</v>
          </cell>
        </row>
        <row r="7">
          <cell r="C7">
            <v>3383.4</v>
          </cell>
        </row>
        <row r="8">
          <cell r="C8">
            <v>13914.3</v>
          </cell>
        </row>
      </sheetData>
      <sheetData sheetId="1">
        <row r="29">
          <cell r="AU29">
            <v>0.11551210376337573</v>
          </cell>
        </row>
        <row r="34">
          <cell r="BG34">
            <v>77.425202139684458</v>
          </cell>
        </row>
        <row r="35">
          <cell r="AU35">
            <v>0.68286282925093678</v>
          </cell>
        </row>
        <row r="36">
          <cell r="AU36">
            <v>0.19912663027162861</v>
          </cell>
        </row>
        <row r="37">
          <cell r="AU37">
            <v>0.19078416728902159</v>
          </cell>
        </row>
      </sheetData>
      <sheetData sheetId="2">
        <row r="18">
          <cell r="C18">
            <v>7.3566822435085402E-2</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WACC"/>
      <sheetName val="Graphics"/>
    </sheetNames>
    <sheetDataSet>
      <sheetData sheetId="0">
        <row r="5">
          <cell r="C5">
            <v>452.41699999999997</v>
          </cell>
        </row>
        <row r="7">
          <cell r="C7">
            <v>7827.5039999999999</v>
          </cell>
        </row>
        <row r="8">
          <cell r="C8">
            <v>14437.128000000001</v>
          </cell>
        </row>
      </sheetData>
      <sheetData sheetId="1">
        <row r="33">
          <cell r="AN33">
            <v>6.45739131769969E-2</v>
          </cell>
        </row>
        <row r="40">
          <cell r="AU40">
            <v>132.73278748475823</v>
          </cell>
        </row>
        <row r="41">
          <cell r="AN41">
            <v>0.36098116662528418</v>
          </cell>
        </row>
        <row r="42">
          <cell r="AN42">
            <v>0.15701470104110174</v>
          </cell>
        </row>
        <row r="43">
          <cell r="AN43">
            <v>7.3344030182061384E-2</v>
          </cell>
        </row>
      </sheetData>
      <sheetData sheetId="2">
        <row r="18">
          <cell r="C18">
            <v>6.4009731443713219E-2</v>
          </cell>
        </row>
      </sheetData>
      <sheetData sheetId="3"/>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WACC"/>
    </sheetNames>
    <sheetDataSet>
      <sheetData sheetId="0">
        <row r="6">
          <cell r="C6">
            <v>2477</v>
          </cell>
        </row>
        <row r="8">
          <cell r="C8">
            <v>13296</v>
          </cell>
        </row>
        <row r="9">
          <cell r="C9">
            <v>10953</v>
          </cell>
        </row>
      </sheetData>
      <sheetData sheetId="1">
        <row r="19">
          <cell r="AQ19">
            <v>2.2293230289069932E-3</v>
          </cell>
        </row>
        <row r="25">
          <cell r="AQ25">
            <v>0.56928894490991322</v>
          </cell>
          <cell r="AZ25">
            <v>81.506807987771182</v>
          </cell>
        </row>
        <row r="26">
          <cell r="AQ26">
            <v>0.20679172536516646</v>
          </cell>
        </row>
        <row r="27">
          <cell r="AQ27">
            <v>-3.3604336043360432E-2</v>
          </cell>
        </row>
      </sheetData>
      <sheetData sheetId="2">
        <row r="18">
          <cell r="C18">
            <v>7.4473901113322444E-2</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WACC"/>
    </sheetNames>
    <sheetDataSet>
      <sheetData sheetId="0">
        <row r="6">
          <cell r="C6">
            <v>5727</v>
          </cell>
        </row>
        <row r="8">
          <cell r="C8">
            <v>19972</v>
          </cell>
        </row>
        <row r="9">
          <cell r="C9">
            <v>35892</v>
          </cell>
        </row>
      </sheetData>
      <sheetData sheetId="1">
        <row r="20">
          <cell r="AJ20">
            <v>0.23426582029327814</v>
          </cell>
        </row>
        <row r="27">
          <cell r="AJ27">
            <v>0.65770300305987184</v>
          </cell>
          <cell r="AS27">
            <v>98.220736355377696</v>
          </cell>
        </row>
        <row r="28">
          <cell r="AJ28">
            <v>0.3980026113564103</v>
          </cell>
        </row>
        <row r="29">
          <cell r="AJ29">
            <v>8.3797054009819974E-2</v>
          </cell>
        </row>
      </sheetData>
      <sheetData sheetId="2">
        <row r="18">
          <cell r="C18">
            <v>4.6045983502813831E-2</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WACC"/>
    </sheetNames>
    <sheetDataSet>
      <sheetData sheetId="0">
        <row r="6">
          <cell r="C6">
            <v>95.1</v>
          </cell>
        </row>
        <row r="8">
          <cell r="C8">
            <v>313</v>
          </cell>
        </row>
        <row r="9">
          <cell r="C9">
            <v>451</v>
          </cell>
        </row>
      </sheetData>
      <sheetData sheetId="1">
        <row r="19">
          <cell r="AM19">
            <v>-2.3211695123312115E-2</v>
          </cell>
        </row>
        <row r="26">
          <cell r="AM26">
            <v>0.31966183022963557</v>
          </cell>
          <cell r="AV26">
            <v>43.891925490081036</v>
          </cell>
        </row>
        <row r="27">
          <cell r="AM27">
            <v>0.10225065691762825</v>
          </cell>
        </row>
        <row r="28">
          <cell r="AM28">
            <v>0.1965065502183406</v>
          </cell>
        </row>
      </sheetData>
      <sheetData sheetId="2">
        <row r="18">
          <cell r="C18">
            <v>4.3864261049644818E-2</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WACC"/>
    </sheetNames>
    <sheetDataSet>
      <sheetData sheetId="0"/>
      <sheetData sheetId="1">
        <row r="28">
          <cell r="AH28">
            <v>7.0498590471111235</v>
          </cell>
        </row>
      </sheetData>
      <sheetData sheetId="2"/>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WACC"/>
    </sheetNames>
    <sheetDataSet>
      <sheetData sheetId="0">
        <row r="8">
          <cell r="C8">
            <v>636</v>
          </cell>
        </row>
        <row r="9">
          <cell r="C9">
            <v>4029</v>
          </cell>
        </row>
      </sheetData>
      <sheetData sheetId="1">
        <row r="14">
          <cell r="AC14">
            <v>218.3</v>
          </cell>
        </row>
        <row r="17">
          <cell r="AO17">
            <v>-0.10554278317652288</v>
          </cell>
        </row>
        <row r="24">
          <cell r="AO24">
            <v>0.21409132143937104</v>
          </cell>
          <cell r="BA24">
            <v>77.398062391903039</v>
          </cell>
        </row>
        <row r="25">
          <cell r="AO25">
            <v>4.1945656399844489E-2</v>
          </cell>
        </row>
        <row r="26">
          <cell r="AO26">
            <v>0.19691325172964344</v>
          </cell>
        </row>
      </sheetData>
      <sheetData sheetId="2">
        <row r="18">
          <cell r="C18">
            <v>6.0884162938071605E-2</v>
          </cell>
        </row>
      </sheetData>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DCF"/>
      <sheetName val="WACC"/>
    </sheetNames>
    <sheetDataSet>
      <sheetData sheetId="0">
        <row r="5">
          <cell r="C5">
            <v>942.9</v>
          </cell>
        </row>
        <row r="7">
          <cell r="C7">
            <v>6083</v>
          </cell>
        </row>
        <row r="8">
          <cell r="C8">
            <v>2927</v>
          </cell>
        </row>
      </sheetData>
      <sheetData sheetId="1">
        <row r="22">
          <cell r="AK22" t="e">
            <v>#DIV/0!</v>
          </cell>
        </row>
      </sheetData>
      <sheetData sheetId="2">
        <row r="18">
          <cell r="C18" t="e">
            <v>#DIV/0!</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WACC"/>
      <sheetName val="Model"/>
    </sheetNames>
    <sheetDataSet>
      <sheetData sheetId="0">
        <row r="5">
          <cell r="C5">
            <v>10308</v>
          </cell>
        </row>
        <row r="7">
          <cell r="C7">
            <v>53888</v>
          </cell>
        </row>
        <row r="8">
          <cell r="C8">
            <v>16138</v>
          </cell>
        </row>
      </sheetData>
      <sheetData sheetId="1">
        <row r="18">
          <cell r="C18">
            <v>6.9881909557268029E-2</v>
          </cell>
        </row>
      </sheetData>
      <sheetData sheetId="2">
        <row r="27">
          <cell r="AU27">
            <v>0.1182957412988368</v>
          </cell>
        </row>
        <row r="30">
          <cell r="BF30">
            <v>111.83755001316251</v>
          </cell>
        </row>
        <row r="34">
          <cell r="AU34">
            <v>0.46982088955000567</v>
          </cell>
        </row>
        <row r="35">
          <cell r="AU35">
            <v>6.4114407996033296E-2</v>
          </cell>
        </row>
        <row r="36">
          <cell r="AU36">
            <v>0.18989802167372261</v>
          </cell>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DCF"/>
      <sheetName val="WACC"/>
    </sheetNames>
    <sheetDataSet>
      <sheetData sheetId="0">
        <row r="5">
          <cell r="C5">
            <v>15576.641</v>
          </cell>
        </row>
        <row r="7">
          <cell r="C7">
            <v>73100</v>
          </cell>
        </row>
        <row r="8">
          <cell r="C8">
            <v>108040</v>
          </cell>
        </row>
      </sheetData>
      <sheetData sheetId="1">
        <row r="51">
          <cell r="AO51">
            <v>0.44131129577207562</v>
          </cell>
        </row>
        <row r="52">
          <cell r="AO52">
            <v>0.29821412265024722</v>
          </cell>
        </row>
        <row r="54">
          <cell r="AO54">
            <v>0.14719174228036858</v>
          </cell>
        </row>
        <row r="56">
          <cell r="AZ56">
            <v>82.423427496181077</v>
          </cell>
        </row>
        <row r="60">
          <cell r="AO60">
            <v>-2.800460530319937E-2</v>
          </cell>
        </row>
      </sheetData>
      <sheetData sheetId="2">
        <row r="18">
          <cell r="C18">
            <v>8.8789900307742461E-2</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WACC"/>
    </sheetNames>
    <sheetDataSet>
      <sheetData sheetId="0">
        <row r="6">
          <cell r="C6">
            <v>49</v>
          </cell>
        </row>
        <row r="8">
          <cell r="C8">
            <v>747.61</v>
          </cell>
        </row>
        <row r="9">
          <cell r="C9">
            <v>0</v>
          </cell>
        </row>
      </sheetData>
      <sheetData sheetId="1">
        <row r="37">
          <cell r="X37">
            <v>0.43739157498748304</v>
          </cell>
        </row>
        <row r="42">
          <cell r="AJ42">
            <v>179.69406171187131</v>
          </cell>
        </row>
        <row r="44">
          <cell r="X44">
            <v>0.7324372209847696</v>
          </cell>
        </row>
        <row r="45">
          <cell r="X45">
            <v>-2.4964743583708725E-2</v>
          </cell>
        </row>
        <row r="46">
          <cell r="X46">
            <v>9.6191708387241698E-2</v>
          </cell>
        </row>
      </sheetData>
      <sheetData sheetId="2">
        <row r="18">
          <cell r="C18">
            <v>6.2941209427912495E-2</v>
          </cell>
        </row>
      </sheetData>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WACC"/>
    </sheetNames>
    <sheetDataSet>
      <sheetData sheetId="0">
        <row r="6">
          <cell r="C6">
            <v>922.8</v>
          </cell>
        </row>
        <row r="8">
          <cell r="C8">
            <v>450</v>
          </cell>
        </row>
        <row r="9">
          <cell r="C9">
            <v>3691.8</v>
          </cell>
        </row>
      </sheetData>
      <sheetData sheetId="1">
        <row r="17">
          <cell r="AQ17">
            <v>4.7074127139733024E-2</v>
          </cell>
        </row>
        <row r="24">
          <cell r="AQ24">
            <v>0.6386813345096416</v>
          </cell>
          <cell r="AZ24">
            <v>9.4495128429675077</v>
          </cell>
        </row>
        <row r="25">
          <cell r="AQ25">
            <v>0.13125438864982633</v>
          </cell>
        </row>
        <row r="26">
          <cell r="AQ26">
            <v>0.20402201999775299</v>
          </cell>
        </row>
      </sheetData>
      <sheetData sheetId="2">
        <row r="18">
          <cell r="C18">
            <v>8.3341765758214809E-2</v>
          </cell>
        </row>
      </sheetData>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DCF"/>
      <sheetName val="WACC"/>
    </sheetNames>
    <sheetDataSet>
      <sheetData sheetId="0">
        <row r="5">
          <cell r="C5">
            <v>29.3</v>
          </cell>
        </row>
      </sheetData>
      <sheetData sheetId="1">
        <row r="19">
          <cell r="AK19">
            <v>-0.1109279854349241</v>
          </cell>
        </row>
        <row r="25">
          <cell r="AT25">
            <v>-119.74897291383805</v>
          </cell>
        </row>
        <row r="26">
          <cell r="AK26">
            <v>0.34992408101268224</v>
          </cell>
        </row>
        <row r="27">
          <cell r="AK27">
            <v>-1.9502118471657514E-2</v>
          </cell>
        </row>
        <row r="28">
          <cell r="AK28">
            <v>0.36638617478095792</v>
          </cell>
        </row>
      </sheetData>
      <sheetData sheetId="2">
        <row r="18">
          <cell r="C18">
            <v>6.1315001319892676E-2</v>
          </cell>
        </row>
      </sheetData>
    </sheetDataSet>
  </externalBook>
</externalLink>
</file>

<file path=xl/persons/person.xml><?xml version="1.0" encoding="utf-8"?>
<personList xmlns="http://schemas.microsoft.com/office/spreadsheetml/2018/threadedcomments" xmlns:x="http://schemas.openxmlformats.org/spreadsheetml/2006/main">
  <person displayName="Bill Sheldon" id="{0B70E71E-C7EA-4D07-A18F-818B0AC5AD56}" userId="667679d5bb2810d2" providerId="Windows Live"/>
  <person displayName="Sheldon, William L" id="{36482EE5-E3AA-4764-BC1F-232FF95AD7AD}" userId="S::wls03561@sjfc.edu::8d48f2f3-f221-4d4a-a809-96e2f0718e23" providerId="AD"/>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57">
  <rv s="0">
    <v>https://www.bing.com/financeapi/forcetrigger?t=a1yjxm&amp;q=XNYS%3aNKE&amp;form=skydnc</v>
    <v>Learn more on Bing</v>
  </rv>
  <rv s="1">
    <v>en-US</v>
    <v>a1yjxm</v>
    <v>268435456</v>
    <v>1</v>
    <v>Powered by Refinitiv</v>
    <v>0</v>
    <v>NIKE, INC. (XNYS:NKE)</v>
    <v>2</v>
    <v>3</v>
    <v>Finance</v>
    <v>4</v>
    <v>128.68</v>
    <v>88.66</v>
    <v>1.1027</v>
    <v>-2.34</v>
    <v>-2.2968000000000002E-2</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83700</v>
    <v>New York Stock Exchange</v>
    <v>XNYS</v>
    <v>XNYS</v>
    <v>One Bowerman Dr, BEAVERTON, OR, 97005-6453 US</v>
    <v>101.77</v>
    <v>Textiles &amp; Apparel</v>
    <v>Stock</v>
    <v>45356.041020126562</v>
    <v>0</v>
    <v>99.01</v>
    <v>150815243880</v>
    <v>NIKE, INC.</v>
    <v>NIKE, INC.</v>
    <v>101.65</v>
    <v>29.062899999999999</v>
    <v>101.88</v>
    <v>99.54</v>
    <v>1515122000</v>
    <v>NKE</v>
    <v>NIKE, INC. (XNYS:NKE)</v>
    <v>9263</v>
    <v>8175437</v>
    <v>1969</v>
  </rv>
  <rv s="2">
    <v>1</v>
  </rv>
  <rv s="0">
    <v>https://www.bing.com/financeapi/forcetrigger?t=bpipfr&amp;q=XNYS%3aLEVI&amp;form=skydnc</v>
    <v>Learn more on Bing</v>
  </rv>
  <rv s="1">
    <v>en-US</v>
    <v>bpipfr</v>
    <v>268435456</v>
    <v>1</v>
    <v>Powered by Refinitiv</v>
    <v>0</v>
    <v>LEVI STRAUSS &amp; CO. (XNYS:LEVI)</v>
    <v>2</v>
    <v>3</v>
    <v>Finance</v>
    <v>5</v>
    <v>18.47</v>
    <v>12.414999999999999</v>
    <v>1.2042999999999999</v>
    <v>0.1</v>
    <v>5.4819999999999999E-3</v>
    <v>USD</v>
    <v>Levi Strauss &amp; Co. is an apparel company. The Company designs and markets jeans, casual wear and related accessories for men, women and children under the Levi's, Signatureby Levi Strauss &amp; Co., Denizen, Dockers and Beyond Yoga brands. The Company operates through three geographical segments: Americas, Europe, and Asia. It designs, markets and sells directly or through third parties and licensee's products that include jeans, casual and dress pants, tops, shorts, skirts, dresses, jackets, footwear, and related accessories for men, women and children around the world. The Company’s products are sold in more than 110 countries worldwide through a combination of chain retailers, department stores, online sites, and a global footprint of approximately 3,200 retail stores and shop-in-shops. Outside the United States, department stores, specialty retailers, franchised or other brand-dedicated stores and shop-in-shops are its primary distribution channels.</v>
    <v>19100</v>
    <v>New York Stock Exchange</v>
    <v>XNYS</v>
    <v>XNYS</v>
    <v>1155 Battery St, SAN FRANCISCO, CA, 94111 US</v>
    <v>18.395</v>
    <v>Textiles &amp; Apparel</v>
    <v>Stock</v>
    <v>45355.976439803126</v>
    <v>3</v>
    <v>18.16</v>
    <v>7298975208</v>
    <v>LEVI STRAUSS &amp; CO.</v>
    <v>LEVI STRAUSS &amp; CO.</v>
    <v>18.22</v>
    <v>29.335999999999999</v>
    <v>18.239999999999998</v>
    <v>18.34</v>
    <v>397981200</v>
    <v>LEVI</v>
    <v>LEVI STRAUSS &amp; CO. (XNYS:LEVI)</v>
    <v>28</v>
    <v>1824070</v>
    <v>1970</v>
  </rv>
  <rv s="2">
    <v>4</v>
  </rv>
  <rv s="0">
    <v>https://www.bing.com/financeapi/forcetrigger?t=azcrur&amp;q=XNAS%3aDBX&amp;form=skydnc</v>
    <v>Learn more on Bing</v>
  </rv>
  <rv s="1">
    <v>en-US</v>
    <v>azcrur</v>
    <v>268435456</v>
    <v>1</v>
    <v>Powered by Refinitiv</v>
    <v>0</v>
    <v>DROPBOX, INC. (XNAS:DBX)</v>
    <v>2</v>
    <v>3</v>
    <v>Finance</v>
    <v>5</v>
    <v>33.43</v>
    <v>18.710699999999999</v>
    <v>0.71519999999999995</v>
    <v>-0.04</v>
    <v>-1.6569999999999998E-3</v>
    <v>USD</v>
    <v>Dropbox, Inc. provides tools to help distributed teams prioritize, get organized, and keep work moving securely from anywhere. Its products include Dropbox Passwords, Vault, Computer Backup, Dropbox Sign, DocSend, Dropbox Capture and FormSwift, among others. Dropbox Passwords allows users to sign into Websites and apps by creating and storing usernames and passwords across devices. Dropbox Vault helps secure and organize sensitive information in the cloud. Computer backup automatically syncs folders on a user's computer to the cloud. Dropbox Sign is an e-signature and document workflow platform that enables customers to easily sign, send and receive documents through its intuitive Web and mobile-based interfaces. DocSend is a secure document sharing and analytics platform. Dropbox Capture is an all-in-one visual communication tool that helps team members share their work and ideas asynchronously. Its customers include individuals, families, teams, and organizations of all sizes.</v>
    <v>2693</v>
    <v>Nasdaq Stock Market</v>
    <v>XNAS</v>
    <v>XNAS</v>
    <v>1800 Owens Street, Suite 200, SAN FRANCISCO, CA, 94158 US</v>
    <v>24.62</v>
    <v>Software &amp; IT Services</v>
    <v>Stock</v>
    <v>45356.037409003904</v>
    <v>6</v>
    <v>24.06</v>
    <v>8290019220</v>
    <v>DROPBOX, INC.</v>
    <v>DROPBOX, INC.</v>
    <v>24.29</v>
    <v>18.068899999999999</v>
    <v>24.14</v>
    <v>24.1</v>
    <v>343984200</v>
    <v>DBX</v>
    <v>DROPBOX, INC. (XNAS:DBX)</v>
    <v>35</v>
    <v>4953642</v>
    <v>2007</v>
  </rv>
  <rv s="2">
    <v>7</v>
  </rv>
  <rv s="0">
    <v>https://www.bing.com/financeapi/forcetrigger?t=a1rvk2&amp;q=XNYS%3aELY&amp;form=skydnc</v>
    <v>Learn more on Bing</v>
  </rv>
  <rv s="1">
    <v>en-US</v>
    <v>a1rvk2</v>
    <v>268435456</v>
    <v>1</v>
    <v>Powered by Refinitiv</v>
    <v>0</v>
    <v>TOPGOLF CALLAWAY BRANDS CORP. (XNYS:MODG)</v>
    <v>2</v>
    <v>3</v>
    <v>Finance</v>
    <v>5</v>
    <v>24.085000000000001</v>
    <v>9.84</v>
    <v>1.8620000000000001</v>
    <v>-0.1</v>
    <v>-6.9930000000000001E-3</v>
    <v>USD</v>
    <v>Topgolf Callaway Brands Corp. is a golf and active lifestyle company. The Company provides golf entertainment experiences, designs, and manufactures premium golf equipment, and sells golf and active lifestyle apparel and other accessories through its family of brand names, which include Topgolf, Callaway Golf, Odyssey, TravisMathew, Jack Wolfskin, OGIO and Toptracer. It operates through three business segments: Topgolf, Golf Equipment, and Active Lifestyle. The Topgolf is a technology-enabled golf entertainment business. Its platform offers open-air golf and entertainment venues as well as its Toptracer ball-tracking technology and digital media platform. The Golf Equipment segment is engaged in designing, manufacturing, and selling a full line of golf equipment, which is comprised of the golf clubs and golf balls product groups. Under Active Lifestyle segment, the Company designs, develops and sells soft good products under the Callaway, TravisMathew, OGIO, and Jack Wolfskin brands.</v>
    <v>32000</v>
    <v>New York Stock Exchange</v>
    <v>XNYS</v>
    <v>XNYS</v>
    <v>2180 RUTHERFORD RD, CARLSBAD, CA, 92008-7328 US</v>
    <v>14.47</v>
    <v>Leisure Products</v>
    <v>Stock</v>
    <v>45356.041338205468</v>
    <v>9</v>
    <v>14.09</v>
    <v>2620141400</v>
    <v>TOPGOLF CALLAWAY BRANDS CORP.</v>
    <v>TOPGOLF CALLAWAY BRANDS CORP.</v>
    <v>14.46</v>
    <v>30.827300000000001</v>
    <v>14.3</v>
    <v>14.2</v>
    <v>183598000</v>
    <v>MODG</v>
    <v>TOPGOLF CALLAWAY BRANDS CORP. (XNYS:MODG)</v>
    <v>19</v>
    <v>2861128</v>
    <v>1999</v>
  </rv>
  <rv s="2">
    <v>10</v>
  </rv>
  <rv s="0">
    <v>https://www.bing.com/financeapi/forcetrigger?t=a25ya2&amp;q=XNYS%3aWMT&amp;form=skydnc</v>
    <v>Learn more on Bing</v>
  </rv>
  <rv s="1">
    <v>en-US</v>
    <v>a25ya2</v>
    <v>268435456</v>
    <v>1</v>
    <v>Powered by Refinitiv</v>
    <v>0</v>
    <v>WALMART INC. (XNYS:WMT)</v>
    <v>2</v>
    <v>3</v>
    <v>Finance</v>
    <v>4</v>
    <v>60.4499</v>
    <v>45.363300000000002</v>
    <v>0.49830000000000002</v>
    <v>0.56999999999999995</v>
    <v>9.7000000000000003E-3</v>
    <v>USD</v>
    <v>Walmart Inc. is a technology-powered omni-channel retailer. The Company provides the opportunity to shop in both retail stores and through e-commerce and to access its other service offerings. It offers an assortment of merchandise and services at everyday low prices (EDLP). It operates through three segments: Walmart U.S., Walmart International and Sam's Club. The Walmart U.S. segment is a mass merchandiser of consumer products, operating under the Walmart and Walmart Neighborhood Market brands, as well as walmart.com and other e-commerce brands. Walmart International segment includes various formats divided into two categories: retail and wholesale. These categories consist of many formats, including supercenters, supermarkets, hypermarkets, warehouse clubs (including Sam's Clubs) and cash &amp; carry, as well as e-commerce through walmart.com.mx, walmart.ca, flipkart.com, walmart.cn and other sites. Sam's Club segment is a membership-only warehouse club that also operates samsclub.com.</v>
    <v>2100000</v>
    <v>New York Stock Exchange</v>
    <v>XNYS</v>
    <v>XNYS</v>
    <v>702 SW 8th St, BENTONVILLE, AR, 72716-6209 US</v>
    <v>59.39</v>
    <v>Food &amp; Drug Retailing</v>
    <v>Stock</v>
    <v>45356.041603135935</v>
    <v>12</v>
    <v>58.4</v>
    <v>477772149360</v>
    <v>WALMART INC.</v>
    <v>WALMART INC.</v>
    <v>58.5</v>
    <v>30.994599999999998</v>
    <v>58.76</v>
    <v>59.33</v>
    <v>8052792000</v>
    <v>WMT</v>
    <v>WALMART INC. (XNYS:WMT)</v>
    <v>24861</v>
    <v>24718372</v>
    <v>1969</v>
  </rv>
  <rv s="2">
    <v>13</v>
  </rv>
  <rv s="0">
    <v>https://www.bing.com/financeapi/forcetrigger?t=a246z2&amp;q=XNYS%3aTGT&amp;form=skydnc</v>
    <v>Learn more on Bing</v>
  </rv>
  <rv s="1">
    <v>en-US</v>
    <v>a246z2</v>
    <v>268435456</v>
    <v>1</v>
    <v>Powered by Refinitiv</v>
    <v>0</v>
    <v>TARGET CORPORATION (XNYS:TGT)</v>
    <v>2</v>
    <v>3</v>
    <v>Finance</v>
    <v>4</v>
    <v>171.24</v>
    <v>102.93</v>
    <v>1.1227</v>
    <v>-4.88</v>
    <v>-3.1425000000000002E-2</v>
    <v>USD</v>
    <v>Target Corporation (Target) is a general merchandise retailer selling products to its guests through its stores and digital channels. The Company sells an assortment of general merchandise and food. The Company’s product categories include apparel and accessories, beauty and household essentials, food and beverage, hardlines, and home furnishing and decor. Its general merchandise stores offer an edited food assortment, including perishables, dry grocery, dairy and frozen items. The Company operates over 1,948 stores and has stores of approximately 170,000 square feet, which offer a full line of food items comparable to traditional supermarkets. Its small-format stores has over 50,000 square feet and offer curated general merchandise and food assortments. Its brands include Art Class, Smartly, Auden, JoyLab, Smith &amp; Hawken, Ava &amp; Viv, Kindfull, Sonia Kashuk, Casaluna, Market Pantry, Threshold, Cat &amp; Jack, Mondo Llama, Universal Thread, Cloud Island, More Than Magic, up &amp; up, and others.</v>
    <v>440000</v>
    <v>New York Stock Exchange</v>
    <v>XNYS</v>
    <v>XNYS</v>
    <v>1000 Nicollet Mall, MINNEAPOLIS, MN, 55403 US</v>
    <v>154.77000000000001</v>
    <v>Diversified Retail</v>
    <v>Stock</v>
    <v>45356.041446353905</v>
    <v>15</v>
    <v>150.08500000000001</v>
    <v>69438551338</v>
    <v>TARGET CORPORATION</v>
    <v>TARGET CORPORATION</v>
    <v>153.19</v>
    <v>19.172799999999999</v>
    <v>155.29</v>
    <v>150.41</v>
    <v>461661800</v>
    <v>TGT</v>
    <v>TARGET CORPORATION (XNYS:TGT)</v>
    <v>399514</v>
    <v>3741485</v>
    <v>1902</v>
  </rv>
  <rv s="2">
    <v>16</v>
  </rv>
  <rv s="0">
    <v>https://www.bing.com/financeapi/forcetrigger?t=a22k9c&amp;q=XNAS%3aSBUX&amp;form=skydnc</v>
    <v>Learn more on Bing</v>
  </rv>
  <rv s="1">
    <v>en-US</v>
    <v>a22k9c</v>
    <v>268435456</v>
    <v>1</v>
    <v>Powered by Refinitiv</v>
    <v>0</v>
    <v>STARBUCKS CORPORATION (XNAS:SBUX)</v>
    <v>2</v>
    <v>3</v>
    <v>Finance</v>
    <v>4</v>
    <v>115.48</v>
    <v>89.21</v>
    <v>0.98070000000000002</v>
    <v>-0.7</v>
    <v>-7.5139999999999998E-3</v>
    <v>USD</v>
    <v>Starbucks Corporation is a coffee company engaged in sourcing and roasting arabica coffee. The Company has more than 38,000 stores worldwide and is the roaster and retailer of specialty coffee in the world. It operates through three segments: North America, which is inclusive of the United States and Canada; International, which is inclusive of China, Japan, Asia Pacific, Europe, Middle East and Africa, Latin America, and Caribbean; and Channel Development. Its North America and International segments include both Company-operated and licensed stores. Its Channel Development segment includes roasted whole bean and ground coffees, Starbucks and Teavana-branded single-serve products, a variety of ready-to-drink beverages, such as Frappuccino and Starbucks Doubleshot, foodservice products and other branded products sold worldwide outside of Company-operated and licensed stores. It also sells goods and services under various brands, including Teavana, Ethos, Starbucks Reserve and Princi.</v>
    <v>381000</v>
    <v>Nasdaq Stock Market</v>
    <v>XNAS</v>
    <v>XNAS</v>
    <v>P O Box 34067, SEATTLE, WA, 98124-1067 US</v>
    <v>93.32</v>
    <v>Hotels &amp; Entertainment Services</v>
    <v>Stock</v>
    <v>45355.911797036715</v>
    <v>18</v>
    <v>92.04</v>
    <v>105475800000</v>
    <v>STARBUCKS CORPORATION</v>
    <v>STARBUCKS CORPORATION</v>
    <v>93.06</v>
    <v>28.213999999999999</v>
    <v>93.16</v>
    <v>92.46</v>
    <v>1132200000</v>
    <v>SBUX</v>
    <v>STARBUCKS CORPORATION (XNAS:SBUX)</v>
    <v>3336</v>
    <v>9793675</v>
    <v>1985</v>
  </rv>
  <rv s="2">
    <v>19</v>
  </rv>
  <rv s="0">
    <v>https://www.bing.com/financeapi/forcetrigger?t=a1ygoc&amp;q=XNAS%3aNFLX&amp;form=skydnc</v>
    <v>Learn more on Bing</v>
  </rv>
  <rv s="1">
    <v>en-US</v>
    <v>a1ygoc</v>
    <v>268435456</v>
    <v>1</v>
    <v>Powered by Refinitiv</v>
    <v>0</v>
    <v>NETFLIX, INC. (XNAS:NFLX)</v>
    <v>2</v>
    <v>3</v>
    <v>Finance</v>
    <v>4</v>
    <v>624.41999999999996</v>
    <v>285.33010000000002</v>
    <v>1.2195</v>
    <v>-3.51</v>
    <v>-5.6670000000000002E-3</v>
    <v>USD</v>
    <v>Netflix, Inc. is a provider of entertainment services. The Company acquires, licenses and produces content, including original programming. The Company provides paid memberships in approximately 190 countries offering television (TV) series, films and games across a wide variety of genres and languages. Its members can play, pause and resume watching as much as they want, anytime, anywhere, and can change their plans at any time. The Company offers members the ability to receive streaming content through a host of Internet-connected devices, including TVs, digital video players, TV set-top boxes and mobile devices. The Company also has agreements with various cable, satellite and telecommunications operators to make its service available through TV set-top boxes. The Company's paid plans range from the United States dollar equivalent of $1 to $28 per month, and pricing on its extra member sub accounts range from the United States dollar equivalent of $2 to $8 per month.</v>
    <v>13000</v>
    <v>Nasdaq Stock Market</v>
    <v>XNAS</v>
    <v>XNAS</v>
    <v>121 Albright Way, LOS GATOS, CA, 95032 US</v>
    <v>624.41999999999996</v>
    <v>Software &amp; IT Services</v>
    <v>Stock</v>
    <v>45356.041666446094</v>
    <v>21</v>
    <v>615.08000000000004</v>
    <v>266506344468</v>
    <v>NETFLIX, INC.</v>
    <v>NETFLIX, INC.</v>
    <v>621.55999999999995</v>
    <v>51.2395</v>
    <v>619.34</v>
    <v>615.83000000000004</v>
    <v>432759600</v>
    <v>NFLX</v>
    <v>NETFLIX, INC. (XNAS:NFLX)</v>
    <v>7551</v>
    <v>3875696</v>
    <v>1997</v>
  </rv>
  <rv s="2">
    <v>22</v>
  </rv>
  <rv s="0">
    <v>https://www.bing.com/financeapi/forcetrigger?t=a1yv52&amp;q=XNAS%3aNVDA&amp;form=skydnc</v>
    <v>Learn more on Bing</v>
  </rv>
  <rv s="1">
    <v>en-US</v>
    <v>a1yv52</v>
    <v>268435456</v>
    <v>1</v>
    <v>Powered by Refinitiv</v>
    <v>0</v>
    <v>NVIDIA CORPORATION (XNAS:NVDA)</v>
    <v>2</v>
    <v>3</v>
    <v>Finance</v>
    <v>4</v>
    <v>876.95</v>
    <v>222.97</v>
    <v>1.7204999999999999</v>
    <v>29.58</v>
    <v>3.5950999999999997E-2</v>
    <v>USD</v>
    <v>NVIDIA Corporation is a full-stack computing infrastructure company. The Company accelerates computing to help solve the computational problems. The Company’s segments include Compute &amp; Networking and Graphics. Compute &amp; Networking segment includes its data center accelerated computing platform; networking; automotive artificial intelligence (AI), cockpit, autonomous driving development agreements and autonomous vehicle solutions; electric vehicle computing platforms; NVIDIA AI Enterprise and other software.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29600</v>
    <v>Nasdaq Stock Market</v>
    <v>XNAS</v>
    <v>XNAS</v>
    <v>2788 San Tomas Expressway, SANTA CLARA, CA, 95051 US</v>
    <v>876.95</v>
    <v>Semiconductors &amp; Semiconductor Equipment</v>
    <v>Stock</v>
    <v>45356.041664710159</v>
    <v>24</v>
    <v>837.19</v>
    <v>2130925000000</v>
    <v>NVIDIA CORPORATION</v>
    <v>NVIDIA CORPORATION</v>
    <v>841.3</v>
    <v>71.452799999999996</v>
    <v>822.79</v>
    <v>852.37</v>
    <v>2500000000</v>
    <v>NVDA</v>
    <v>NVIDIA CORPORATION (XNAS:NVDA)</v>
    <v>902170</v>
    <v>53543656</v>
    <v>1998</v>
  </rv>
  <rv s="2">
    <v>25</v>
  </rv>
  <rv s="0">
    <v>https://www.bing.com/financeapi/forcetrigger?t=a1zqnm&amp;q=XNYS%3aPFE&amp;form=skydnc</v>
    <v>Learn more on Bing</v>
  </rv>
  <rv s="1">
    <v>en-US</v>
    <v>a1zqnm</v>
    <v>268435456</v>
    <v>1</v>
    <v>Powered by Refinitiv</v>
    <v>0</v>
    <v>PFIZER INC. (XNYS:PFE)</v>
    <v>2</v>
    <v>3</v>
    <v>Finance</v>
    <v>4</v>
    <v>42.22</v>
    <v>25.61</v>
    <v>0.59250000000000003</v>
    <v>-0.7</v>
    <v>-2.6326000000000002E-2</v>
    <v>USD</v>
    <v>Pfizer Inc. is a research-based global biopharmaceutical company. The Company is engaged in the discovery, development, manufacture, marketing, sale and distribution of biopharmaceutical products worldwide. Its Biopharma segment is engaged in the science-based biopharmaceutical business. Its Biopharma segment includes the Pfizer Oncology Division, the Pfizer U.S. Commercial Division, and the Pfizer International Commercial Division. Its product categories include oncology, primary care and specialty care. Its Oncology products include Ibrance, Xtandi, Inlyta, Bosulif, Lorbrena, Braftovi, Mektovi, Padcev, Adcetris, Talzenna, Tukysa, Elrexfio and Tivdak. Its primary care products include Eliquis, Nurtec ODT/Vydura, Comirnaty, the Prevnar family, Abrysvo, FSME/IMMUN-TicoVac, Paxlovid and Lucira by Pfizer. Its specialty care products include Xeljanz, Enbrel (outside the U.S. and Canada), Inflectra, Cibinqo, Litfulo, Vyndaqel family, Genotropin, Sulperazon, Zavicefta, Medrol and Panzyga.</v>
    <v>88000</v>
    <v>New York Stock Exchange</v>
    <v>XNYS</v>
    <v>XNYS</v>
    <v>66 HUDSON BOULEVARD EAST, NEW YORK, NY, 10001-2192 US</v>
    <v>26.46</v>
    <v>Pharmaceuticals</v>
    <v>Stock</v>
    <v>45356.0415039</v>
    <v>27</v>
    <v>25.61</v>
    <v>146195082420</v>
    <v>PFIZER INC.</v>
    <v>PFIZER INC.</v>
    <v>26.3</v>
    <v>72.066800000000001</v>
    <v>26.59</v>
    <v>25.89</v>
    <v>5646778000</v>
    <v>PFE</v>
    <v>PFIZER INC. (XNYS:PFE)</v>
    <v>51922</v>
    <v>45197950</v>
    <v>1942</v>
  </rv>
  <rv s="2">
    <v>28</v>
  </rv>
  <rv s="0">
    <v>https://www.bing.com/financeapi/forcetrigger?t=a1y7rw&amp;q=XNAS%3aVTRS&amp;form=skydnc</v>
    <v>Learn more on Bing</v>
  </rv>
  <rv s="1">
    <v>en-US</v>
    <v>a1y7rw</v>
    <v>268435456</v>
    <v>1</v>
    <v>Powered by Refinitiv</v>
    <v>0</v>
    <v>VIATRIS INC. (XNAS:VTRS)</v>
    <v>2</v>
    <v>3</v>
    <v>Finance</v>
    <v>4</v>
    <v>13.6175</v>
    <v>8.74</v>
    <v>1.1388</v>
    <v>-0.23</v>
    <v>-1.8268E-2</v>
    <v>USD</v>
    <v>Viatris Inc. (Viatris) is a global healthcare company. The Company's segments include Developed Markets, Greater China, JANZ, and Emerging Markets. Its Developed Markets segment comprises its operations primarily in North America and Europe. The Greater China segment includes its operations in mainland China, Taiwan and Hong Kong. The JANZ segment consists of its operations in Japan, Australia and New Zealand. The Emerging Markets segment encompasses its presence in more than 125 countries with developing markets and emerging economies, as well as the Company’s ARV franchise. Its portfolio comprises over 1,400 approved molecules across a range of key therapeutic areas, including key brands and complex generics. It operates around 40 manufacturing sites worldwide, which produce oral solid doses, injectables, complex dosage forms and active pharmaceutical ingredients. Its products include Lyrica, Lipitor, Creon, Influvac, Wixela Inhub, EpiPen Auto Injector, Fraxiparine and Yupelri.</v>
    <v>38000</v>
    <v>Nasdaq Stock Market</v>
    <v>XNAS</v>
    <v>XNAS</v>
    <v>1000 Mylan Boulevard, CANONSBURG, PA, 15317 US</v>
    <v>12.6</v>
    <v>Pharmaceuticals</v>
    <v>Stock</v>
    <v>45356.024859409372</v>
    <v>30</v>
    <v>12.23</v>
    <v>14951500000</v>
    <v>VIATRIS INC.</v>
    <v>VIATRIS INC.</v>
    <v>12.59</v>
    <v>291.99149999999997</v>
    <v>12.59</v>
    <v>12.36</v>
    <v>1187569000</v>
    <v>VTRS</v>
    <v>VIATRIS INC. (XNAS:VTRS)</v>
    <v>396</v>
    <v>11065667</v>
    <v>2019</v>
  </rv>
  <rv s="2">
    <v>31</v>
  </rv>
  <rv s="0">
    <v>https://www.bing.com/financeapi/forcetrigger?t=a1sy77&amp;q=XNYS%3aFL&amp;form=skydnc</v>
    <v>Learn more on Bing</v>
  </rv>
  <rv s="1">
    <v>en-US</v>
    <v>a1sy77</v>
    <v>268435456</v>
    <v>1</v>
    <v>Powered by Refinitiv</v>
    <v>0</v>
    <v>FOOT LOCKER, INC. (XNYS:FL)</v>
    <v>2</v>
    <v>3</v>
    <v>Finance</v>
    <v>5</v>
    <v>47</v>
    <v>14.84</v>
    <v>1.4350000000000001</v>
    <v>-0.69</v>
    <v>-1.9942000000000001E-2</v>
    <v>USD</v>
    <v>Foot Locker, Inc. is a retailer of shoes and apparel. The Company operates through three operating segments: North America, Europe, Middle East, and Africa (EMEA), and Asia Pacific. The Company's portfolio of brands includes Foot Locker, Kids Foot Locker, Champs Sports, Sidestep, WSS, and atmos. The Company uses its omni-channel capabilities to bridge the digital world and physical stores, including order-in-store, buy online and pickup-in-store, and buy online and ship-from-store, as well as e-commerce. The Company operates approximately 2,714 stores in 29 countries across North America, Europe, Australia, New Zealand, and Asia, and a franchised store presence in the Middle East and Asia. The Kids Foot Locker offers athletic footwear, apparel, and accessories for children. Champs Sports is a primarily mall-based specialty athletic footwear and apparel retailer in North America. It also operates Community and Power Stores across the geographies in which it operates.</v>
    <v>15200</v>
    <v>New York Stock Exchange</v>
    <v>XNYS</v>
    <v>XNYS</v>
    <v>330 West 34th Street, NEW YORK, NY, 10001 US</v>
    <v>34.65</v>
    <v>Specialty Retailers</v>
    <v>Stock</v>
    <v>45356.041445798437</v>
    <v>33</v>
    <v>32.770000000000003</v>
    <v>3193026977</v>
    <v>FOOT LOCKER, INC.</v>
    <v>FOOT LOCKER, INC.</v>
    <v>34.5</v>
    <v>39.744</v>
    <v>34.6</v>
    <v>33.909999999999997</v>
    <v>94161810</v>
    <v>FL</v>
    <v>FOOT LOCKER, INC. (XNYS:FL)</v>
    <v>1001</v>
    <v>2800340</v>
    <v>1989</v>
  </rv>
  <rv s="2">
    <v>34</v>
  </rv>
  <rv s="0">
    <v>https://www.bing.com/financeapi/forcetrigger?t=a1o9gh&amp;q=XNYS%3aBBY&amp;form=skydnc</v>
    <v>Learn more on Bing</v>
  </rv>
  <rv s="1">
    <v>en-US</v>
    <v>a1o9gh</v>
    <v>268435456</v>
    <v>1</v>
    <v>Powered by Refinitiv</v>
    <v>0</v>
    <v>Best Buy Co., Inc. (XNYS:BBY)</v>
    <v>2</v>
    <v>3</v>
    <v>Finance</v>
    <v>5</v>
    <v>86.11</v>
    <v>62.3001</v>
    <v>1.5088999999999999</v>
    <v>-0.38</v>
    <v>-4.8770000000000003E-3</v>
    <v>USD</v>
    <v>Best Buy Co., Inc. is engaged in personalizing and humanizing technology solutions. The Company operates through two segments: Domestic and International. Domestic segment is comprised of its operations in all states, districts and territories of the United States and its Best Buy Health business, and includes the brand names Best Buy, Best Buy Ads, Best Buy Business, Best Buy Health, CST, Current Health, Geek Squad, Lively, Magnolia, Pacific Kitchen and Home, TechLiquidators and Yardbird and the domain names bestbuy.com, currenthealth.com, lively.com, techliquidators.com and yardbird.com. International segment is comprised of all operations in Canada under the brand names Best Buy, Best Buy Mobile and Geek Squad and the domain name bestbuy.ca. Domestic and International segments product categories include Computing and Mobile Phones, Consumer Electronics, Appliances, Entertainment, Services and Other. Computing and Mobile Phones category includes computing, mobile phones, and others.</v>
    <v>90000</v>
    <v>New York Stock Exchange</v>
    <v>XNYS</v>
    <v>XNYS</v>
    <v>7601 Penn Ave S, RICHFIELD, MN, 55423 US</v>
    <v>79.319900000000004</v>
    <v>Specialty Retailers</v>
    <v>Stock</v>
    <v>45356.033515878909</v>
    <v>36</v>
    <v>77.394999999999996</v>
    <v>16783650000</v>
    <v>Best Buy Co., Inc.</v>
    <v>Best Buy Co., Inc.</v>
    <v>78.489999999999995</v>
    <v>13.382300000000001</v>
    <v>77.92</v>
    <v>77.540000000000006</v>
    <v>215396000</v>
    <v>BBY</v>
    <v>Best Buy Co., Inc. (XNYS:BBY)</v>
    <v>348</v>
    <v>3148160</v>
    <v>1966</v>
  </rv>
  <rv s="2">
    <v>37</v>
  </rv>
  <rv s="0">
    <v>https://www.bing.com/financeapi/forcetrigger?t=a1ohrw&amp;q=XNYS%3aBIG&amp;form=skydnc</v>
    <v>Learn more on Bing</v>
  </rv>
  <rv s="3">
    <v>en-US</v>
    <v>a1ohrw</v>
    <v>268435456</v>
    <v>1</v>
    <v>Powered by Refinitiv</v>
    <v>6</v>
    <v>BIG LOTS, INC. (XNYS:BIG)</v>
    <v>2</v>
    <v>7</v>
    <v>Finance</v>
    <v>5</v>
    <v>14.99</v>
    <v>3.47</v>
    <v>2.3601999999999999</v>
    <v>-0.2</v>
    <v>-3.6764999999999999E-2</v>
    <v>USD</v>
    <v>Big Lots, Inc. is a home discount retailer in the United States. It operates over 1,300 stores in 48 states and an ecommerce store. The Company's merchandise categories include Food; Consumables; Soft Home; Hard Home; Furniture; Seasonal; and Apparel, Electronics, &amp; Other. The Food category includes beverage and grocery, specialty foods and pet departments. The Consumables category includes health, beauty and cosmetics and chemical departments. The Soft Home category includes home organization, fashion bedding, utility bedding and area rugs departments. The Hard Home category includes small appliances, tabletop and toys departments. The Furniture category includes mattress, case goods, and home decor departments. The Seasonal category includes lawn and garden; summer; Christmas, and other holiday departments. The Apparel, Electronics, &amp; Other department includes apparel; electronics; jewelry; hosiery; and candy and snacks departments, and the assortments for the Lot and the Queue Line.</v>
    <v>10200</v>
    <v>New York Stock Exchange</v>
    <v>XNYS</v>
    <v>XNYS</v>
    <v>4900 E Dublin Granville Rd, COLUMBUS, OH, 43081-7651 US</v>
    <v>5.5449999999999999</v>
    <v>Diversified Retail</v>
    <v>Stock</v>
    <v>45356.028951770313</v>
    <v>39</v>
    <v>5.1100000000000003</v>
    <v>153094774</v>
    <v>BIG LOTS, INC.</v>
    <v>BIG LOTS, INC.</v>
    <v>5.5</v>
    <v>5.44</v>
    <v>5.24</v>
    <v>29216560</v>
    <v>BIG</v>
    <v>BIG LOTS, INC. (XNYS:BIG)</v>
    <v>501</v>
    <v>1887215</v>
    <v>2001</v>
  </rv>
  <rv s="2">
    <v>40</v>
  </rv>
  <rv s="0">
    <v>https://www.bing.com/financeapi/forcetrigger?t=a1nhlh&amp;q=XNAS%3aAMZN&amp;form=skydnc</v>
    <v>Learn more on Bing</v>
  </rv>
  <rv s="1">
    <v>en-US</v>
    <v>a1nhlh</v>
    <v>268435456</v>
    <v>1</v>
    <v>Powered by Refinitiv</v>
    <v>0</v>
    <v>AMAZON.COM, INC. (XNAS:AMZN)</v>
    <v>2</v>
    <v>3</v>
    <v>Finance</v>
    <v>4</v>
    <v>180.14</v>
    <v>88.12</v>
    <v>1.1680999999999999</v>
    <v>-0.64</v>
    <v>-3.5909999999999996E-3</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manufactures and sells electronic devices, including Kindle, Fire tablet, Fire TV, Echo, Ring, Blink, and eero, and it develops and produces media content. It serves developers and enterprises of all sizes, including start-ups, government agencies, and academic institutions, through AWS, which offers a broad set of on-demand technology services, including compute, storage, database, analytics, and machine learning, and other services.</v>
    <v>1525000</v>
    <v>Nasdaq Stock Market</v>
    <v>XNAS</v>
    <v>XNAS</v>
    <v>410 Terry Ave N, SEATTLE, WA, 98109 US</v>
    <v>180.14</v>
    <v>Diversified Retail</v>
    <v>Stock</v>
    <v>45355.911796851564</v>
    <v>42</v>
    <v>177.49</v>
    <v>1844590940400</v>
    <v>AMAZON.COM, INC.</v>
    <v>AMAZON.COM, INC.</v>
    <v>177.53</v>
    <v>61.459800000000001</v>
    <v>178.22</v>
    <v>177.58</v>
    <v>10387380000</v>
    <v>AMZN</v>
    <v>AMAZON.COM, INC. (XNAS:AMZN)</v>
    <v>135769</v>
    <v>50211307</v>
    <v>1996</v>
  </rv>
  <rv s="2">
    <v>43</v>
  </rv>
  <rv s="0">
    <v>https://www.bing.com/financeapi/forcetrigger?t=a1mou2&amp;q=XNAS%3aAAPL&amp;form=skydnc</v>
    <v>Learn more on Bing</v>
  </rv>
  <rv s="1">
    <v>en-US</v>
    <v>a1mou2</v>
    <v>268435456</v>
    <v>1</v>
    <v>Powered by Refinitiv</v>
    <v>0</v>
    <v>APPLE INC. (XNAS:AAPL)</v>
    <v>2</v>
    <v>3</v>
    <v>Finance</v>
    <v>4</v>
    <v>199.62</v>
    <v>147.6096</v>
    <v>1.2878000000000001</v>
    <v>-4.5599999999999996</v>
    <v>-2.5381000000000001E-2</v>
    <v>USD</v>
    <v>Apple Inc. designs, manufactures and markets smartphones, personal computers, tablets, wearables and accessories, and sells a variety of related services. The Company's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The Company's products include iPhone 15 Pro, iPhone 15, iPhone 14, iPhone 13, MacBook Air, MacBook Pro, iMac, Mac mini, Mac Studio, Mac Pro, iPad Pro, iPad Air, iPad, iPad mini, Apple Watch Series 9, AirPods, AirPods Pro, AirPods Max and HomePod.</v>
    <v>161000</v>
    <v>Nasdaq Stock Market</v>
    <v>XNAS</v>
    <v>XNAS</v>
    <v>One Apple Park Way, CUPERTINO, CA, 95014 US</v>
    <v>176.9</v>
    <v>Computers, Phones &amp; Household Electronics</v>
    <v>Stock</v>
    <v>45356.041665428122</v>
    <v>45</v>
    <v>173.79</v>
    <v>2703873188000</v>
    <v>APPLE INC.</v>
    <v>APPLE INC.</v>
    <v>176.15</v>
    <v>27.244599999999998</v>
    <v>179.66</v>
    <v>175.1</v>
    <v>15441880000</v>
    <v>AAPL</v>
    <v>APPLE INC. (XNAS:AAPL)</v>
    <v>471757</v>
    <v>59010309</v>
    <v>1977</v>
  </rv>
  <rv s="2">
    <v>46</v>
  </rv>
  <rv s="0">
    <v>https://www.bing.com/financeapi/forcetrigger?t=c2mtim&amp;q=XNAS%3aDUOL&amp;form=skydnc</v>
    <v>Learn more on Bing</v>
  </rv>
  <rv s="1">
    <v>en-US</v>
    <v>c2mtim</v>
    <v>268435456</v>
    <v>1</v>
    <v>Powered by Refinitiv</v>
    <v>0</v>
    <v>DUOLINGO, INC. (XNAS:DUOL)</v>
    <v>2</v>
    <v>3</v>
    <v>Finance</v>
    <v>4</v>
    <v>245.8699</v>
    <v>114.1101</v>
    <v>1.214</v>
    <v>-11.72</v>
    <v>-4.9557999999999998E-2</v>
    <v>USD</v>
    <v>Duolingo, Inc. (Duolingo) is a technology company. The Company's flagship application, Duolingo, is a language learning application. The Duolingo language learning application is a way to learn languages. The Company offers courses in approximately 40 languages to more than 60 million monthly active users. The application is also available in the education category on both Google Play and the Apple App Store. Duolingo can also be accessed by desktop computers via a Web browser at www.duolingo.com. All course content on Duolingo can be accessed for free. Its subscription offering, Super Duolingo, offers learners additional features to enhance their learning experience. It also launched a family plan, which includes up to six subscribers under one annual plan. The Duolingo English Test is an online English proficiency assessment. Anyone with a computer, webcam and Internet connection can take the test from anywhere, at any time.</v>
    <v>720</v>
    <v>Nasdaq Stock Market</v>
    <v>XNAS</v>
    <v>XNAS</v>
    <v>5900 PENN AVE, SECOND FLOOR, PITTSBURGH, PA, 15206 US</v>
    <v>238.03</v>
    <v>Software &amp; IT Services</v>
    <v>Stock</v>
    <v>45356.037577928124</v>
    <v>48</v>
    <v>223</v>
    <v>10050830000</v>
    <v>DUOLINGO, INC.</v>
    <v>DUOLINGO, INC.</v>
    <v>238</v>
    <v>672.15909999999997</v>
    <v>236.49</v>
    <v>224.77</v>
    <v>42875830</v>
    <v>DUOL</v>
    <v>DUOLINGO, INC. (XNAS:DUOL)</v>
    <v>134</v>
    <v>775663</v>
    <v>2011</v>
  </rv>
  <rv s="2">
    <v>49</v>
  </rv>
  <rv s="0">
    <v>https://www.bing.com/financeapi/forcetrigger?t=a1q6sm&amp;q=XNYS%3aCOTY&amp;form=skydnc</v>
    <v>Learn more on Bing</v>
  </rv>
  <rv s="1">
    <v>en-US</v>
    <v>a1q6sm</v>
    <v>268435456</v>
    <v>1</v>
    <v>Powered by Refinitiv</v>
    <v>0</v>
    <v>COTY INC. (XNYS:COTY)</v>
    <v>2</v>
    <v>3</v>
    <v>Finance</v>
    <v>5</v>
    <v>13.46</v>
    <v>9.0150000000000006</v>
    <v>1.8327</v>
    <v>-0.2</v>
    <v>-1.5785E-2</v>
    <v>USD</v>
    <v>Coty Inc. is a beauty company with portfolio of brands across fragrance, color cosmetics, and skin and body care. The Company has a diverse portfolio of brands, which includes both owned and licensed. Its brand portfolio is classified into two segments: Consumer beauty and Prestige. Consumer beauty brand portfolio includes Adidas, Beckham, Biocolor, Bozzano, Bourjois, Bruno Banani, CoverGirl, Jovan, Mexx, Monange, Nautica, Paixao, Rimmel, Risque, Sally Hansen, 007 James Bond. Prestige includes Burberry, Bottega Veneta, Calvin Klein, Cavalli, Chloe, Davidoff, Escada, Gucci, Hugo Boss, Jil Sander, Kylie Jenner, Lancaster, Marc Jacobs, Miu Miu, Orveda, SKKN BY KIM, Tiffany &amp; Co. Its mass beauty brands are primarily sold through hypermarkets, supermarkets, drug stores and pharmacies, mid-tier department stores, traditional food and drug retailers, and dedicated e-commerce retailers. The Company serves consumers around the world in approximately 125 countries and territories.</v>
    <v>11350</v>
    <v>New York Stock Exchange</v>
    <v>XNYS</v>
    <v>XNYS</v>
    <v>350 Fifth Avenue, NEW YORK, NY, 10118 US</v>
    <v>12.81</v>
    <v>Personal &amp; Household Products &amp; Services</v>
    <v>Stock</v>
    <v>45356.040632303127</v>
    <v>51</v>
    <v>12.44</v>
    <v>11162756183</v>
    <v>COTY INC.</v>
    <v>COTY INC.</v>
    <v>12.67</v>
    <v>35.911799999999999</v>
    <v>12.67</v>
    <v>12.47</v>
    <v>895168900</v>
    <v>COTY</v>
    <v>COTY INC. (XNYS:COTY)</v>
    <v>2509853</v>
    <v>4609053</v>
    <v>1995</v>
  </rv>
  <rv s="2">
    <v>52</v>
  </rv>
  <rv s="0">
    <v>https://www.bing.com/financeapi/forcetrigger?t=a23pkr&amp;q=XNYS%3aSTM&amp;form=skydnc</v>
    <v>Learn more on Bing</v>
  </rv>
  <rv s="1">
    <v>en-US</v>
    <v>a23pkr</v>
    <v>268435456</v>
    <v>1</v>
    <v>Powered by Refinitiv</v>
    <v>0</v>
    <v>STMicroelectronics NV (XNYS:STM)</v>
    <v>2</v>
    <v>3</v>
    <v>Finance</v>
    <v>4</v>
    <v>55.85</v>
    <v>37.21</v>
    <v>1.7005999999999999</v>
    <v>-0.61</v>
    <v>-1.2931999999999999E-2</v>
    <v>USD</v>
    <v>STMicroelectronics N.V. is a Switzerland-based semiconductor company. It designs, develops, manufactures and markets a range of products, including discrete and standard commodity components, and application-specific integrated circuits (ASICs) for analog, digital and mixed-signal applications. The Company's segments include Automotive and Discrete Group (ADG), Analog, MEMS and Sensors Group (AMS), and Microcontrollers and Digital ICs Group (MDG). The ADG segment comprises all dedicated automotive Integrated Circuits (ICs), and discrete and power transistor products. The AMS segment includes low-power analog ICs for all markets, smart power products; Touch Screen Controllers, Low Power Connectivity solutions for Internet of Things (IoT), and power conversion products, among others. The AMS segment comprises general purpose and secure microcontrollers, and Electrically Erasable Programmable Read-Only Memory memories.</v>
    <v>51370</v>
    <v>New York Stock Exchange</v>
    <v>XNYS</v>
    <v>XNYS</v>
    <v>Schiphol Boulevard 265, SCHIPHOL, NOORD-HOLLAND, 1118 BH NL</v>
    <v>47.03</v>
    <v>Semiconductors &amp; Semiconductor Equipment</v>
    <v>Stock</v>
    <v>45356.020827753906</v>
    <v>54</v>
    <v>46.5</v>
    <v>42617130000</v>
    <v>STMicroelectronics NV</v>
    <v>STMicroelectronics NV</v>
    <v>47</v>
    <v>10.438800000000001</v>
    <v>47.17</v>
    <v>46.56</v>
    <v>911281900</v>
    <v>STM</v>
    <v>STMicroelectronics NV (XNYS:STM)</v>
    <v>7545</v>
    <v>3275857</v>
    <v>1987</v>
  </rv>
  <rv s="2">
    <v>55</v>
  </rv>
</rvData>
</file>

<file path=xl/richData/rdrichvaluestructure.xml><?xml version="1.0" encoding="utf-8"?>
<rvStructures xmlns="http://schemas.microsoft.com/office/spreadsheetml/2017/richdata" count="4">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8">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4">
      <v>Delayed 15 minutes</v>
      <v>from previous close</v>
      <v>from previous close</v>
      <v>Source: Nasdaq</v>
      <v>GMT</v>
    </spb>
    <spb s="0">
      <v>1</v>
      <v>Name</v>
      <v>LearnMoreOnLink</v>
    </spb>
    <spb s="5">
      <v>1</v>
      <v>2</v>
      <v>1</v>
      <v>3</v>
      <v>1</v>
      <v>1</v>
      <v>1</v>
      <v>4</v>
      <v>4</v>
      <v>5</v>
      <v>6</v>
      <v>1</v>
      <v>1</v>
      <v>1</v>
      <v>4</v>
      <v>7</v>
      <v>8</v>
      <v>9</v>
      <v>4</v>
    </spb>
  </spbData>
</supportingPropertyBags>
</file>

<file path=xl/richData/rdsupportingpropertybagstructure.xml><?xml version="1.0" encoding="utf-8"?>
<spbStructures xmlns="http://schemas.microsoft.com/office/spreadsheetml/2017/richdata2" count="6">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4" formatCode="#,##0.00"/>
    </x:dxf>
    <x:dxf>
      <x:numFmt numFmtId="3" formatCode="#,##0"/>
    </x:dxf>
    <x:dxf>
      <x:numFmt numFmtId="14" formatCode="0.00%"/>
    </x:dxf>
    <x:dxf>
      <x:numFmt numFmtId="27" formatCode="m/d/yyyy\ h:mm"/>
    </x:dxf>
    <x:dxf>
      <x:numFmt numFmtId="1" formatCode="0"/>
    </x:dxf>
    <x:dxf>
      <x:numFmt numFmtId="2" formatCode="0.00"/>
    </x:dxf>
  </dxfs>
  <richProperties>
    <rPr n="NumberFormat" t="s"/>
    <rPr n="IsTitleField" t="b"/>
  </richProperties>
  <richStyles>
    <rSty dxfid="0">
      <rpv i="0">_([$$-en-US]* #,##0.00_);_([$$-en-US]* (#,##0.00);_([$$-en-US]* "-"??_);_(@_)</rpv>
    </rSty>
    <rSty dxfid="1">
      <rpv i="0">#,##0.00</rpv>
    </rSty>
    <rSty>
      <rpv i="1">1</rpv>
    </rSty>
    <rSty dxfid="2">
      <rpv i="0">#,##0</rpv>
    </rSty>
    <rSty dxfid="3"/>
    <rSty dxfid="0">
      <rpv i="0">_([$$-en-US]* #,##0_);_([$$-en-US]* (#,##0);_([$$-en-US]* "-"_);_(@_)</rpv>
    </rSty>
    <rSty dxfid="4"/>
    <rSty dxfid="5">
      <rpv i="0">0</rpv>
    </rSty>
    <rSty dxfid="6">
      <rpv i="0">0.00</rpv>
    </rSty>
  </richStyles>
</richStyleShee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2" dT="2022-05-30T18:09:07.73" personId="{0B70E71E-C7EA-4D07-A18F-818B0AC5AD56}" id="{49B2FB88-EDB1-47B3-9023-937A804038C9}">
    <text>Koyfin</text>
  </threadedComment>
  <threadedComment ref="H2" dT="2024-03-03T17:21:10.22" personId="{0B70E71E-C7EA-4D07-A18F-818B0AC5AD56}" id="{1DF6433C-B120-4A2D-85AF-549564FF6DEE}">
    <text>Koyfin</text>
  </threadedComment>
  <threadedComment ref="M2" dT="2022-07-21T04:49:31.90" personId="{0B70E71E-C7EA-4D07-A18F-818B0AC5AD56}" id="{D9A90F2B-8659-49F8-9E1C-B354DA2DCB3D}">
    <text>previous FY</text>
  </threadedComment>
  <threadedComment ref="N2" dT="2022-07-21T04:49:39.58" personId="{0B70E71E-C7EA-4D07-A18F-818B0AC5AD56}" id="{9E71E09E-0600-4605-8DE5-464B622D8134}">
    <text>previous FY</text>
  </threadedComment>
  <threadedComment ref="O2" dT="2022-07-21T04:49:47.22" personId="{0B70E71E-C7EA-4D07-A18F-818B0AC5AD56}" id="{93C12A89-94F8-43EC-9B6F-DED8B4DC56F8}">
    <text>previous FY</text>
  </threadedComment>
  <threadedComment ref="P2" dT="2022-07-21T04:49:52.47" personId="{0B70E71E-C7EA-4D07-A18F-818B0AC5AD56}" id="{51B9BE83-FA4F-4331-A8E4-230A7629C793}">
    <text>previous FY</text>
  </threadedComment>
  <threadedComment ref="R2" dT="2023-06-15T19:18:41.08" personId="{36482EE5-E3AA-4764-BC1F-232FF95AD7AD}" id="{98132863-37BE-4D21-8DB8-FF1FD4C7CBED}">
    <text>Annual</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NFLX.xlsx" TargetMode="External"/><Relationship Id="rId13" Type="http://schemas.openxmlformats.org/officeDocument/2006/relationships/hyperlink" Target="BIG.xlsx" TargetMode="External"/><Relationship Id="rId18" Type="http://schemas.openxmlformats.org/officeDocument/2006/relationships/hyperlink" Target="COTY.xlsx" TargetMode="External"/><Relationship Id="rId3" Type="http://schemas.openxmlformats.org/officeDocument/2006/relationships/hyperlink" Target="TGT.xlsx" TargetMode="External"/><Relationship Id="rId21" Type="http://schemas.openxmlformats.org/officeDocument/2006/relationships/comments" Target="../comments1.xml"/><Relationship Id="rId7" Type="http://schemas.openxmlformats.org/officeDocument/2006/relationships/hyperlink" Target="SBUX.xlsx" TargetMode="External"/><Relationship Id="rId12" Type="http://schemas.openxmlformats.org/officeDocument/2006/relationships/hyperlink" Target="FL.xlsx" TargetMode="External"/><Relationship Id="rId17" Type="http://schemas.openxmlformats.org/officeDocument/2006/relationships/hyperlink" Target="DUOL.xlsx" TargetMode="External"/><Relationship Id="rId2" Type="http://schemas.openxmlformats.org/officeDocument/2006/relationships/hyperlink" Target="WMT.xlsx" TargetMode="External"/><Relationship Id="rId16" Type="http://schemas.openxmlformats.org/officeDocument/2006/relationships/hyperlink" Target="AAPL.xlsx" TargetMode="External"/><Relationship Id="rId20" Type="http://schemas.openxmlformats.org/officeDocument/2006/relationships/vmlDrawing" Target="../drawings/vmlDrawing1.vml"/><Relationship Id="rId1" Type="http://schemas.openxmlformats.org/officeDocument/2006/relationships/hyperlink" Target="DBX.xlsx" TargetMode="External"/><Relationship Id="rId6" Type="http://schemas.openxmlformats.org/officeDocument/2006/relationships/hyperlink" Target="NKE.xlsx" TargetMode="External"/><Relationship Id="rId11" Type="http://schemas.openxmlformats.org/officeDocument/2006/relationships/hyperlink" Target="VTRS.xlsx" TargetMode="External"/><Relationship Id="rId5" Type="http://schemas.openxmlformats.org/officeDocument/2006/relationships/hyperlink" Target="LEVI.xlsx" TargetMode="External"/><Relationship Id="rId15" Type="http://schemas.openxmlformats.org/officeDocument/2006/relationships/hyperlink" Target="AMZN.xlsx" TargetMode="External"/><Relationship Id="rId10" Type="http://schemas.openxmlformats.org/officeDocument/2006/relationships/hyperlink" Target="PFE.xlsx" TargetMode="External"/><Relationship Id="rId19" Type="http://schemas.openxmlformats.org/officeDocument/2006/relationships/printerSettings" Target="../printerSettings/printerSettings2.bin"/><Relationship Id="rId4" Type="http://schemas.openxmlformats.org/officeDocument/2006/relationships/hyperlink" Target="ELY.xlsx" TargetMode="External"/><Relationship Id="rId9" Type="http://schemas.openxmlformats.org/officeDocument/2006/relationships/hyperlink" Target="NVDA.xlsx" TargetMode="External"/><Relationship Id="rId14" Type="http://schemas.openxmlformats.org/officeDocument/2006/relationships/hyperlink" Target="BBY.xlsx" TargetMode="External"/><Relationship Id="rId22"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hyperlink" Target="NFLX.xlsx"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AMZN.xlsx" TargetMode="External"/><Relationship Id="rId3" Type="http://schemas.openxmlformats.org/officeDocument/2006/relationships/hyperlink" Target="ELY.xlsx" TargetMode="External"/><Relationship Id="rId7" Type="http://schemas.openxmlformats.org/officeDocument/2006/relationships/hyperlink" Target="BIG.xlsx" TargetMode="External"/><Relationship Id="rId2" Type="http://schemas.openxmlformats.org/officeDocument/2006/relationships/hyperlink" Target="LEVI.xlsx" TargetMode="External"/><Relationship Id="rId1" Type="http://schemas.openxmlformats.org/officeDocument/2006/relationships/hyperlink" Target="NKE.xlsx" TargetMode="External"/><Relationship Id="rId6" Type="http://schemas.openxmlformats.org/officeDocument/2006/relationships/hyperlink" Target="BBY.xlsx" TargetMode="External"/><Relationship Id="rId5" Type="http://schemas.openxmlformats.org/officeDocument/2006/relationships/hyperlink" Target="FL.xlsx" TargetMode="External"/><Relationship Id="rId10" Type="http://schemas.openxmlformats.org/officeDocument/2006/relationships/printerSettings" Target="../printerSettings/printerSettings3.bin"/><Relationship Id="rId4" Type="http://schemas.openxmlformats.org/officeDocument/2006/relationships/hyperlink" Target="SBUX.xlsx" TargetMode="External"/><Relationship Id="rId9" Type="http://schemas.openxmlformats.org/officeDocument/2006/relationships/hyperlink" Target="DUOL.xlsx"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COTY.xlsx" TargetMode="External"/><Relationship Id="rId2" Type="http://schemas.openxmlformats.org/officeDocument/2006/relationships/hyperlink" Target="TGT.xlsx" TargetMode="External"/><Relationship Id="rId1" Type="http://schemas.openxmlformats.org/officeDocument/2006/relationships/hyperlink" Target="WMT.xlsx"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VTRS.xlsx" TargetMode="External"/><Relationship Id="rId1" Type="http://schemas.openxmlformats.org/officeDocument/2006/relationships/hyperlink" Target="PFE.xlsx"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AAPL.xlsx" TargetMode="External"/><Relationship Id="rId2" Type="http://schemas.openxmlformats.org/officeDocument/2006/relationships/hyperlink" Target="NVDA.xlsx" TargetMode="External"/><Relationship Id="rId1" Type="http://schemas.openxmlformats.org/officeDocument/2006/relationships/hyperlink" Target="DBX.xlsx"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x.com/Beth_Kindig/status/1723877664539250931?s=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598AC-1488-4768-97DC-A6CDF693DFF7}">
  <dimension ref="B3:L32"/>
  <sheetViews>
    <sheetView workbookViewId="0">
      <selection activeCell="C38" sqref="C38"/>
    </sheetView>
  </sheetViews>
  <sheetFormatPr defaultColWidth="9" defaultRowHeight="13.8" x14ac:dyDescent="0.25"/>
  <cols>
    <col min="1" max="1" width="9.796875" style="2" bestFit="1" customWidth="1"/>
    <col min="2" max="2" width="11.796875" style="2" bestFit="1" customWidth="1"/>
    <col min="3" max="4" width="10.296875" style="2" bestFit="1" customWidth="1"/>
    <col min="5" max="5" width="9.19921875" style="2" bestFit="1" customWidth="1"/>
    <col min="6" max="7" width="8.59765625" style="2" customWidth="1"/>
    <col min="8" max="8" width="10.19921875" style="2" bestFit="1" customWidth="1"/>
    <col min="9" max="13" width="8.59765625" style="2" customWidth="1"/>
    <col min="14" max="16384" width="9" style="2"/>
  </cols>
  <sheetData>
    <row r="3" spans="2:5" ht="14.4" x14ac:dyDescent="0.3">
      <c r="B3" s="1" t="s">
        <v>0</v>
      </c>
      <c r="C3" s="25">
        <v>45343</v>
      </c>
      <c r="D3" s="25">
        <v>44978</v>
      </c>
      <c r="E3" s="1" t="s">
        <v>1</v>
      </c>
    </row>
    <row r="4" spans="2:5" ht="14.4" x14ac:dyDescent="0.3">
      <c r="B4" s="3" t="s">
        <v>44</v>
      </c>
      <c r="C4" s="29">
        <v>5.5E-2</v>
      </c>
      <c r="D4" s="29">
        <v>4.6300000000000001E-2</v>
      </c>
      <c r="E4" s="24">
        <f t="shared" ref="E4:E6" si="0">C4/D4-1</f>
        <v>0.18790496760259168</v>
      </c>
    </row>
    <row r="5" spans="2:5" ht="14.4" x14ac:dyDescent="0.3">
      <c r="B5" s="3" t="s">
        <v>43</v>
      </c>
      <c r="C5" s="29">
        <v>5.5E-2</v>
      </c>
      <c r="D5" s="29">
        <v>4.8300000000000003E-2</v>
      </c>
      <c r="E5" s="24">
        <f t="shared" si="0"/>
        <v>0.13871635610766031</v>
      </c>
    </row>
    <row r="6" spans="2:5" ht="14.4" x14ac:dyDescent="0.3">
      <c r="B6" s="3" t="s">
        <v>45</v>
      </c>
      <c r="C6" s="29">
        <v>5.4399999999999997E-2</v>
      </c>
      <c r="D6" s="29">
        <v>4.8599999999999997E-2</v>
      </c>
      <c r="E6" s="24">
        <f t="shared" si="0"/>
        <v>0.11934156378600824</v>
      </c>
    </row>
    <row r="7" spans="2:5" ht="14.4" x14ac:dyDescent="0.3">
      <c r="B7" s="3" t="s">
        <v>46</v>
      </c>
      <c r="C7" s="29">
        <v>5.45E-2</v>
      </c>
      <c r="D7" s="29">
        <v>4.9799999999999997E-2</v>
      </c>
      <c r="E7" s="1"/>
    </row>
    <row r="8" spans="2:5" ht="14.4" x14ac:dyDescent="0.3">
      <c r="B8" s="3" t="s">
        <v>47</v>
      </c>
      <c r="C8" s="29">
        <v>5.3199999999999997E-2</v>
      </c>
      <c r="D8" s="29">
        <v>5.0700000000000002E-2</v>
      </c>
      <c r="E8" s="24">
        <f>C8/D8-1</f>
        <v>4.9309664694279887E-2</v>
      </c>
    </row>
    <row r="9" spans="2:5" x14ac:dyDescent="0.25">
      <c r="B9" s="3" t="s">
        <v>2</v>
      </c>
      <c r="C9" s="23">
        <v>4.9799999999999997E-2</v>
      </c>
      <c r="D9" s="23">
        <v>5.0700000000000002E-2</v>
      </c>
      <c r="E9" s="24">
        <f>C9/D9-1</f>
        <v>-1.7751479289940919E-2</v>
      </c>
    </row>
    <row r="10" spans="2:5" x14ac:dyDescent="0.25">
      <c r="B10" s="3" t="s">
        <v>3</v>
      </c>
      <c r="C10" s="23">
        <v>4.6399999999999997E-2</v>
      </c>
      <c r="D10" s="23">
        <v>4.6699999999999998E-2</v>
      </c>
      <c r="E10" s="24">
        <f t="shared" ref="E10:E16" si="1">C10/D10-1</f>
        <v>-6.4239828693790635E-3</v>
      </c>
    </row>
    <row r="11" spans="2:5" x14ac:dyDescent="0.25">
      <c r="B11" s="3" t="s">
        <v>4</v>
      </c>
      <c r="C11" s="23">
        <v>4.4299999999999999E-2</v>
      </c>
      <c r="D11" s="23">
        <v>4.4400000000000002E-2</v>
      </c>
      <c r="E11" s="24">
        <f t="shared" si="1"/>
        <v>-2.2522522522523403E-3</v>
      </c>
    </row>
    <row r="12" spans="2:5" x14ac:dyDescent="0.25">
      <c r="B12" s="3" t="s">
        <v>5</v>
      </c>
      <c r="C12" s="23">
        <v>4.2999999999999997E-2</v>
      </c>
      <c r="D12" s="23">
        <v>4.1599999999999998E-2</v>
      </c>
      <c r="E12" s="24">
        <f t="shared" si="1"/>
        <v>3.3653846153846034E-2</v>
      </c>
    </row>
    <row r="13" spans="2:5" x14ac:dyDescent="0.25">
      <c r="B13" s="3" t="s">
        <v>6</v>
      </c>
      <c r="C13" s="23">
        <v>4.3299999999999998E-2</v>
      </c>
      <c r="D13" s="23">
        <v>4.0800000000000003E-2</v>
      </c>
      <c r="E13" s="24">
        <f t="shared" si="1"/>
        <v>6.1274509803921351E-2</v>
      </c>
    </row>
    <row r="14" spans="2:5" x14ac:dyDescent="0.25">
      <c r="B14" s="3" t="s">
        <v>7</v>
      </c>
      <c r="C14" s="23">
        <v>4.3200000000000002E-2</v>
      </c>
      <c r="D14" s="23">
        <v>3.95E-2</v>
      </c>
      <c r="E14" s="24">
        <f t="shared" si="1"/>
        <v>9.3670886075949422E-2</v>
      </c>
    </row>
    <row r="15" spans="2:5" x14ac:dyDescent="0.25">
      <c r="B15" s="3" t="s">
        <v>8</v>
      </c>
      <c r="C15" s="23">
        <v>4.5900000000000003E-2</v>
      </c>
      <c r="D15" s="23">
        <v>4.1200000000000001E-2</v>
      </c>
      <c r="E15" s="24">
        <f t="shared" si="1"/>
        <v>0.11407766990291268</v>
      </c>
    </row>
    <row r="16" spans="2:5" x14ac:dyDescent="0.25">
      <c r="B16" s="3" t="s">
        <v>9</v>
      </c>
      <c r="C16" s="23">
        <v>4.4900000000000002E-2</v>
      </c>
      <c r="D16" s="23">
        <v>3.9800000000000002E-2</v>
      </c>
      <c r="E16" s="24">
        <f t="shared" si="1"/>
        <v>0.12814070351758788</v>
      </c>
    </row>
    <row r="17" spans="2:12" ht="14.4" x14ac:dyDescent="0.3">
      <c r="B17" s="3" t="s">
        <v>42</v>
      </c>
      <c r="C17" s="22" t="s">
        <v>41</v>
      </c>
      <c r="D17" s="7"/>
      <c r="E17" s="22"/>
    </row>
    <row r="19" spans="2:12" x14ac:dyDescent="0.25">
      <c r="C19" s="4"/>
    </row>
    <row r="24" spans="2:12" x14ac:dyDescent="0.25">
      <c r="B24" s="3"/>
    </row>
    <row r="25" spans="2:12" x14ac:dyDescent="0.25">
      <c r="B25" s="3"/>
    </row>
    <row r="26" spans="2:12" x14ac:dyDescent="0.25">
      <c r="B26" s="3"/>
    </row>
    <row r="27" spans="2:12" x14ac:dyDescent="0.25">
      <c r="B27" s="3"/>
      <c r="E27"/>
      <c r="F27"/>
      <c r="G27"/>
      <c r="H27"/>
      <c r="I27"/>
      <c r="J27"/>
      <c r="K27"/>
      <c r="L27"/>
    </row>
    <row r="28" spans="2:12" x14ac:dyDescent="0.25">
      <c r="B28" s="3"/>
    </row>
    <row r="29" spans="2:12" x14ac:dyDescent="0.25">
      <c r="B29" s="3"/>
    </row>
    <row r="30" spans="2:12" x14ac:dyDescent="0.25">
      <c r="B30" s="3"/>
    </row>
    <row r="31" spans="2:12" x14ac:dyDescent="0.25">
      <c r="B31" s="3"/>
    </row>
    <row r="32" spans="2:12" ht="14.4" x14ac:dyDescent="0.3">
      <c r="B32" s="5"/>
      <c r="C32" s="6"/>
    </row>
  </sheetData>
  <sortState xmlns:xlrd2="http://schemas.microsoft.com/office/spreadsheetml/2017/richdata2" ref="H9:T259">
    <sortCondition ref="H9:H259"/>
  </sortState>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7CBD6-140C-4F1E-BA61-90A42EC2B8A9}">
  <dimension ref="A2:W25"/>
  <sheetViews>
    <sheetView tabSelected="1" workbookViewId="0">
      <pane xSplit="2" ySplit="2" topLeftCell="C6" activePane="bottomRight" state="frozen"/>
      <selection pane="topRight" activeCell="C1" sqref="C1"/>
      <selection pane="bottomLeft" activeCell="A3" sqref="A3"/>
      <selection pane="bottomRight" activeCell="U17" sqref="U17"/>
    </sheetView>
  </sheetViews>
  <sheetFormatPr defaultRowHeight="13.8" x14ac:dyDescent="0.25"/>
  <cols>
    <col min="1" max="1" width="3.19921875" customWidth="1"/>
    <col min="2" max="2" width="50.5" bestFit="1" customWidth="1"/>
    <col min="3" max="3" width="8.69921875" bestFit="1" customWidth="1"/>
    <col min="4" max="4" width="17.8984375" bestFit="1" customWidth="1"/>
    <col min="5" max="5" width="24.5" bestFit="1" customWidth="1"/>
    <col min="6" max="6" width="13.59765625" bestFit="1" customWidth="1"/>
    <col min="7" max="7" width="21.69921875" bestFit="1" customWidth="1"/>
    <col min="8" max="8" width="40.69921875" bestFit="1" customWidth="1"/>
    <col min="10" max="10" width="11" bestFit="1" customWidth="1"/>
    <col min="12" max="12" width="8.8984375" bestFit="1" customWidth="1"/>
    <col min="18" max="18" width="11.59765625" bestFit="1" customWidth="1"/>
    <col min="19" max="19" width="14" bestFit="1" customWidth="1"/>
    <col min="20" max="20" width="13" bestFit="1" customWidth="1"/>
    <col min="21" max="21" width="11.5" bestFit="1" customWidth="1"/>
    <col min="22" max="22" width="10.19921875" bestFit="1" customWidth="1"/>
  </cols>
  <sheetData>
    <row r="2" spans="1:23" x14ac:dyDescent="0.25">
      <c r="B2" s="8" t="s">
        <v>10</v>
      </c>
      <c r="C2" s="32" t="s">
        <v>87</v>
      </c>
      <c r="D2" s="32" t="s">
        <v>11</v>
      </c>
      <c r="E2" s="32" t="s">
        <v>12</v>
      </c>
      <c r="F2" s="33" t="s">
        <v>13</v>
      </c>
      <c r="G2" s="32" t="s">
        <v>14</v>
      </c>
      <c r="H2" s="32" t="s">
        <v>15</v>
      </c>
      <c r="I2" s="32" t="s">
        <v>16</v>
      </c>
      <c r="J2" s="32" t="s">
        <v>17</v>
      </c>
      <c r="K2" s="32" t="s">
        <v>18</v>
      </c>
      <c r="L2" s="33" t="s">
        <v>19</v>
      </c>
      <c r="M2" s="33" t="s">
        <v>20</v>
      </c>
      <c r="N2" s="33" t="s">
        <v>21</v>
      </c>
      <c r="O2" s="33" t="s">
        <v>22</v>
      </c>
      <c r="P2" s="33" t="s">
        <v>23</v>
      </c>
      <c r="Q2" s="33" t="s">
        <v>24</v>
      </c>
      <c r="R2" s="33" t="s">
        <v>74</v>
      </c>
      <c r="S2" s="33" t="s">
        <v>50</v>
      </c>
      <c r="T2" s="32" t="s">
        <v>25</v>
      </c>
      <c r="U2" s="32" t="s">
        <v>26</v>
      </c>
      <c r="V2" s="32" t="s">
        <v>1</v>
      </c>
    </row>
    <row r="3" spans="1:23" s="9" customFormat="1" x14ac:dyDescent="0.25">
      <c r="B3" s="19" t="e" vm="1">
        <v>#VALUE!</v>
      </c>
      <c r="C3" s="37">
        <v>1964</v>
      </c>
      <c r="D3" s="9" t="s">
        <v>30</v>
      </c>
      <c r="E3" s="9" t="s">
        <v>31</v>
      </c>
      <c r="F3" s="11" cm="1">
        <f t="array" ref="F3">_FV(B3,"Employees")</f>
        <v>83700</v>
      </c>
      <c r="G3" s="10" t="s">
        <v>29</v>
      </c>
      <c r="H3" s="9" t="s">
        <v>103</v>
      </c>
      <c r="I3" s="11">
        <f>[1]Main!$C$5</f>
        <v>1532.1</v>
      </c>
      <c r="J3" s="11">
        <f>T3*I3</f>
        <v>152505.234</v>
      </c>
      <c r="K3" s="11">
        <f>[1]Main!$C$7-[1]Main!$C$8</f>
        <v>991</v>
      </c>
      <c r="L3" s="11">
        <f t="shared" ref="L3:L13" si="0">J3-K3</f>
        <v>151514.234</v>
      </c>
      <c r="M3" s="12">
        <f>[1]DCF!$AT$59</f>
        <v>9.6488974523656568E-2</v>
      </c>
      <c r="N3" s="13">
        <f>[1]DCF!$AT$66</f>
        <v>0.43524610969014194</v>
      </c>
      <c r="O3" s="13">
        <f>[1]DCF!$AT$67</f>
        <v>0.11548899779370131</v>
      </c>
      <c r="P3" s="13">
        <f>[1]DCF!$AT$68</f>
        <v>0.18238993710691823</v>
      </c>
      <c r="Q3" s="13">
        <f>[1]WACC!$C$18</f>
        <v>7.9644490125083622E-2</v>
      </c>
      <c r="R3" s="16">
        <v>1.48</v>
      </c>
      <c r="S3" s="35">
        <f>R3/T3</f>
        <v>1.4868394615230058E-2</v>
      </c>
      <c r="T3" s="17" cm="1">
        <f t="array" ref="T3">_FV(B3,"Price")</f>
        <v>99.54</v>
      </c>
      <c r="U3" s="17">
        <f>[1]DCF!$BB$65</f>
        <v>65.335353207723571</v>
      </c>
      <c r="V3" s="13">
        <f t="shared" ref="V3:V13" si="1">U3/T3-1</f>
        <v>-0.34362715282576284</v>
      </c>
      <c r="W3"/>
    </row>
    <row r="4" spans="1:23" s="11" customFormat="1" x14ac:dyDescent="0.25">
      <c r="A4" s="9"/>
      <c r="B4" s="19" t="e" vm="2">
        <v>#VALUE!</v>
      </c>
      <c r="C4" s="37">
        <v>1853</v>
      </c>
      <c r="D4" s="9" t="s">
        <v>32</v>
      </c>
      <c r="E4" s="9" t="s">
        <v>95</v>
      </c>
      <c r="F4" s="11" cm="1">
        <f t="array" ref="F4">_FV(B4,"Employees")</f>
        <v>19100</v>
      </c>
      <c r="G4" s="10" t="s">
        <v>29</v>
      </c>
      <c r="H4" s="9" t="s">
        <v>103</v>
      </c>
      <c r="I4" s="11">
        <f>[2]Main!$C$5</f>
        <v>401.58329700000002</v>
      </c>
      <c r="J4" s="11">
        <f>T4*I4</f>
        <v>7365.0376669799998</v>
      </c>
      <c r="K4" s="11">
        <f>[2]Main!$C$7-[2]Main!$C$8</f>
        <v>-1769.2</v>
      </c>
      <c r="L4" s="11">
        <f t="shared" si="0"/>
        <v>9134.2376669799996</v>
      </c>
      <c r="M4" s="12">
        <f>[2]Model!$AL$45</f>
        <v>1.685957915896541E-3</v>
      </c>
      <c r="N4" s="13">
        <f>[2]Model!$AL$52</f>
        <v>0.56897556238873603</v>
      </c>
      <c r="O4" s="13">
        <f>[2]Model!$AL$53</f>
        <v>7.1775368182553811E-2</v>
      </c>
      <c r="P4" s="13">
        <f>[2]Model!$AL$54</f>
        <v>4.4175576814856496E-2</v>
      </c>
      <c r="Q4" s="13">
        <f>[2]WACC!$C$18</f>
        <v>6.2908523021171267E-2</v>
      </c>
      <c r="R4" s="16">
        <f>0.12*4</f>
        <v>0.48</v>
      </c>
      <c r="S4" s="35">
        <f t="shared" ref="S4:S13" si="2">R4/T4</f>
        <v>2.6172300981461286E-2</v>
      </c>
      <c r="T4" s="17" cm="1">
        <f t="array" ref="T4">_FV(B4,"Price")</f>
        <v>18.34</v>
      </c>
      <c r="U4" s="17">
        <f>[2]Model!$AV$50</f>
        <v>17.530246384279053</v>
      </c>
      <c r="V4" s="13">
        <f t="shared" si="1"/>
        <v>-4.4152323648906644E-2</v>
      </c>
      <c r="W4" s="18"/>
    </row>
    <row r="5" spans="1:23" s="9" customFormat="1" x14ac:dyDescent="0.25">
      <c r="B5" s="20" t="e" vm="3">
        <v>#VALUE!</v>
      </c>
      <c r="C5" s="10" t="s">
        <v>89</v>
      </c>
      <c r="D5" s="10" t="s">
        <v>32</v>
      </c>
      <c r="E5" s="10" t="s">
        <v>40</v>
      </c>
      <c r="F5" s="11" cm="1">
        <f t="array" ref="F5">_FV(B5,"Employees")</f>
        <v>2693</v>
      </c>
      <c r="G5" s="10" t="s">
        <v>36</v>
      </c>
      <c r="H5" s="9" t="s">
        <v>104</v>
      </c>
      <c r="I5" s="11">
        <f>[3]Main!$C$5</f>
        <v>348.8</v>
      </c>
      <c r="J5" s="11">
        <f>I5*T5</f>
        <v>8406.08</v>
      </c>
      <c r="K5" s="11">
        <f>[3]Main!$C$7-[3]Main!$C$8</f>
        <v>-1025.3000000000002</v>
      </c>
      <c r="L5" s="11">
        <f t="shared" si="0"/>
        <v>9431.380000000001</v>
      </c>
      <c r="M5" s="12">
        <f>[3]Model!$AO$30</f>
        <v>7.7390055146206782E-2</v>
      </c>
      <c r="N5" s="13">
        <f>[3]Model!$AO$33</f>
        <v>0.80893801883951988</v>
      </c>
      <c r="O5" s="13">
        <f>[3]Model!$AO$34</f>
        <v>0.15333992859907947</v>
      </c>
      <c r="P5" s="13">
        <f>[3]Model!$AO$35</f>
        <v>-0.97988583854308287</v>
      </c>
      <c r="Q5" s="13">
        <f>[3]WACC!$C$18</f>
        <v>5.1466680590457232E-2</v>
      </c>
      <c r="R5" s="14">
        <v>0</v>
      </c>
      <c r="S5" s="35">
        <f t="shared" si="2"/>
        <v>0</v>
      </c>
      <c r="T5" s="17" cm="1">
        <f t="array" ref="T5">_FV(B5,"Price")</f>
        <v>24.1</v>
      </c>
      <c r="U5" s="17">
        <f>[3]Main!$M$3</f>
        <v>22.91548481095889</v>
      </c>
      <c r="V5" s="13">
        <f t="shared" si="1"/>
        <v>-4.9150007844029453E-2</v>
      </c>
      <c r="W5"/>
    </row>
    <row r="6" spans="1:23" s="9" customFormat="1" x14ac:dyDescent="0.25">
      <c r="B6" s="19" t="e" vm="4">
        <v>#VALUE!</v>
      </c>
      <c r="C6" s="37">
        <v>1982</v>
      </c>
      <c r="D6" s="9" t="s">
        <v>38</v>
      </c>
      <c r="E6" s="9" t="s">
        <v>39</v>
      </c>
      <c r="F6" s="11" cm="1">
        <f t="array" ref="F6">_FV(B6,"Employees")</f>
        <v>32000</v>
      </c>
      <c r="G6" s="10" t="s">
        <v>29</v>
      </c>
      <c r="H6" s="9" t="s">
        <v>105</v>
      </c>
      <c r="I6" s="11">
        <f>[4]Main!$C$5</f>
        <v>201.5</v>
      </c>
      <c r="J6" s="11">
        <f>I6*T6</f>
        <v>2861.2999999999997</v>
      </c>
      <c r="K6" s="11">
        <f>[4]Main!$C$7-[4]Main!$C$8</f>
        <v>-1459.2</v>
      </c>
      <c r="L6" s="11">
        <f t="shared" si="0"/>
        <v>4320.5</v>
      </c>
      <c r="M6" s="12">
        <f>[4]Model!$AR$28</f>
        <v>0.2752023769820815</v>
      </c>
      <c r="N6" s="13">
        <f>[4]Model!$AR$36</f>
        <v>0.60342368045649075</v>
      </c>
      <c r="O6" s="13">
        <f>[4]Model!$AR$37</f>
        <v>6.4269089270966223E-2</v>
      </c>
      <c r="P6" s="13">
        <f>[4]Model!$AR$38</f>
        <v>-0.11275546159267111</v>
      </c>
      <c r="Q6" s="13">
        <f>[4]WACC!$C$18</f>
        <v>7.3356889927392671E-2</v>
      </c>
      <c r="R6" s="14">
        <v>0</v>
      </c>
      <c r="S6" s="35">
        <f t="shared" si="2"/>
        <v>0</v>
      </c>
      <c r="T6" s="17" cm="1">
        <f t="array" ref="T6">_FV(B6,"Price")</f>
        <v>14.2</v>
      </c>
      <c r="U6" s="17">
        <f>[4]Model!$AY$33</f>
        <v>5.8416428061448409</v>
      </c>
      <c r="V6" s="13">
        <f t="shared" si="1"/>
        <v>-0.58861670379261688</v>
      </c>
      <c r="W6"/>
    </row>
    <row r="7" spans="1:23" s="9" customFormat="1" x14ac:dyDescent="0.25">
      <c r="B7" s="20" t="e" vm="5">
        <v>#VALUE!</v>
      </c>
      <c r="C7" s="15" t="s">
        <v>90</v>
      </c>
      <c r="D7" s="15" t="s">
        <v>33</v>
      </c>
      <c r="E7" s="15" t="s">
        <v>34</v>
      </c>
      <c r="F7" s="11" cm="1">
        <f t="array" ref="F7">_FV(B7,"Employees")</f>
        <v>2100000</v>
      </c>
      <c r="G7" s="10" t="s">
        <v>35</v>
      </c>
      <c r="H7" s="9" t="s">
        <v>102</v>
      </c>
      <c r="I7" s="11">
        <f>[5]Main!$C$5</f>
        <v>2701</v>
      </c>
      <c r="J7" s="11">
        <f>T7*I7</f>
        <v>160250.32999999999</v>
      </c>
      <c r="K7" s="11">
        <f>[5]Main!$C$7-[5]Main!$C$8</f>
        <v>-30590</v>
      </c>
      <c r="L7" s="11">
        <f t="shared" si="0"/>
        <v>190840.33</v>
      </c>
      <c r="M7" s="12">
        <f>[5]Model!$AQ$58</f>
        <v>6.7280193590965709E-2</v>
      </c>
      <c r="N7" s="13">
        <f>[5]Model!$AQ$66</f>
        <v>0.24140463839525986</v>
      </c>
      <c r="O7" s="13">
        <f>[5]Model!$AQ$67</f>
        <v>3.3417908714208827E-2</v>
      </c>
      <c r="P7" s="13">
        <f>[5]Model!$AQ$68</f>
        <v>0.33638928067700985</v>
      </c>
      <c r="Q7" s="13">
        <f>[5]WACC!$C$18</f>
        <v>3.7900355013211547E-2</v>
      </c>
      <c r="R7" s="14">
        <f>0.21*4</f>
        <v>0.84</v>
      </c>
      <c r="S7" s="35">
        <f t="shared" si="2"/>
        <v>1.4158098769593798E-2</v>
      </c>
      <c r="T7" s="17" cm="1">
        <f t="array" ref="T7">_FV(B7,"Price")</f>
        <v>59.33</v>
      </c>
      <c r="U7" s="17">
        <f>[5]Main!$M$3</f>
        <v>246.53351366994207</v>
      </c>
      <c r="V7" s="13">
        <f t="shared" si="1"/>
        <v>3.155292662564336</v>
      </c>
      <c r="W7"/>
    </row>
    <row r="8" spans="1:23" s="9" customFormat="1" x14ac:dyDescent="0.25">
      <c r="B8" s="20" t="e" vm="6">
        <v>#VALUE!</v>
      </c>
      <c r="C8" s="15" t="s">
        <v>91</v>
      </c>
      <c r="D8" s="15" t="s">
        <v>27</v>
      </c>
      <c r="E8" s="15" t="s">
        <v>28</v>
      </c>
      <c r="F8" s="11" cm="1">
        <f t="array" ref="F8">_FV(B8,"Employees")</f>
        <v>440000</v>
      </c>
      <c r="G8" s="10" t="s">
        <v>35</v>
      </c>
      <c r="H8" s="9" t="s">
        <v>102</v>
      </c>
      <c r="I8" s="11">
        <f>[6]Main!$C$5</f>
        <v>462.5</v>
      </c>
      <c r="J8" s="11">
        <f>T8*I8</f>
        <v>69564.625</v>
      </c>
      <c r="K8" s="11">
        <f>[6]Main!$C$7-[6]Main!$C$8</f>
        <v>-15490</v>
      </c>
      <c r="L8" s="11">
        <f t="shared" si="0"/>
        <v>85054.625</v>
      </c>
      <c r="M8" s="12">
        <f>[6]DCF!$AN$32</f>
        <v>2.9385406348757082E-2</v>
      </c>
      <c r="N8" s="13">
        <f>[6]DCF!$AN$38</f>
        <v>0.24643511730205278</v>
      </c>
      <c r="O8" s="13">
        <f>[6]DCF!$AN$39</f>
        <v>5.7120601173020528E-2</v>
      </c>
      <c r="P8" s="13">
        <f>[6]DCF!$AN$40</f>
        <v>0.1099431328623126</v>
      </c>
      <c r="Q8" s="13">
        <f>[6]WACC!$C$18</f>
        <v>5.2633868912505821E-2</v>
      </c>
      <c r="R8" s="16">
        <f>1.1*4</f>
        <v>4.4000000000000004</v>
      </c>
      <c r="S8" s="35">
        <f t="shared" si="2"/>
        <v>2.9253374110763914E-2</v>
      </c>
      <c r="T8" s="17" cm="1">
        <f t="array" ref="T8">_FV(B8,"Price")</f>
        <v>150.41</v>
      </c>
      <c r="U8" s="17">
        <f>[6]Main!$M$3</f>
        <v>256.04483672436879</v>
      </c>
      <c r="V8" s="13">
        <f t="shared" si="1"/>
        <v>0.70231259041532335</v>
      </c>
      <c r="W8"/>
    </row>
    <row r="9" spans="1:23" s="9" customFormat="1" x14ac:dyDescent="0.25">
      <c r="B9" s="21" t="e" vm="7">
        <v>#VALUE!</v>
      </c>
      <c r="C9" s="38">
        <v>1971</v>
      </c>
      <c r="D9" s="26" t="s">
        <v>37</v>
      </c>
      <c r="E9" s="26" t="s">
        <v>75</v>
      </c>
      <c r="F9" s="11" cm="1">
        <f t="array" ref="F9">_FV(B9,"Employees")</f>
        <v>381000</v>
      </c>
      <c r="G9" s="26" t="s">
        <v>29</v>
      </c>
      <c r="H9" s="9" t="s">
        <v>106</v>
      </c>
      <c r="I9" s="18">
        <f>[7]Main!$C$5</f>
        <v>1140.5999999999999</v>
      </c>
      <c r="J9" s="11">
        <f>T9*I9</f>
        <v>105459.87599999999</v>
      </c>
      <c r="K9" s="18">
        <f>[7]Main!$C$7-[7]Main!$C$8</f>
        <v>-10530.9</v>
      </c>
      <c r="L9" s="11">
        <f>J9-K9</f>
        <v>115990.77599999998</v>
      </c>
      <c r="M9" s="34">
        <f>[7]DCF!$AU$29</f>
        <v>0.11551210376337573</v>
      </c>
      <c r="N9" s="34">
        <f>[7]DCF!$AU$35</f>
        <v>0.68286282925093678</v>
      </c>
      <c r="O9" s="34">
        <f>[7]DCF!$AU$36</f>
        <v>0.19912663027162861</v>
      </c>
      <c r="P9" s="34">
        <f>[7]DCF!$AU$37</f>
        <v>0.19078416728902159</v>
      </c>
      <c r="Q9" s="34">
        <f>[7]WACC!$C$18</f>
        <v>7.3566822435085402E-2</v>
      </c>
      <c r="R9" s="26">
        <f>0.57*4</f>
        <v>2.2799999999999998</v>
      </c>
      <c r="S9" s="35">
        <f t="shared" si="2"/>
        <v>2.4659312134977285E-2</v>
      </c>
      <c r="T9" s="27" cm="1">
        <f t="array" ref="T9">_FV(B9,"Price")</f>
        <v>92.46</v>
      </c>
      <c r="U9" s="28">
        <f>[7]DCF!$BG$34</f>
        <v>77.425202139684458</v>
      </c>
      <c r="V9" s="13">
        <f t="shared" si="1"/>
        <v>-0.16260867251044275</v>
      </c>
      <c r="W9" s="26"/>
    </row>
    <row r="10" spans="1:23" s="18" customFormat="1" x14ac:dyDescent="0.25">
      <c r="A10"/>
      <c r="B10" s="21" t="e" vm="8">
        <v>#VALUE!</v>
      </c>
      <c r="C10" s="38">
        <v>1997</v>
      </c>
      <c r="D10" s="18" t="s">
        <v>79</v>
      </c>
      <c r="E10" s="18" t="s">
        <v>96</v>
      </c>
      <c r="F10" s="11" cm="1">
        <f t="array" ref="F10">_FV(B10,"Employees")</f>
        <v>13000</v>
      </c>
      <c r="G10" s="18" t="s">
        <v>80</v>
      </c>
      <c r="H10" s="18" t="s">
        <v>107</v>
      </c>
      <c r="I10" s="18">
        <f>[8]Main!$C$5</f>
        <v>452.41699999999997</v>
      </c>
      <c r="J10" s="11">
        <f t="shared" ref="J10:J18" si="3">T10*I10</f>
        <v>278611.96110999997</v>
      </c>
      <c r="K10" s="18">
        <f>[8]Main!$C$7-[8]Main!$C$8</f>
        <v>-6609.6240000000007</v>
      </c>
      <c r="L10" s="11">
        <f t="shared" si="0"/>
        <v>285221.58510999999</v>
      </c>
      <c r="M10" s="34">
        <f>[8]Model!$AN$33</f>
        <v>6.45739131769969E-2</v>
      </c>
      <c r="N10" s="34">
        <f>[8]Model!$AN$41</f>
        <v>0.36098116662528418</v>
      </c>
      <c r="O10" s="34">
        <f>[8]Model!$AN$42</f>
        <v>0.15701470104110174</v>
      </c>
      <c r="P10" s="34">
        <f>[8]Model!$AN$43</f>
        <v>7.3344030182061384E-2</v>
      </c>
      <c r="Q10" s="34">
        <f>[8]WACC!$C$18</f>
        <v>6.4009731443713219E-2</v>
      </c>
      <c r="R10" s="28">
        <v>0</v>
      </c>
      <c r="S10" s="35">
        <f t="shared" si="2"/>
        <v>0</v>
      </c>
      <c r="T10" s="27" cm="1">
        <f t="array" ref="T10">_FV(B10,"Price")</f>
        <v>615.83000000000004</v>
      </c>
      <c r="U10" s="28">
        <f>[8]Model!$AU$40</f>
        <v>132.73278748475823</v>
      </c>
      <c r="V10" s="13">
        <f t="shared" si="1"/>
        <v>-0.78446521363889676</v>
      </c>
    </row>
    <row r="11" spans="1:23" s="18" customFormat="1" x14ac:dyDescent="0.25">
      <c r="A11"/>
      <c r="B11" s="21" t="e" vm="9">
        <v>#VALUE!</v>
      </c>
      <c r="C11" s="38">
        <v>1993</v>
      </c>
      <c r="D11" s="18" t="s">
        <v>78</v>
      </c>
      <c r="E11" s="18" t="s">
        <v>81</v>
      </c>
      <c r="F11" s="11" cm="1">
        <f t="array" ref="F11">_FV(B11,"Employees")</f>
        <v>29600</v>
      </c>
      <c r="G11" s="18" t="s">
        <v>36</v>
      </c>
      <c r="H11" s="18" t="s">
        <v>108</v>
      </c>
      <c r="I11" s="18">
        <f>[9]Main!$C$6</f>
        <v>2477</v>
      </c>
      <c r="J11" s="11">
        <f t="shared" si="3"/>
        <v>2111320.4900000002</v>
      </c>
      <c r="K11" s="18">
        <f>[9]Main!$C$8-[9]Main!$C$9</f>
        <v>2343</v>
      </c>
      <c r="L11" s="11">
        <f t="shared" si="0"/>
        <v>2108977.4900000002</v>
      </c>
      <c r="M11" s="34">
        <f>[9]Model!$AQ$19</f>
        <v>2.2293230289069932E-3</v>
      </c>
      <c r="N11" s="34">
        <f>[9]Model!$AQ$25</f>
        <v>0.56928894490991322</v>
      </c>
      <c r="O11" s="34">
        <f>[9]Model!$AQ$26</f>
        <v>0.20679172536516646</v>
      </c>
      <c r="P11" s="34">
        <f>[9]Model!$AQ$27</f>
        <v>-3.3604336043360432E-2</v>
      </c>
      <c r="Q11" s="34">
        <f>[9]WACC!$C$18</f>
        <v>7.4473901113322444E-2</v>
      </c>
      <c r="R11" s="28">
        <f>0.04*4</f>
        <v>0.16</v>
      </c>
      <c r="S11" s="35">
        <f t="shared" si="2"/>
        <v>1.8771190914743598E-4</v>
      </c>
      <c r="T11" s="27" cm="1">
        <f t="array" ref="T11">_FV(B11,"Price")</f>
        <v>852.37</v>
      </c>
      <c r="U11" s="28">
        <f>[9]Model!$AZ$25</f>
        <v>81.506807987771182</v>
      </c>
      <c r="V11" s="13">
        <f t="shared" si="1"/>
        <v>-0.90437625915063746</v>
      </c>
    </row>
    <row r="12" spans="1:23" s="18" customFormat="1" x14ac:dyDescent="0.25">
      <c r="A12"/>
      <c r="B12" s="21" t="e" vm="10">
        <v>#VALUE!</v>
      </c>
      <c r="C12" s="38">
        <v>1849</v>
      </c>
      <c r="D12" s="18" t="s">
        <v>77</v>
      </c>
      <c r="E12" s="18" t="s">
        <v>82</v>
      </c>
      <c r="F12" s="11" cm="1">
        <f t="array" ref="F12">_FV(B12,"Employees")</f>
        <v>88000</v>
      </c>
      <c r="G12" s="18" t="s">
        <v>83</v>
      </c>
      <c r="H12" s="18" t="s">
        <v>109</v>
      </c>
      <c r="I12" s="18">
        <f>[10]Main!$C$6</f>
        <v>5727</v>
      </c>
      <c r="J12" s="11">
        <f t="shared" si="3"/>
        <v>148272.03</v>
      </c>
      <c r="K12" s="18">
        <f>[10]Main!$C$8-[10]Main!$C$9</f>
        <v>-15920</v>
      </c>
      <c r="L12" s="11">
        <f t="shared" si="0"/>
        <v>164192.03</v>
      </c>
      <c r="M12" s="34">
        <f>[10]Model!$AJ$20</f>
        <v>0.23426582029327814</v>
      </c>
      <c r="N12" s="34">
        <f>[10]Model!$AJ$27</f>
        <v>0.65770300305987184</v>
      </c>
      <c r="O12" s="34">
        <f>[10]Model!$AJ$28</f>
        <v>0.3980026113564103</v>
      </c>
      <c r="P12" s="34">
        <f>[10]Model!$AJ$29</f>
        <v>8.3797054009819974E-2</v>
      </c>
      <c r="Q12" s="34">
        <f>[10]WACC!$C$18</f>
        <v>4.6045983502813831E-2</v>
      </c>
      <c r="R12" s="28">
        <f>0.42*4</f>
        <v>1.68</v>
      </c>
      <c r="S12" s="35">
        <f t="shared" si="2"/>
        <v>6.4889918887601386E-2</v>
      </c>
      <c r="T12" s="27" cm="1">
        <f t="array" ref="T12">_FV(B12,"Price")</f>
        <v>25.89</v>
      </c>
      <c r="U12" s="28">
        <f>[10]Model!$AS$27</f>
        <v>98.220736355377696</v>
      </c>
      <c r="V12" s="13">
        <f t="shared" si="1"/>
        <v>2.7937711995124639</v>
      </c>
    </row>
    <row r="13" spans="1:23" s="18" customFormat="1" x14ac:dyDescent="0.25">
      <c r="A13"/>
      <c r="B13" s="21" t="e" vm="11">
        <v>#VALUE!</v>
      </c>
      <c r="C13" s="38">
        <v>1961</v>
      </c>
      <c r="D13" s="18" t="s">
        <v>76</v>
      </c>
      <c r="E13" s="18" t="s">
        <v>84</v>
      </c>
      <c r="F13" s="11" cm="1">
        <f t="array" ref="F13">_FV(B13,"Employees")</f>
        <v>38000</v>
      </c>
      <c r="G13" s="18" t="s">
        <v>83</v>
      </c>
      <c r="H13" s="18" t="s">
        <v>109</v>
      </c>
      <c r="I13" s="18">
        <f>[11]Main!$C$6</f>
        <v>95.1</v>
      </c>
      <c r="J13" s="11">
        <f t="shared" si="3"/>
        <v>1175.4359999999999</v>
      </c>
      <c r="K13" s="18">
        <f>[11]Main!$C$8-[11]Main!$C$9</f>
        <v>-138</v>
      </c>
      <c r="L13" s="11">
        <f t="shared" si="0"/>
        <v>1313.4359999999999</v>
      </c>
      <c r="M13" s="34">
        <f>[11]Model!$AM$19</f>
        <v>-2.3211695123312115E-2</v>
      </c>
      <c r="N13" s="34">
        <f>[11]Model!$AM$26</f>
        <v>0.31966183022963557</v>
      </c>
      <c r="O13" s="34">
        <f>[11]Model!$AM$27</f>
        <v>0.10225065691762825</v>
      </c>
      <c r="P13" s="34">
        <f>[11]Model!$AM$28</f>
        <v>0.1965065502183406</v>
      </c>
      <c r="Q13" s="34">
        <f>[11]WACC!$C$18</f>
        <v>4.3864261049644818E-2</v>
      </c>
      <c r="R13" s="28">
        <f>0.12*4</f>
        <v>0.48</v>
      </c>
      <c r="S13" s="35">
        <f t="shared" si="2"/>
        <v>3.8834951456310683E-2</v>
      </c>
      <c r="T13" s="27" cm="1">
        <f t="array" ref="T13">_FV(B13,"Price")</f>
        <v>12.36</v>
      </c>
      <c r="U13" s="28">
        <f>[12]Model!$AH$28</f>
        <v>7.0498590471111235</v>
      </c>
      <c r="V13" s="13">
        <f t="shared" si="1"/>
        <v>-0.42962305444084758</v>
      </c>
    </row>
    <row r="14" spans="1:23" x14ac:dyDescent="0.25">
      <c r="B14" s="21" t="e" vm="12">
        <v>#VALUE!</v>
      </c>
      <c r="C14" s="38">
        <v>1879</v>
      </c>
      <c r="D14" s="18" t="s">
        <v>77</v>
      </c>
      <c r="E14" s="18" t="s">
        <v>88</v>
      </c>
      <c r="F14" s="11" cm="1">
        <f t="array" ref="F14">_FV(B14,"Employees")</f>
        <v>15200</v>
      </c>
      <c r="G14" s="18" t="s">
        <v>29</v>
      </c>
      <c r="H14" s="26" t="s">
        <v>110</v>
      </c>
      <c r="I14" s="18">
        <f>[11]Main!$C$6</f>
        <v>95.1</v>
      </c>
      <c r="J14" s="11">
        <f t="shared" si="3"/>
        <v>3224.8409999999994</v>
      </c>
      <c r="K14" s="18">
        <f>[11]Main!$C$8-[11]Main!$C$9</f>
        <v>-138</v>
      </c>
      <c r="L14" s="11">
        <f>J14-K14</f>
        <v>3362.8409999999994</v>
      </c>
      <c r="M14" s="34">
        <f>[11]Model!$AM$19</f>
        <v>-2.3211695123312115E-2</v>
      </c>
      <c r="N14" s="34">
        <f>[11]Model!$AM$26</f>
        <v>0.31966183022963557</v>
      </c>
      <c r="O14" s="34">
        <f>[11]Model!$AM$27</f>
        <v>0.10225065691762825</v>
      </c>
      <c r="P14" s="34">
        <f>[11]Model!$AM$28</f>
        <v>0.1965065502183406</v>
      </c>
      <c r="Q14" s="34">
        <f>[11]WACC!$C$18</f>
        <v>4.3864261049644818E-2</v>
      </c>
      <c r="R14" s="28">
        <f>0.4*4</f>
        <v>1.6</v>
      </c>
      <c r="S14" s="35">
        <f>R14/T14</f>
        <v>4.7183721616042472E-2</v>
      </c>
      <c r="T14" s="28" cm="1">
        <f t="array" ref="T14">_FV(B14,"Price")</f>
        <v>33.909999999999997</v>
      </c>
      <c r="U14" s="28">
        <f>[11]Model!$AV$26</f>
        <v>43.891925490081036</v>
      </c>
      <c r="V14" s="13">
        <f t="shared" ref="V14:V19" si="4">U14/T14-1</f>
        <v>0.29436524594753877</v>
      </c>
    </row>
    <row r="15" spans="1:23" s="26" customFormat="1" x14ac:dyDescent="0.25">
      <c r="A15"/>
      <c r="B15" s="21" t="e" vm="13">
        <v>#VALUE!</v>
      </c>
      <c r="C15" s="26">
        <v>1966</v>
      </c>
      <c r="D15" s="26" t="s">
        <v>85</v>
      </c>
      <c r="E15" s="26" t="s">
        <v>86</v>
      </c>
      <c r="F15" s="11" cm="1">
        <f t="array" ref="F15">_FV(B15,"Employees")</f>
        <v>90000</v>
      </c>
      <c r="G15" s="26" t="s">
        <v>29</v>
      </c>
      <c r="H15" s="26" t="s">
        <v>110</v>
      </c>
      <c r="I15" s="18">
        <f>[13]Model!$AC$14</f>
        <v>218.3</v>
      </c>
      <c r="J15" s="11">
        <f t="shared" si="3"/>
        <v>16926.982000000004</v>
      </c>
      <c r="K15" s="18">
        <f>[13]Main!$C$8-[13]Main!$C$9</f>
        <v>-3393</v>
      </c>
      <c r="L15" s="11">
        <f>J15-K15</f>
        <v>20319.982000000004</v>
      </c>
      <c r="M15" s="34">
        <f>[13]Model!$AO$17</f>
        <v>-0.10554278317652288</v>
      </c>
      <c r="N15" s="34">
        <f>[13]Model!$AO$24</f>
        <v>0.21409132143937104</v>
      </c>
      <c r="O15" s="34">
        <f>[13]Model!$AO$25</f>
        <v>4.1945656399844489E-2</v>
      </c>
      <c r="P15" s="34">
        <f>[13]Model!$AO$26</f>
        <v>0.19691325172964344</v>
      </c>
      <c r="Q15" s="34">
        <f>[13]WACC!$C$18</f>
        <v>6.0884162938071605E-2</v>
      </c>
      <c r="R15" s="26">
        <f>0.92*4</f>
        <v>3.68</v>
      </c>
      <c r="S15" s="35">
        <f>R15/T15</f>
        <v>4.7459375806035591E-2</v>
      </c>
      <c r="T15" s="28" cm="1">
        <f t="array" ref="T15">_FV(B15,"Price")</f>
        <v>77.540000000000006</v>
      </c>
      <c r="U15" s="28">
        <f>[13]Model!$BA$24</f>
        <v>77.398062391903039</v>
      </c>
      <c r="V15" s="13">
        <f t="shared" si="4"/>
        <v>-1.8305082292618957E-3</v>
      </c>
    </row>
    <row r="16" spans="1:23" x14ac:dyDescent="0.25">
      <c r="B16" s="21" t="e" vm="14">
        <v>#VALUE!</v>
      </c>
      <c r="C16" s="38">
        <v>1967</v>
      </c>
      <c r="D16" s="18" t="s">
        <v>92</v>
      </c>
      <c r="E16" s="18" t="s">
        <v>94</v>
      </c>
      <c r="F16" s="11" cm="1">
        <f t="array" ref="F16">_FV(B16,"Employees")</f>
        <v>10200</v>
      </c>
      <c r="G16" s="26" t="s">
        <v>29</v>
      </c>
      <c r="H16" s="26" t="s">
        <v>111</v>
      </c>
      <c r="I16" s="18">
        <f>[19]Main!$C$5</f>
        <v>29.3</v>
      </c>
      <c r="J16" s="11">
        <f t="shared" si="3"/>
        <v>153.53200000000001</v>
      </c>
      <c r="K16" s="18">
        <f>[14]Main!$C$7-[14]Main!$C$8</f>
        <v>3156</v>
      </c>
      <c r="L16" s="11">
        <f>J16-K16</f>
        <v>-3002.4679999999998</v>
      </c>
      <c r="M16" s="34">
        <f>[19]DCF!$AK$19</f>
        <v>-0.1109279854349241</v>
      </c>
      <c r="N16" s="34">
        <f>[19]DCF!$AK$26</f>
        <v>0.34992408101268224</v>
      </c>
      <c r="O16" s="34">
        <f>[19]DCF!$AK$27</f>
        <v>-1.9502118471657514E-2</v>
      </c>
      <c r="P16" s="34">
        <f>[19]DCF!$AK$28</f>
        <v>0.36638617478095792</v>
      </c>
      <c r="Q16" s="34">
        <f>[19]WACC!$C$18</f>
        <v>6.1315001319892676E-2</v>
      </c>
      <c r="R16" s="43">
        <v>0</v>
      </c>
      <c r="S16" s="35">
        <f>R16/T16</f>
        <v>0</v>
      </c>
      <c r="T16" s="28" cm="1">
        <f t="array" ref="T16">_FV(B16,"Price")</f>
        <v>5.24</v>
      </c>
      <c r="U16" s="28">
        <f>[19]DCF!$AT$25</f>
        <v>-119.74897291383805</v>
      </c>
      <c r="V16" s="13">
        <f t="shared" si="4"/>
        <v>-23.852857426304968</v>
      </c>
    </row>
    <row r="17" spans="2:22" x14ac:dyDescent="0.25">
      <c r="B17" s="21" t="e" vm="15">
        <v>#VALUE!</v>
      </c>
      <c r="C17" s="26">
        <v>1994</v>
      </c>
      <c r="D17" s="18" t="s">
        <v>37</v>
      </c>
      <c r="E17" s="18" t="s">
        <v>93</v>
      </c>
      <c r="F17" s="11" cm="1">
        <f t="array" ref="F17">_FV(B17,"Employees")</f>
        <v>1525000</v>
      </c>
      <c r="G17" s="26" t="s">
        <v>29</v>
      </c>
      <c r="H17" s="26" t="s">
        <v>111</v>
      </c>
      <c r="I17" s="18">
        <f>[15]Main!$C$5</f>
        <v>10308</v>
      </c>
      <c r="J17" s="11">
        <f t="shared" si="3"/>
        <v>1830494.6400000001</v>
      </c>
      <c r="K17" s="18">
        <f>[15]Main!$C$7-[15]Main!$C$8</f>
        <v>37750</v>
      </c>
      <c r="L17" s="11">
        <f>J17-K17</f>
        <v>1792744.6400000001</v>
      </c>
      <c r="M17" s="34">
        <f>[15]Model!$AU$27</f>
        <v>0.1182957412988368</v>
      </c>
      <c r="N17" s="34">
        <f>[15]Model!$AU$34</f>
        <v>0.46982088955000567</v>
      </c>
      <c r="O17" s="34">
        <f>[15]Model!$AU$35</f>
        <v>6.4114407996033296E-2</v>
      </c>
      <c r="P17" s="34">
        <f>[15]Model!$AU$36</f>
        <v>0.18989802167372261</v>
      </c>
      <c r="Q17" s="34">
        <f>[15]WACC!$C$18</f>
        <v>6.9881909557268029E-2</v>
      </c>
      <c r="R17" s="43">
        <v>0</v>
      </c>
      <c r="S17" s="35">
        <f>R17/T17</f>
        <v>0</v>
      </c>
      <c r="T17" s="28" cm="1">
        <f t="array" ref="T17">_FV(B17,"Price")</f>
        <v>177.58</v>
      </c>
      <c r="U17" s="28">
        <f>[15]Model!$BF$30</f>
        <v>111.83755001316251</v>
      </c>
      <c r="V17" s="13">
        <f t="shared" si="4"/>
        <v>-0.3702131432978798</v>
      </c>
    </row>
    <row r="18" spans="2:22" x14ac:dyDescent="0.25">
      <c r="B18" s="21" t="e" vm="16">
        <v>#VALUE!</v>
      </c>
      <c r="C18" s="26">
        <v>1976</v>
      </c>
      <c r="D18" s="18" t="s">
        <v>97</v>
      </c>
      <c r="E18" s="18" t="s">
        <v>98</v>
      </c>
      <c r="F18" s="11" cm="1">
        <f t="array" ref="F18">_FV(B18,"Employees")</f>
        <v>161000</v>
      </c>
      <c r="G18" s="18" t="s">
        <v>36</v>
      </c>
      <c r="H18" s="26" t="s">
        <v>112</v>
      </c>
      <c r="I18" s="39">
        <f>[16]Main!$C$5</f>
        <v>15576.641</v>
      </c>
      <c r="J18" s="11">
        <f t="shared" si="3"/>
        <v>2727469.8391</v>
      </c>
      <c r="K18" s="18">
        <f>[16]Main!$C$7-[16]Main!$C$8</f>
        <v>-34940</v>
      </c>
      <c r="L18" s="11">
        <f t="shared" ref="L18:L23" si="5">J18-K18</f>
        <v>2762409.8391</v>
      </c>
      <c r="M18" s="34">
        <f>[16]DCF!$AO$60</f>
        <v>-2.800460530319937E-2</v>
      </c>
      <c r="N18" s="34">
        <f>[16]DCF!$AO$51</f>
        <v>0.44131129577207562</v>
      </c>
      <c r="O18" s="34">
        <f>[16]DCF!$AO$52</f>
        <v>0.29821412265024722</v>
      </c>
      <c r="P18" s="34">
        <f>[16]DCF!$AO$54</f>
        <v>0.14719174228036858</v>
      </c>
      <c r="Q18" s="34">
        <f>[16]WACC!$C$18</f>
        <v>8.8789900307742461E-2</v>
      </c>
      <c r="R18" s="26">
        <f>0.24*4</f>
        <v>0.96</v>
      </c>
      <c r="S18" s="35">
        <f>R18/T18</f>
        <v>5.4825813820673901E-3</v>
      </c>
      <c r="T18" s="28" cm="1">
        <f t="array" ref="T18">_FV(B18,"Price")</f>
        <v>175.1</v>
      </c>
      <c r="U18" s="28">
        <f>[16]DCF!$AZ$56</f>
        <v>82.423427496181077</v>
      </c>
      <c r="V18" s="13">
        <f t="shared" si="4"/>
        <v>-0.52927796975339192</v>
      </c>
    </row>
    <row r="19" spans="2:22" x14ac:dyDescent="0.25">
      <c r="B19" s="21" t="e" vm="17">
        <v>#VALUE!</v>
      </c>
      <c r="C19" s="26">
        <v>2011</v>
      </c>
      <c r="D19" s="18" t="s">
        <v>99</v>
      </c>
      <c r="E19" s="18" t="s">
        <v>100</v>
      </c>
      <c r="F19" s="11" cm="1">
        <f t="array" ref="F19">_FV(B19,"Employees")</f>
        <v>720</v>
      </c>
      <c r="G19" s="26" t="s">
        <v>29</v>
      </c>
      <c r="H19" s="26" t="s">
        <v>113</v>
      </c>
      <c r="I19" s="18">
        <f>[17]Main!$C$6</f>
        <v>49</v>
      </c>
      <c r="J19" s="11">
        <f>T19*I19</f>
        <v>11013.730000000001</v>
      </c>
      <c r="K19" s="18">
        <f>[17]Main!$C$8-[17]Main!$C$9</f>
        <v>747.61</v>
      </c>
      <c r="L19" s="11">
        <f t="shared" si="5"/>
        <v>10266.120000000001</v>
      </c>
      <c r="M19" s="34">
        <f>[17]Model!$X$37</f>
        <v>0.43739157498748304</v>
      </c>
      <c r="N19" s="34">
        <f>[17]Model!$X$44</f>
        <v>0.7324372209847696</v>
      </c>
      <c r="O19" s="34">
        <f>[17]Model!$X$45</f>
        <v>-2.4964743583708725E-2</v>
      </c>
      <c r="P19" s="34">
        <f>[17]Model!$X$46</f>
        <v>9.6191708387241698E-2</v>
      </c>
      <c r="Q19" s="34">
        <f>[17]WACC!$C$18</f>
        <v>6.2941209427912495E-2</v>
      </c>
      <c r="R19" s="43">
        <v>0</v>
      </c>
      <c r="S19" s="35">
        <f t="shared" ref="S19:S23" si="6">R19/T19</f>
        <v>0</v>
      </c>
      <c r="T19" s="28" cm="1">
        <f t="array" ref="T19">_FV(B19,"Price")</f>
        <v>224.77</v>
      </c>
      <c r="U19" s="28">
        <f>[17]Model!$AJ$42</f>
        <v>179.69406171187131</v>
      </c>
      <c r="V19" s="13">
        <f t="shared" si="4"/>
        <v>-0.20054250250535521</v>
      </c>
    </row>
    <row r="20" spans="2:22" x14ac:dyDescent="0.25">
      <c r="B20" s="21" t="e" vm="18">
        <v>#VALUE!</v>
      </c>
      <c r="C20" s="26">
        <v>1904</v>
      </c>
      <c r="D20" s="18" t="s">
        <v>77</v>
      </c>
      <c r="E20" s="18" t="s">
        <v>101</v>
      </c>
      <c r="F20" s="11" cm="1">
        <f t="array" ref="F20">_FV(B20,"Employees")</f>
        <v>11350</v>
      </c>
      <c r="G20" s="10" t="s">
        <v>35</v>
      </c>
      <c r="H20" s="26" t="s">
        <v>114</v>
      </c>
      <c r="I20" s="18">
        <f>[18]Main!$C$6</f>
        <v>922.8</v>
      </c>
      <c r="J20" s="11">
        <f>T20*I20</f>
        <v>11507.316000000001</v>
      </c>
      <c r="K20" s="18">
        <f>[18]Main!$C$8-[18]Main!$C$9</f>
        <v>-3241.8</v>
      </c>
      <c r="L20" s="11">
        <f t="shared" si="5"/>
        <v>14749.116000000002</v>
      </c>
      <c r="M20" s="34">
        <f>[18]Model!$AQ$17</f>
        <v>4.7074127139733024E-2</v>
      </c>
      <c r="N20" s="34">
        <f>[18]Model!$AQ$24</f>
        <v>0.6386813345096416</v>
      </c>
      <c r="O20" s="34">
        <f>[18]Model!$AQ$25</f>
        <v>0.13125438864982633</v>
      </c>
      <c r="P20" s="34">
        <f>[18]Model!$AQ$26</f>
        <v>0.20402201999775299</v>
      </c>
      <c r="Q20" s="34">
        <f>[18]WACC!$C$18</f>
        <v>8.3341765758214809E-2</v>
      </c>
      <c r="R20" s="43">
        <v>0</v>
      </c>
      <c r="S20" s="35">
        <f t="shared" si="6"/>
        <v>0</v>
      </c>
      <c r="T20" s="28" cm="1">
        <f t="array" ref="T20">_FV(B20,"Price")</f>
        <v>12.47</v>
      </c>
      <c r="U20" s="28">
        <f>[18]Model!$AZ$24</f>
        <v>9.4495128429675077</v>
      </c>
      <c r="V20" s="13">
        <f t="shared" ref="V20:V23" si="7">U20/T20-1</f>
        <v>-0.24222030128568506</v>
      </c>
    </row>
    <row r="21" spans="2:22" x14ac:dyDescent="0.25">
      <c r="B21" t="e" vm="19">
        <v>#VALUE!</v>
      </c>
      <c r="C21" s="26">
        <v>1987</v>
      </c>
      <c r="D21" s="18" t="s">
        <v>137</v>
      </c>
      <c r="E21" s="26" t="s">
        <v>138</v>
      </c>
      <c r="F21" s="11" cm="1">
        <f t="array" ref="F21">_FV(B21,"Employees")</f>
        <v>51370</v>
      </c>
      <c r="G21" s="26" t="s">
        <v>36</v>
      </c>
      <c r="H21" s="26" t="s">
        <v>108</v>
      </c>
      <c r="J21" s="11"/>
      <c r="L21" s="11"/>
      <c r="Q21" s="40"/>
      <c r="S21" s="35"/>
      <c r="T21" s="28"/>
      <c r="V21" s="13"/>
    </row>
    <row r="22" spans="2:22" x14ac:dyDescent="0.25">
      <c r="C22" s="26"/>
      <c r="F22" s="11"/>
      <c r="H22" s="26"/>
      <c r="I22" s="26"/>
      <c r="J22" s="11"/>
      <c r="L22" s="11"/>
      <c r="S22" s="35"/>
      <c r="T22" s="28"/>
      <c r="V22" s="13"/>
    </row>
    <row r="23" spans="2:22" x14ac:dyDescent="0.25">
      <c r="C23" s="26"/>
      <c r="F23" s="11"/>
      <c r="H23" s="26"/>
      <c r="I23" s="26"/>
      <c r="J23" s="11"/>
      <c r="L23" s="11"/>
      <c r="S23" s="35"/>
      <c r="T23" s="28"/>
      <c r="V23" s="13"/>
    </row>
    <row r="24" spans="2:22" x14ac:dyDescent="0.25">
      <c r="C24" s="26"/>
      <c r="H24" s="26"/>
      <c r="I24" s="26"/>
    </row>
    <row r="25" spans="2:22" x14ac:dyDescent="0.25">
      <c r="C25" s="26"/>
    </row>
  </sheetData>
  <conditionalFormatting sqref="V3:V23">
    <cfRule type="cellIs" dxfId="1" priority="1" operator="greaterThan">
      <formula>0</formula>
    </cfRule>
    <cfRule type="cellIs" dxfId="0" priority="2" operator="lessThan">
      <formula>0</formula>
    </cfRule>
  </conditionalFormatting>
  <hyperlinks>
    <hyperlink ref="B5" r:id="rId1" display="DBX.xlsx" xr:uid="{9A1EE43E-25FA-4BA1-AB49-BD345A366287}"/>
    <hyperlink ref="B7" r:id="rId2" display="WMT.xlsx" xr:uid="{C31559EE-07FF-4A24-9DE6-BCD342EBDFE7}"/>
    <hyperlink ref="B8" r:id="rId3" display="TGT.xlsx" xr:uid="{B3B49652-3DB5-45A2-B15F-38AF5A57C216}"/>
    <hyperlink ref="B6" r:id="rId4" display="ELY.xlsx" xr:uid="{BEBB2ECC-5EA8-45FB-963D-5D71EFC0299F}"/>
    <hyperlink ref="B4" r:id="rId5" display="LEVI.xlsx" xr:uid="{AB097870-8ADC-4D60-8EFB-6418132E7C49}"/>
    <hyperlink ref="B3" r:id="rId6" display="NKE.xlsx" xr:uid="{F86DDB4F-7790-4995-8470-A4D770DDFF61}"/>
    <hyperlink ref="B9" r:id="rId7" display="SBUX.xlsx" xr:uid="{2A82528C-EE07-42C9-9926-3F17DBBCF741}"/>
    <hyperlink ref="B10" r:id="rId8" display="NFLX.xlsx" xr:uid="{E5AE7209-050B-46CB-95E3-201244BE4240}"/>
    <hyperlink ref="B11" r:id="rId9" display="NVDA.xlsx" xr:uid="{93A03CBE-287E-401B-A222-C275BD2C23B0}"/>
    <hyperlink ref="B12" r:id="rId10" display="PFE.xlsx" xr:uid="{89DFB3F4-D31E-464E-AA81-43D9B611C38A}"/>
    <hyperlink ref="B13" r:id="rId11" display="VTRS.xlsx" xr:uid="{4FEBCDE5-EF8E-4030-BE8D-8514380EB83A}"/>
    <hyperlink ref="B14" r:id="rId12" display="FL.xlsx" xr:uid="{E3D7D438-3B49-425C-916A-7EDDACB91245}"/>
    <hyperlink ref="B16" r:id="rId13" display="BIG.xlsx" xr:uid="{1BE431AE-BA25-43A1-A83B-B85491C1A303}"/>
    <hyperlink ref="B15" r:id="rId14" display="BBY.xlsx" xr:uid="{DA2125A1-2B57-4D2A-97F1-FF3C9F6D4923}"/>
    <hyperlink ref="B17" r:id="rId15" display="AMZN.xlsx" xr:uid="{44E4BD95-3179-4544-BAB5-C940AA8D7BCF}"/>
    <hyperlink ref="B18" r:id="rId16" display="AAPL.xlsx" xr:uid="{F0813E7C-0769-4F03-82E2-470EC83B3577}"/>
    <hyperlink ref="B19" r:id="rId17" display="DUOL.xlsx" xr:uid="{AA72C6E4-304C-46AC-85D8-20B469630921}"/>
    <hyperlink ref="B20" r:id="rId18" display="COTY.xlsx" xr:uid="{BCF85E8D-3A96-41F7-96A9-57C75D61AF99}"/>
  </hyperlinks>
  <pageMargins left="0.7" right="0.7" top="0.75" bottom="0.75" header="0.3" footer="0.3"/>
  <pageSetup orientation="portrait" r:id="rId19"/>
  <legacyDrawing r:id="rId2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2161C-EB06-4270-906F-2BDB5CA09CF5}">
  <dimension ref="B2:H3"/>
  <sheetViews>
    <sheetView workbookViewId="0">
      <selection activeCell="H4" sqref="H4"/>
    </sheetView>
  </sheetViews>
  <sheetFormatPr defaultRowHeight="13.8" x14ac:dyDescent="0.25"/>
  <cols>
    <col min="2" max="2" width="26.59765625" bestFit="1" customWidth="1"/>
    <col min="3" max="3" width="12.19921875" customWidth="1"/>
    <col min="4" max="4" width="13" bestFit="1" customWidth="1"/>
    <col min="5" max="5" width="8.3984375" customWidth="1"/>
    <col min="6" max="6" width="11" bestFit="1" customWidth="1"/>
    <col min="7" max="7" width="9" bestFit="1" customWidth="1"/>
  </cols>
  <sheetData>
    <row r="2" spans="2:8" x14ac:dyDescent="0.25">
      <c r="B2" s="8" t="s">
        <v>10</v>
      </c>
      <c r="C2" s="32" t="s">
        <v>15</v>
      </c>
      <c r="D2" s="32" t="s">
        <v>25</v>
      </c>
      <c r="E2" s="32" t="s">
        <v>16</v>
      </c>
      <c r="F2" s="32" t="s">
        <v>17</v>
      </c>
      <c r="G2" s="32" t="s">
        <v>18</v>
      </c>
      <c r="H2" s="33" t="s">
        <v>19</v>
      </c>
    </row>
    <row r="3" spans="2:8" x14ac:dyDescent="0.25">
      <c r="B3" s="21" t="e" vm="8">
        <v>#VALUE!</v>
      </c>
      <c r="C3" s="39" t="s">
        <v>107</v>
      </c>
      <c r="D3" s="18" cm="1">
        <f t="array" ref="D3">_FV(B3,"Price")</f>
        <v>615.83000000000004</v>
      </c>
      <c r="E3" s="18">
        <f>All!I10</f>
        <v>452.41699999999997</v>
      </c>
      <c r="F3" s="18">
        <f>D3*E3</f>
        <v>278611.96110999997</v>
      </c>
      <c r="G3" s="18">
        <f>All!K10</f>
        <v>-6609.6240000000007</v>
      </c>
      <c r="H3" s="18">
        <f>F3-G3</f>
        <v>285221.58510999999</v>
      </c>
    </row>
  </sheetData>
  <hyperlinks>
    <hyperlink ref="B3" r:id="rId1" display="NFLX.xlsx" xr:uid="{4ECD65B1-9182-445B-97DF-78281352837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1013D-6197-4478-A967-8EEF762B7998}">
  <dimension ref="B2:H12"/>
  <sheetViews>
    <sheetView workbookViewId="0">
      <selection activeCell="F22" sqref="F22"/>
    </sheetView>
  </sheetViews>
  <sheetFormatPr defaultRowHeight="13.8" x14ac:dyDescent="0.25"/>
  <cols>
    <col min="2" max="2" width="50.5" bestFit="1" customWidth="1"/>
    <col min="3" max="3" width="30.09765625" bestFit="1" customWidth="1"/>
    <col min="4" max="4" width="13" bestFit="1" customWidth="1"/>
    <col min="5" max="5" width="12.09765625" customWidth="1"/>
    <col min="6" max="6" width="12.5" customWidth="1"/>
    <col min="8" max="8" width="12.19921875" customWidth="1"/>
  </cols>
  <sheetData>
    <row r="2" spans="2:8" x14ac:dyDescent="0.25">
      <c r="B2" s="8" t="s">
        <v>10</v>
      </c>
      <c r="C2" s="32" t="s">
        <v>15</v>
      </c>
      <c r="D2" s="32" t="s">
        <v>25</v>
      </c>
      <c r="E2" s="32" t="s">
        <v>16</v>
      </c>
      <c r="F2" s="32" t="s">
        <v>17</v>
      </c>
      <c r="G2" s="32" t="s">
        <v>18</v>
      </c>
      <c r="H2" s="33" t="s">
        <v>19</v>
      </c>
    </row>
    <row r="3" spans="2:8" x14ac:dyDescent="0.25">
      <c r="B3" s="19" t="e" vm="1">
        <v>#VALUE!</v>
      </c>
      <c r="C3" s="9" t="s">
        <v>103</v>
      </c>
      <c r="D3" s="17" cm="1">
        <f t="array" ref="D3">_FV(B3,"Price")</f>
        <v>99.54</v>
      </c>
      <c r="E3" s="11">
        <f>All!I3</f>
        <v>1532.1</v>
      </c>
      <c r="F3" s="11">
        <f>D3*E3</f>
        <v>152505.234</v>
      </c>
      <c r="G3" s="11">
        <f>All!K3</f>
        <v>991</v>
      </c>
      <c r="H3" s="18">
        <f>F3-G3</f>
        <v>151514.234</v>
      </c>
    </row>
    <row r="4" spans="2:8" x14ac:dyDescent="0.25">
      <c r="B4" s="19" t="e" vm="2">
        <v>#VALUE!</v>
      </c>
      <c r="C4" s="9" t="s">
        <v>103</v>
      </c>
      <c r="D4" s="17" cm="1">
        <f t="array" ref="D4">_FV(B4,"Price")</f>
        <v>18.34</v>
      </c>
      <c r="E4" s="11">
        <f>All!I4</f>
        <v>401.58329700000002</v>
      </c>
      <c r="F4" s="11">
        <f>D4*E4</f>
        <v>7365.0376669799998</v>
      </c>
      <c r="G4" s="11">
        <f>All!K4</f>
        <v>-1769.2</v>
      </c>
      <c r="H4" s="18">
        <f t="shared" ref="H4:H11" si="0">F4-G4</f>
        <v>9134.2376669799996</v>
      </c>
    </row>
    <row r="5" spans="2:8" x14ac:dyDescent="0.25">
      <c r="B5" s="19" t="e" vm="4">
        <v>#VALUE!</v>
      </c>
      <c r="C5" s="9" t="s">
        <v>105</v>
      </c>
      <c r="D5" s="17" cm="1">
        <f t="array" ref="D5">_FV(B5,"Price")</f>
        <v>14.2</v>
      </c>
      <c r="E5" s="11">
        <f>All!I6</f>
        <v>201.5</v>
      </c>
      <c r="F5" s="11">
        <f t="shared" ref="F5:F11" si="1">D5*E5</f>
        <v>2861.2999999999997</v>
      </c>
      <c r="G5" s="11">
        <v>-1459.2</v>
      </c>
      <c r="H5" s="18">
        <f t="shared" si="0"/>
        <v>4320.5</v>
      </c>
    </row>
    <row r="6" spans="2:8" x14ac:dyDescent="0.25">
      <c r="B6" s="21" t="e" vm="7">
        <v>#VALUE!</v>
      </c>
      <c r="C6" s="9" t="s">
        <v>106</v>
      </c>
      <c r="D6" s="17" cm="1">
        <f t="array" ref="D6">_FV(B6,"Price")</f>
        <v>92.46</v>
      </c>
      <c r="E6" s="18">
        <f>All!I9</f>
        <v>1140.5999999999999</v>
      </c>
      <c r="F6" s="11">
        <f t="shared" si="1"/>
        <v>105459.87599999999</v>
      </c>
      <c r="G6" s="18">
        <v>-12035.099999999999</v>
      </c>
      <c r="H6" s="18">
        <f t="shared" si="0"/>
        <v>117494.976</v>
      </c>
    </row>
    <row r="7" spans="2:8" x14ac:dyDescent="0.25">
      <c r="B7" s="21" t="e" vm="12">
        <v>#VALUE!</v>
      </c>
      <c r="C7" s="26" t="s">
        <v>110</v>
      </c>
      <c r="D7" s="17" cm="1">
        <f t="array" ref="D7">_FV(B7,"Price")</f>
        <v>33.909999999999997</v>
      </c>
      <c r="E7" s="18">
        <f>All!I14</f>
        <v>95.1</v>
      </c>
      <c r="F7" s="11">
        <f t="shared" si="1"/>
        <v>3224.8409999999994</v>
      </c>
      <c r="G7" s="18">
        <v>-138</v>
      </c>
      <c r="H7" s="18">
        <f t="shared" si="0"/>
        <v>3362.8409999999994</v>
      </c>
    </row>
    <row r="8" spans="2:8" x14ac:dyDescent="0.25">
      <c r="B8" s="21" t="e" vm="13">
        <v>#VALUE!</v>
      </c>
      <c r="C8" s="26" t="s">
        <v>110</v>
      </c>
      <c r="D8" s="17" cm="1">
        <f t="array" ref="D8">_FV(B8,"Price")</f>
        <v>77.540000000000006</v>
      </c>
      <c r="E8" s="18">
        <f>All!I15</f>
        <v>218.3</v>
      </c>
      <c r="F8" s="11">
        <f t="shared" si="1"/>
        <v>16926.982000000004</v>
      </c>
      <c r="G8" s="18">
        <v>-3393</v>
      </c>
      <c r="H8" s="18">
        <f t="shared" si="0"/>
        <v>20319.982000000004</v>
      </c>
    </row>
    <row r="9" spans="2:8" x14ac:dyDescent="0.25">
      <c r="B9" s="21" t="e" vm="14">
        <v>#VALUE!</v>
      </c>
      <c r="C9" s="26" t="s">
        <v>111</v>
      </c>
      <c r="D9" s="17" cm="1">
        <f t="array" ref="D9">_FV(B9,"Price")</f>
        <v>5.24</v>
      </c>
      <c r="E9" s="26">
        <f>All!I16</f>
        <v>29.3</v>
      </c>
      <c r="F9" s="11">
        <f t="shared" si="1"/>
        <v>153.53200000000001</v>
      </c>
      <c r="H9" s="18">
        <f t="shared" si="0"/>
        <v>153.53200000000001</v>
      </c>
    </row>
    <row r="10" spans="2:8" x14ac:dyDescent="0.25">
      <c r="B10" s="21" t="e" vm="15">
        <v>#VALUE!</v>
      </c>
      <c r="C10" s="26" t="s">
        <v>111</v>
      </c>
      <c r="D10" s="17" cm="1">
        <f t="array" ref="D10">_FV(B10,"Price")</f>
        <v>177.58</v>
      </c>
      <c r="E10" s="26">
        <f>All!I17</f>
        <v>10308</v>
      </c>
      <c r="F10" s="11">
        <f t="shared" si="1"/>
        <v>1830494.6400000001</v>
      </c>
      <c r="H10" s="18">
        <f t="shared" si="0"/>
        <v>1830494.6400000001</v>
      </c>
    </row>
    <row r="11" spans="2:8" x14ac:dyDescent="0.25">
      <c r="B11" s="21" t="e" vm="17">
        <v>#VALUE!</v>
      </c>
      <c r="C11" s="26" t="s">
        <v>113</v>
      </c>
      <c r="D11" s="17" cm="1">
        <f t="array" ref="D11">_FV(B11,"Price")</f>
        <v>224.77</v>
      </c>
      <c r="E11" s="18">
        <f>All!I19</f>
        <v>49</v>
      </c>
      <c r="F11" s="11">
        <f t="shared" si="1"/>
        <v>11013.730000000001</v>
      </c>
      <c r="H11" s="18">
        <f t="shared" si="0"/>
        <v>11013.730000000001</v>
      </c>
    </row>
    <row r="12" spans="2:8" x14ac:dyDescent="0.25">
      <c r="B12" s="21"/>
      <c r="C12" s="26"/>
      <c r="D12" s="26"/>
      <c r="E12" s="18"/>
      <c r="F12" s="11"/>
      <c r="G12" s="11"/>
    </row>
  </sheetData>
  <hyperlinks>
    <hyperlink ref="B3" r:id="rId1" display="NKE.xlsx" xr:uid="{590DA76B-94D5-4137-8819-A1442661ACB8}"/>
    <hyperlink ref="B4" r:id="rId2" display="LEVI.xlsx" xr:uid="{172301EA-086E-4F0D-A5EF-38AED88C7F1B}"/>
    <hyperlink ref="B5" r:id="rId3" display="ELY.xlsx" xr:uid="{2811435D-E915-432B-BB28-B02F469FE4F3}"/>
    <hyperlink ref="B6" r:id="rId4" display="SBUX.xlsx" xr:uid="{7BC08114-27A4-49AA-AEBE-8997750C06D7}"/>
    <hyperlink ref="B7" r:id="rId5" display="FL.xlsx" xr:uid="{CA889B75-D000-4D93-A798-4B66AF602F80}"/>
    <hyperlink ref="B8" r:id="rId6" display="BBY.xlsx" xr:uid="{98CBDB40-1A39-432E-A626-6E95AC8ADA31}"/>
    <hyperlink ref="B9" r:id="rId7" display="BIG.xlsx" xr:uid="{FBBCB749-10B1-44B1-A9E5-62D87E6B039A}"/>
    <hyperlink ref="B10" r:id="rId8" display="AMZN.xlsx" xr:uid="{89517E3B-F3CF-4744-95D3-A5670FDE43B0}"/>
    <hyperlink ref="B11" r:id="rId9" display="DUOL.xlsx" xr:uid="{99332235-17A6-4D9B-8CC9-EC601600B5A1}"/>
  </hyperlinks>
  <pageMargins left="0.7" right="0.7" top="0.75" bottom="0.75" header="0.3" footer="0.3"/>
  <pageSetup orientation="portrait" r:id="rId1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D891D-9647-40A3-84D5-0F58CFCF2EC9}">
  <dimension ref="B2:I5"/>
  <sheetViews>
    <sheetView workbookViewId="0">
      <selection activeCell="H3" sqref="H3"/>
    </sheetView>
  </sheetViews>
  <sheetFormatPr defaultRowHeight="13.8" x14ac:dyDescent="0.25"/>
  <cols>
    <col min="2" max="2" width="35.8984375" bestFit="1" customWidth="1"/>
    <col min="3" max="3" width="37" bestFit="1" customWidth="1"/>
    <col min="4" max="4" width="13" bestFit="1" customWidth="1"/>
    <col min="6" max="6" width="11" bestFit="1" customWidth="1"/>
    <col min="7" max="7" width="9" bestFit="1" customWidth="1"/>
  </cols>
  <sheetData>
    <row r="2" spans="2:9" x14ac:dyDescent="0.25">
      <c r="B2" s="8" t="s">
        <v>10</v>
      </c>
      <c r="C2" s="32" t="s">
        <v>15</v>
      </c>
      <c r="D2" s="32" t="s">
        <v>25</v>
      </c>
      <c r="E2" s="32" t="s">
        <v>16</v>
      </c>
      <c r="F2" s="32" t="s">
        <v>17</v>
      </c>
      <c r="G2" s="32" t="s">
        <v>18</v>
      </c>
      <c r="H2" s="33" t="s">
        <v>19</v>
      </c>
    </row>
    <row r="3" spans="2:9" x14ac:dyDescent="0.25">
      <c r="B3" s="20" t="e" vm="5">
        <v>#VALUE!</v>
      </c>
      <c r="C3" s="9" t="s">
        <v>102</v>
      </c>
      <c r="D3" s="17" cm="1">
        <f t="array" ref="D3">_FV(B3,"Price")</f>
        <v>59.33</v>
      </c>
      <c r="E3" s="41">
        <f>All!I7</f>
        <v>2701</v>
      </c>
      <c r="F3" s="11">
        <f>D3*E3</f>
        <v>160250.32999999999</v>
      </c>
      <c r="G3" s="11"/>
      <c r="H3" s="42"/>
      <c r="I3" s="9"/>
    </row>
    <row r="4" spans="2:9" x14ac:dyDescent="0.25">
      <c r="B4" s="20" t="e" vm="6">
        <v>#VALUE!</v>
      </c>
      <c r="C4" s="9" t="s">
        <v>102</v>
      </c>
      <c r="D4" s="17" cm="1">
        <f t="array" ref="D4">_FV(B4,"Price")</f>
        <v>150.41</v>
      </c>
      <c r="E4" s="41">
        <f>All!I8</f>
        <v>462.5</v>
      </c>
      <c r="F4" s="11">
        <f>D4*E4</f>
        <v>69564.625</v>
      </c>
      <c r="G4" s="11"/>
      <c r="H4" s="42"/>
      <c r="I4" s="26"/>
    </row>
    <row r="5" spans="2:9" x14ac:dyDescent="0.25">
      <c r="B5" s="21" t="e" vm="18">
        <v>#VALUE!</v>
      </c>
      <c r="C5" s="26" t="s">
        <v>114</v>
      </c>
      <c r="D5" s="17" cm="1">
        <f t="array" ref="D5">_FV(B5,"Price")</f>
        <v>12.47</v>
      </c>
      <c r="E5" s="11">
        <f>All!I20</f>
        <v>922.8</v>
      </c>
      <c r="F5" s="11">
        <f>D5*E5</f>
        <v>11507.316000000001</v>
      </c>
      <c r="G5" s="11"/>
      <c r="H5" s="39"/>
    </row>
  </sheetData>
  <hyperlinks>
    <hyperlink ref="B3" r:id="rId1" display="WMT.xlsx" xr:uid="{D797B854-A9F5-4976-A936-E761F50FF579}"/>
    <hyperlink ref="B4" r:id="rId2" display="TGT.xlsx" xr:uid="{DBD0987B-C2C4-4BAD-A5AD-42682A598BCD}"/>
    <hyperlink ref="B5" r:id="rId3" display="COTY.xlsx" xr:uid="{1F32EEE9-618F-4D28-8801-5E0E97ACC4B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52939-D0BE-4CCC-9D25-FC7F57DBC1F1}">
  <dimension ref="B2:H2"/>
  <sheetViews>
    <sheetView workbookViewId="0">
      <selection activeCell="B2" sqref="B2:H2"/>
    </sheetView>
  </sheetViews>
  <sheetFormatPr defaultRowHeight="13.8" x14ac:dyDescent="0.25"/>
  <cols>
    <col min="2" max="2" width="9.296875" bestFit="1" customWidth="1"/>
    <col min="4" max="4" width="13" bestFit="1" customWidth="1"/>
    <col min="6" max="6" width="11" bestFit="1" customWidth="1"/>
  </cols>
  <sheetData>
    <row r="2" spans="2:8" x14ac:dyDescent="0.25">
      <c r="B2" s="8" t="s">
        <v>10</v>
      </c>
      <c r="C2" s="32" t="s">
        <v>15</v>
      </c>
      <c r="D2" s="32" t="s">
        <v>25</v>
      </c>
      <c r="E2" s="32" t="s">
        <v>16</v>
      </c>
      <c r="F2" s="32" t="s">
        <v>17</v>
      </c>
      <c r="G2" s="32" t="s">
        <v>18</v>
      </c>
      <c r="H2" s="33" t="s">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6EFA0-072E-4407-BC87-9A231BF876CF}">
  <dimension ref="B2:H2"/>
  <sheetViews>
    <sheetView workbookViewId="0">
      <selection activeCell="F1" sqref="F1:F1048576"/>
    </sheetView>
  </sheetViews>
  <sheetFormatPr defaultRowHeight="13.8" x14ac:dyDescent="0.25"/>
  <cols>
    <col min="2" max="2" width="9.296875" bestFit="1" customWidth="1"/>
    <col min="4" max="4" width="13" bestFit="1" customWidth="1"/>
    <col min="6" max="6" width="11" bestFit="1" customWidth="1"/>
  </cols>
  <sheetData>
    <row r="2" spans="2:8" x14ac:dyDescent="0.25">
      <c r="B2" s="8" t="s">
        <v>10</v>
      </c>
      <c r="C2" s="32" t="s">
        <v>15</v>
      </c>
      <c r="D2" s="32" t="s">
        <v>25</v>
      </c>
      <c r="E2" s="32" t="s">
        <v>16</v>
      </c>
      <c r="F2" s="32" t="s">
        <v>17</v>
      </c>
      <c r="G2" s="32" t="s">
        <v>18</v>
      </c>
      <c r="H2" s="33" t="s">
        <v>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92CC0-09FC-4C10-9A80-8470DFF3838E}">
  <dimension ref="B2:H4"/>
  <sheetViews>
    <sheetView workbookViewId="0">
      <selection activeCell="B2" sqref="B2:H2"/>
    </sheetView>
  </sheetViews>
  <sheetFormatPr defaultRowHeight="13.8" x14ac:dyDescent="0.25"/>
  <cols>
    <col min="2" max="2" width="26" bestFit="1" customWidth="1"/>
    <col min="3" max="3" width="14.69921875" bestFit="1" customWidth="1"/>
    <col min="4" max="4" width="13" bestFit="1" customWidth="1"/>
    <col min="6" max="6" width="11" bestFit="1" customWidth="1"/>
  </cols>
  <sheetData>
    <row r="2" spans="2:8" x14ac:dyDescent="0.25">
      <c r="B2" s="8" t="s">
        <v>10</v>
      </c>
      <c r="C2" s="32" t="s">
        <v>15</v>
      </c>
      <c r="D2" s="32" t="s">
        <v>25</v>
      </c>
      <c r="E2" s="32" t="s">
        <v>16</v>
      </c>
      <c r="F2" s="32" t="s">
        <v>17</v>
      </c>
      <c r="G2" s="32" t="s">
        <v>18</v>
      </c>
      <c r="H2" s="33" t="s">
        <v>19</v>
      </c>
    </row>
    <row r="3" spans="2:8" x14ac:dyDescent="0.25">
      <c r="B3" s="21" t="e" vm="10">
        <v>#VALUE!</v>
      </c>
      <c r="C3" s="18" t="s">
        <v>109</v>
      </c>
    </row>
    <row r="4" spans="2:8" x14ac:dyDescent="0.25">
      <c r="B4" s="21" t="e" vm="11">
        <v>#VALUE!</v>
      </c>
      <c r="C4" s="18" t="s">
        <v>109</v>
      </c>
    </row>
  </sheetData>
  <hyperlinks>
    <hyperlink ref="B3" r:id="rId1" display="PFE.xlsx" xr:uid="{79872E94-45F8-48A0-8FCF-6E32C5AB6EF9}"/>
    <hyperlink ref="B4" r:id="rId2" display="VTRS.xlsx" xr:uid="{6B55DE4C-2259-4EFD-A968-5803EAD6D648}"/>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AF246-CBE5-44B3-96A8-132D2AEC986E}">
  <dimension ref="B2:H2"/>
  <sheetViews>
    <sheetView workbookViewId="0">
      <selection activeCell="C1" sqref="C1"/>
    </sheetView>
  </sheetViews>
  <sheetFormatPr defaultRowHeight="13.8" x14ac:dyDescent="0.25"/>
  <cols>
    <col min="2" max="2" width="9.296875" bestFit="1" customWidth="1"/>
    <col min="4" max="4" width="13" bestFit="1" customWidth="1"/>
    <col min="6" max="6" width="11" bestFit="1" customWidth="1"/>
  </cols>
  <sheetData>
    <row r="2" spans="2:8" x14ac:dyDescent="0.25">
      <c r="B2" s="8" t="s">
        <v>10</v>
      </c>
      <c r="C2" s="32" t="s">
        <v>15</v>
      </c>
      <c r="D2" s="32" t="s">
        <v>25</v>
      </c>
      <c r="E2" s="32" t="s">
        <v>16</v>
      </c>
      <c r="F2" s="32" t="s">
        <v>17</v>
      </c>
      <c r="G2" s="32" t="s">
        <v>18</v>
      </c>
      <c r="H2" s="33" t="s">
        <v>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90BC4-E965-4DE2-A39D-51F6BEEC192F}">
  <dimension ref="B2:H2"/>
  <sheetViews>
    <sheetView workbookViewId="0">
      <selection activeCell="B2" sqref="B2:H2"/>
    </sheetView>
  </sheetViews>
  <sheetFormatPr defaultRowHeight="13.8" x14ac:dyDescent="0.25"/>
  <cols>
    <col min="2" max="2" width="9.296875" bestFit="1" customWidth="1"/>
    <col min="4" max="4" width="13" bestFit="1" customWidth="1"/>
    <col min="6" max="6" width="11" bestFit="1" customWidth="1"/>
  </cols>
  <sheetData>
    <row r="2" spans="2:8" x14ac:dyDescent="0.25">
      <c r="B2" s="8" t="s">
        <v>10</v>
      </c>
      <c r="C2" s="32" t="s">
        <v>15</v>
      </c>
      <c r="D2" s="32" t="s">
        <v>25</v>
      </c>
      <c r="E2" s="32" t="s">
        <v>16</v>
      </c>
      <c r="F2" s="32" t="s">
        <v>17</v>
      </c>
      <c r="G2" s="32" t="s">
        <v>18</v>
      </c>
      <c r="H2" s="33" t="s">
        <v>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6481B-FD1F-4315-92D6-35E78A2AFF96}">
  <dimension ref="B2:H2"/>
  <sheetViews>
    <sheetView workbookViewId="0">
      <selection activeCell="G1" sqref="G1"/>
    </sheetView>
  </sheetViews>
  <sheetFormatPr defaultRowHeight="13.8" x14ac:dyDescent="0.25"/>
  <cols>
    <col min="2" max="2" width="9.296875" bestFit="1" customWidth="1"/>
    <col min="4" max="4" width="13" bestFit="1" customWidth="1"/>
    <col min="6" max="6" width="11" bestFit="1" customWidth="1"/>
  </cols>
  <sheetData>
    <row r="2" spans="2:8" x14ac:dyDescent="0.25">
      <c r="B2" s="8" t="s">
        <v>10</v>
      </c>
      <c r="C2" s="32" t="s">
        <v>15</v>
      </c>
      <c r="D2" s="32" t="s">
        <v>25</v>
      </c>
      <c r="E2" s="32" t="s">
        <v>16</v>
      </c>
      <c r="F2" s="32" t="s">
        <v>17</v>
      </c>
      <c r="G2" s="32" t="s">
        <v>18</v>
      </c>
      <c r="H2" s="33" t="s">
        <v>19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06BBC-4AD0-45B5-9DAC-428FB9D1FF41}">
  <dimension ref="B2:H6"/>
  <sheetViews>
    <sheetView workbookViewId="0">
      <selection activeCell="A5" sqref="A5:XFD5"/>
    </sheetView>
  </sheetViews>
  <sheetFormatPr defaultRowHeight="13.8" x14ac:dyDescent="0.25"/>
  <cols>
    <col min="2" max="2" width="42.3984375" bestFit="1" customWidth="1"/>
    <col min="3" max="3" width="40.69921875" bestFit="1" customWidth="1"/>
    <col min="4" max="4" width="13" bestFit="1" customWidth="1"/>
    <col min="5" max="6" width="11" bestFit="1" customWidth="1"/>
    <col min="7" max="7" width="9.796875" customWidth="1"/>
    <col min="8" max="8" width="9.59765625" customWidth="1"/>
  </cols>
  <sheetData>
    <row r="2" spans="2:8" x14ac:dyDescent="0.25">
      <c r="B2" s="8" t="s">
        <v>10</v>
      </c>
      <c r="C2" s="32" t="s">
        <v>15</v>
      </c>
      <c r="D2" s="32" t="s">
        <v>25</v>
      </c>
      <c r="E2" s="32" t="s">
        <v>16</v>
      </c>
      <c r="F2" s="32" t="s">
        <v>17</v>
      </c>
      <c r="G2" s="32" t="s">
        <v>18</v>
      </c>
      <c r="H2" s="33" t="s">
        <v>19</v>
      </c>
    </row>
    <row r="3" spans="2:8" x14ac:dyDescent="0.25">
      <c r="B3" s="20" t="e" vm="3">
        <v>#VALUE!</v>
      </c>
      <c r="C3" s="9" t="s">
        <v>104</v>
      </c>
      <c r="D3" s="32"/>
      <c r="E3" s="32"/>
      <c r="F3" s="33"/>
    </row>
    <row r="4" spans="2:8" x14ac:dyDescent="0.25">
      <c r="B4" s="21" t="e" vm="9">
        <v>#VALUE!</v>
      </c>
      <c r="C4" s="18" t="s">
        <v>108</v>
      </c>
      <c r="D4" s="10"/>
      <c r="E4" s="10"/>
      <c r="F4" s="11"/>
      <c r="G4" s="10"/>
    </row>
    <row r="5" spans="2:8" x14ac:dyDescent="0.25">
      <c r="B5" s="21" t="e" vm="16">
        <v>#VALUE!</v>
      </c>
      <c r="C5" s="26" t="s">
        <v>112</v>
      </c>
      <c r="D5" s="26"/>
      <c r="E5" s="18"/>
      <c r="F5" s="11"/>
      <c r="G5" s="10"/>
    </row>
    <row r="6" spans="2:8" x14ac:dyDescent="0.25">
      <c r="C6" s="26"/>
      <c r="D6" s="18"/>
      <c r="E6" s="18"/>
      <c r="F6" s="11"/>
      <c r="G6" s="18"/>
    </row>
  </sheetData>
  <hyperlinks>
    <hyperlink ref="B3" r:id="rId1" display="DBX.xlsx" xr:uid="{8AD8603B-E8AE-4A4B-8621-BC6653D1F22C}"/>
    <hyperlink ref="B4" r:id="rId2" display="NVDA.xlsx" xr:uid="{BE20ECE9-59BF-4F5C-AE59-7FF98B33415A}"/>
    <hyperlink ref="B5" r:id="rId3" display="AAPL.xlsx" xr:uid="{F5274545-05FC-4522-9DCF-298B90473BD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3E4ED-422C-4C75-82FF-360B07D250CF}">
  <dimension ref="B2:H2"/>
  <sheetViews>
    <sheetView workbookViewId="0">
      <selection activeCell="B2" sqref="B2:H2"/>
    </sheetView>
  </sheetViews>
  <sheetFormatPr defaultRowHeight="13.8" x14ac:dyDescent="0.25"/>
  <cols>
    <col min="2" max="2" width="9.296875" bestFit="1" customWidth="1"/>
    <col min="4" max="4" width="13" bestFit="1" customWidth="1"/>
    <col min="6" max="6" width="11" bestFit="1" customWidth="1"/>
    <col min="7" max="7" width="9" bestFit="1" customWidth="1"/>
  </cols>
  <sheetData>
    <row r="2" spans="2:8" x14ac:dyDescent="0.25">
      <c r="B2" s="8" t="s">
        <v>10</v>
      </c>
      <c r="C2" s="32" t="s">
        <v>15</v>
      </c>
      <c r="D2" s="32" t="s">
        <v>25</v>
      </c>
      <c r="E2" s="32" t="s">
        <v>16</v>
      </c>
      <c r="F2" s="32" t="s">
        <v>17</v>
      </c>
      <c r="G2" s="32" t="s">
        <v>18</v>
      </c>
      <c r="H2" s="33" t="s">
        <v>19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C5E6F-210E-42F0-986D-D18F45A17348}">
  <dimension ref="B2:H25"/>
  <sheetViews>
    <sheetView workbookViewId="0">
      <selection activeCell="F22" sqref="F22"/>
    </sheetView>
  </sheetViews>
  <sheetFormatPr defaultRowHeight="13.8" x14ac:dyDescent="0.25"/>
  <cols>
    <col min="2" max="2" width="26.69921875" bestFit="1" customWidth="1"/>
    <col min="3" max="3" width="10.19921875" bestFit="1" customWidth="1"/>
    <col min="5" max="5" width="14.5" bestFit="1" customWidth="1"/>
  </cols>
  <sheetData>
    <row r="2" spans="2:5" x14ac:dyDescent="0.25">
      <c r="B2" t="s">
        <v>48</v>
      </c>
      <c r="E2" t="s">
        <v>61</v>
      </c>
    </row>
    <row r="3" spans="2:5" x14ac:dyDescent="0.25">
      <c r="B3" t="s">
        <v>49</v>
      </c>
      <c r="E3" t="s">
        <v>67</v>
      </c>
    </row>
    <row r="4" spans="2:5" x14ac:dyDescent="0.25">
      <c r="B4" t="s">
        <v>65</v>
      </c>
      <c r="C4" s="30" t="s">
        <v>66</v>
      </c>
      <c r="E4" s="31" t="s">
        <v>60</v>
      </c>
    </row>
    <row r="5" spans="2:5" x14ac:dyDescent="0.25">
      <c r="B5" t="s">
        <v>50</v>
      </c>
      <c r="C5" t="s">
        <v>64</v>
      </c>
      <c r="E5" t="s">
        <v>62</v>
      </c>
    </row>
    <row r="6" spans="2:5" x14ac:dyDescent="0.25">
      <c r="B6" t="s">
        <v>51</v>
      </c>
      <c r="C6" t="s">
        <v>52</v>
      </c>
      <c r="E6" t="s">
        <v>63</v>
      </c>
    </row>
    <row r="7" spans="2:5" x14ac:dyDescent="0.25">
      <c r="B7" t="s">
        <v>53</v>
      </c>
      <c r="C7" t="s">
        <v>54</v>
      </c>
      <c r="E7" t="s">
        <v>68</v>
      </c>
    </row>
    <row r="8" spans="2:5" x14ac:dyDescent="0.25">
      <c r="B8" t="s">
        <v>55</v>
      </c>
      <c r="C8" t="s">
        <v>56</v>
      </c>
      <c r="E8" s="31" t="s">
        <v>69</v>
      </c>
    </row>
    <row r="9" spans="2:5" x14ac:dyDescent="0.25">
      <c r="B9" t="s">
        <v>58</v>
      </c>
      <c r="C9" t="s">
        <v>57</v>
      </c>
      <c r="E9" t="s">
        <v>70</v>
      </c>
    </row>
    <row r="10" spans="2:5" x14ac:dyDescent="0.25">
      <c r="B10" t="s">
        <v>59</v>
      </c>
      <c r="C10" t="s">
        <v>56</v>
      </c>
      <c r="E10" t="s">
        <v>71</v>
      </c>
    </row>
    <row r="11" spans="2:5" x14ac:dyDescent="0.25">
      <c r="E11" s="31" t="s">
        <v>72</v>
      </c>
    </row>
    <row r="12" spans="2:5" x14ac:dyDescent="0.25">
      <c r="E12" t="s">
        <v>73</v>
      </c>
    </row>
    <row r="14" spans="2:5" x14ac:dyDescent="0.25">
      <c r="B14" s="36"/>
      <c r="C14" s="36"/>
      <c r="D14" s="36"/>
      <c r="E14" s="36"/>
    </row>
    <row r="16" spans="2:5" x14ac:dyDescent="0.25">
      <c r="B16" t="s">
        <v>115</v>
      </c>
    </row>
    <row r="17" spans="2:8" x14ac:dyDescent="0.25">
      <c r="B17" t="s">
        <v>116</v>
      </c>
      <c r="E17" t="s">
        <v>126</v>
      </c>
    </row>
    <row r="18" spans="2:8" x14ac:dyDescent="0.25">
      <c r="B18" t="s">
        <v>117</v>
      </c>
      <c r="C18" s="30" t="s">
        <v>66</v>
      </c>
      <c r="E18" t="s">
        <v>129</v>
      </c>
    </row>
    <row r="19" spans="2:8" x14ac:dyDescent="0.25">
      <c r="B19" t="s">
        <v>118</v>
      </c>
      <c r="C19" t="s">
        <v>119</v>
      </c>
      <c r="E19" t="s">
        <v>130</v>
      </c>
    </row>
    <row r="20" spans="2:8" x14ac:dyDescent="0.25">
      <c r="B20" t="s">
        <v>53</v>
      </c>
      <c r="C20" t="s">
        <v>124</v>
      </c>
      <c r="E20" t="s">
        <v>131</v>
      </c>
    </row>
    <row r="21" spans="2:8" x14ac:dyDescent="0.25">
      <c r="B21" t="s">
        <v>120</v>
      </c>
      <c r="C21" t="s">
        <v>124</v>
      </c>
      <c r="E21" s="31" t="s">
        <v>132</v>
      </c>
      <c r="F21" s="21" t="s">
        <v>135</v>
      </c>
    </row>
    <row r="22" spans="2:8" x14ac:dyDescent="0.25">
      <c r="B22" t="s">
        <v>121</v>
      </c>
      <c r="C22" t="s">
        <v>125</v>
      </c>
      <c r="E22" t="s">
        <v>133</v>
      </c>
    </row>
    <row r="23" spans="2:8" x14ac:dyDescent="0.25">
      <c r="B23" t="s">
        <v>127</v>
      </c>
      <c r="C23" t="s">
        <v>128</v>
      </c>
      <c r="E23" t="s">
        <v>134</v>
      </c>
    </row>
    <row r="24" spans="2:8" x14ac:dyDescent="0.25">
      <c r="B24" t="s">
        <v>122</v>
      </c>
      <c r="C24" t="s">
        <v>123</v>
      </c>
    </row>
    <row r="25" spans="2:8" x14ac:dyDescent="0.25">
      <c r="H25" t="s">
        <v>136</v>
      </c>
    </row>
  </sheetData>
  <hyperlinks>
    <hyperlink ref="F21" r:id="rId1" xr:uid="{4EF3F599-E211-41D5-A9FD-A40830F3DD1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T-Bond Yields</vt:lpstr>
      <vt:lpstr>All</vt:lpstr>
      <vt:lpstr>Communication</vt:lpstr>
      <vt:lpstr>Discretionary</vt:lpstr>
      <vt:lpstr>Staples</vt:lpstr>
      <vt:lpstr>Energy</vt:lpstr>
      <vt:lpstr>Financials</vt:lpstr>
      <vt:lpstr>Health Care</vt:lpstr>
      <vt:lpstr>Industrials</vt:lpstr>
      <vt:lpstr>Materials</vt:lpstr>
      <vt:lpstr>Real Estate</vt:lpstr>
      <vt:lpstr>Tech</vt:lpstr>
      <vt:lpstr>Utilities</vt:lpstr>
      <vt:lpstr>Screens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S</dc:creator>
  <cp:lastModifiedBy>Bill Sheldon</cp:lastModifiedBy>
  <cp:lastPrinted>2024-03-03T17:27:34Z</cp:lastPrinted>
  <dcterms:created xsi:type="dcterms:W3CDTF">2022-07-25T02:43:33Z</dcterms:created>
  <dcterms:modified xsi:type="dcterms:W3CDTF">2024-03-05T12:37:16Z</dcterms:modified>
</cp:coreProperties>
</file>