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wlshe\Documents\Models\"/>
    </mc:Choice>
  </mc:AlternateContent>
  <xr:revisionPtr revIDLastSave="0" documentId="13_ncr:1_{207AC755-D048-4356-9C66-E6AEECBF96C8}" xr6:coauthVersionLast="47" xr6:coauthVersionMax="47" xr10:uidLastSave="{00000000-0000-0000-0000-000000000000}"/>
  <bookViews>
    <workbookView xWindow="-28920" yWindow="-120" windowWidth="29040" windowHeight="15720" xr2:uid="{F8F0E135-B0EA-4157-A45D-5F4FA8BEF9ED}"/>
  </bookViews>
  <sheets>
    <sheet name="Main" sheetId="1" r:id="rId1"/>
    <sheet name="Model" sheetId="2" r:id="rId2"/>
    <sheet name="WACC" sheetId="3" r:id="rId3"/>
  </sheets>
  <externalReferences>
    <externalReference r:id="rId4"/>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C6" i="2" l="1"/>
  <c r="AC5" i="2"/>
  <c r="AB5" i="2"/>
  <c r="AA5" i="2"/>
  <c r="Z5" i="2"/>
  <c r="Z13" i="2"/>
  <c r="AA13" i="2" s="1"/>
  <c r="AB13" i="2" s="1"/>
  <c r="AC13" i="2" s="1"/>
  <c r="AA12" i="2"/>
  <c r="AB12" i="2" s="1"/>
  <c r="AC12" i="2" s="1"/>
  <c r="Z12" i="2"/>
  <c r="Z9" i="2"/>
  <c r="AA9" i="2" s="1"/>
  <c r="AB9" i="2" s="1"/>
  <c r="AC9" i="2" s="1"/>
  <c r="Z8" i="2"/>
  <c r="AA8" i="2" s="1"/>
  <c r="AB8" i="2" s="1"/>
  <c r="AC8" i="2" s="1"/>
  <c r="AA6" i="2"/>
  <c r="AB6" i="2" s="1"/>
  <c r="Z6" i="2"/>
  <c r="Y17" i="2"/>
  <c r="Y5" i="2"/>
  <c r="M17" i="2"/>
  <c r="N17" i="2"/>
  <c r="L17" i="2"/>
  <c r="N15" i="2"/>
  <c r="M15" i="2"/>
  <c r="L15" i="2"/>
  <c r="N14" i="2"/>
  <c r="M14" i="2"/>
  <c r="L14" i="2"/>
  <c r="N12" i="2"/>
  <c r="M12" i="2"/>
  <c r="L12" i="2"/>
  <c r="L9" i="2"/>
  <c r="N9" i="2"/>
  <c r="M9" i="2"/>
  <c r="N8" i="2"/>
  <c r="M8" i="2"/>
  <c r="L8" i="2"/>
  <c r="N6" i="2"/>
  <c r="N21" i="2" s="1"/>
  <c r="M6" i="2"/>
  <c r="L6" i="2"/>
  <c r="X21" i="2"/>
  <c r="M21" i="2"/>
  <c r="L21" i="2"/>
  <c r="K21" i="2"/>
  <c r="J21" i="2"/>
  <c r="I21" i="2"/>
  <c r="H21" i="2"/>
  <c r="G21" i="2"/>
  <c r="W4" i="2"/>
  <c r="W3" i="2"/>
  <c r="X4" i="2"/>
  <c r="X3" i="2"/>
  <c r="X6" i="2"/>
  <c r="F8" i="2"/>
  <c r="J8" i="2"/>
  <c r="X8" i="2" s="1"/>
  <c r="J5" i="2"/>
  <c r="I5" i="2"/>
  <c r="H5" i="2"/>
  <c r="G5" i="2"/>
  <c r="F5" i="2"/>
  <c r="E5" i="2"/>
  <c r="D5" i="2"/>
  <c r="C5" i="2"/>
  <c r="G20" i="2" s="1"/>
  <c r="K5" i="2"/>
  <c r="L5" i="2" s="1"/>
  <c r="M5" i="2" s="1"/>
  <c r="N5" i="2" s="1"/>
  <c r="C3" i="3"/>
  <c r="C9" i="1"/>
  <c r="C8" i="1"/>
  <c r="K20" i="2" l="1"/>
  <c r="J20" i="2"/>
  <c r="X5" i="2"/>
  <c r="X7" i="2" s="1"/>
  <c r="W5" i="2"/>
  <c r="AG25" i="2"/>
  <c r="Y15" i="2" l="1"/>
  <c r="Y13" i="2"/>
  <c r="Y12" i="2"/>
  <c r="Y9" i="2"/>
  <c r="Y8" i="2"/>
  <c r="Y6" i="2"/>
  <c r="X15" i="2"/>
  <c r="X13" i="2"/>
  <c r="X12" i="2"/>
  <c r="C10" i="3" s="1"/>
  <c r="X9" i="2"/>
  <c r="W15" i="2"/>
  <c r="W13" i="2"/>
  <c r="W12" i="2"/>
  <c r="W9" i="2"/>
  <c r="W8" i="2"/>
  <c r="W6" i="2"/>
  <c r="Z17" i="2"/>
  <c r="X17" i="2"/>
  <c r="Y26" i="2" s="1"/>
  <c r="W17" i="2"/>
  <c r="M26" i="2"/>
  <c r="L26" i="2"/>
  <c r="K26" i="2"/>
  <c r="J26" i="2"/>
  <c r="I26" i="2"/>
  <c r="H26" i="2"/>
  <c r="G26" i="2"/>
  <c r="N26" i="2"/>
  <c r="M20" i="2"/>
  <c r="L20" i="2"/>
  <c r="I20" i="2"/>
  <c r="H20" i="2"/>
  <c r="N20" i="2"/>
  <c r="M7" i="2"/>
  <c r="M27" i="2" s="1"/>
  <c r="L7" i="2"/>
  <c r="L27" i="2" s="1"/>
  <c r="K7" i="2"/>
  <c r="K27" i="2" s="1"/>
  <c r="J7" i="2"/>
  <c r="J27" i="2" s="1"/>
  <c r="I7" i="2"/>
  <c r="H7" i="2"/>
  <c r="H27" i="2" s="1"/>
  <c r="G7" i="2"/>
  <c r="G27" i="2" s="1"/>
  <c r="F7" i="2"/>
  <c r="F27" i="2" s="1"/>
  <c r="E7" i="2"/>
  <c r="D7" i="2"/>
  <c r="C7" i="2"/>
  <c r="M10" i="2"/>
  <c r="L10" i="2"/>
  <c r="K10" i="2"/>
  <c r="J10" i="2"/>
  <c r="I10" i="2"/>
  <c r="H10" i="2"/>
  <c r="G10" i="2"/>
  <c r="F10" i="2"/>
  <c r="E10" i="2"/>
  <c r="D10" i="2"/>
  <c r="C10" i="2"/>
  <c r="N10" i="2"/>
  <c r="N7" i="2"/>
  <c r="N27" i="2" s="1"/>
  <c r="C13" i="3"/>
  <c r="Z7" i="2" l="1"/>
  <c r="Y21" i="2"/>
  <c r="D11" i="2"/>
  <c r="D14" i="2" s="1"/>
  <c r="D16" i="2" s="1"/>
  <c r="E11" i="2"/>
  <c r="E14" i="2" s="1"/>
  <c r="E16" i="2" s="1"/>
  <c r="W7" i="2"/>
  <c r="W27" i="2" s="1"/>
  <c r="X26" i="2"/>
  <c r="W10" i="2"/>
  <c r="Y10" i="2"/>
  <c r="C11" i="2"/>
  <c r="Z10" i="2"/>
  <c r="Z26" i="2"/>
  <c r="AA17" i="2"/>
  <c r="X20" i="2"/>
  <c r="Z20" i="2"/>
  <c r="Y20" i="2"/>
  <c r="Y7" i="2"/>
  <c r="X10" i="2"/>
  <c r="C27" i="2"/>
  <c r="G23" i="2"/>
  <c r="D27" i="2"/>
  <c r="H23" i="2"/>
  <c r="I22" i="2"/>
  <c r="G22" i="2"/>
  <c r="E27" i="2"/>
  <c r="I23" i="2"/>
  <c r="J23" i="2"/>
  <c r="K23" i="2"/>
  <c r="L23" i="2"/>
  <c r="M23" i="2"/>
  <c r="N23" i="2"/>
  <c r="J22" i="2"/>
  <c r="K22" i="2"/>
  <c r="L22" i="2"/>
  <c r="M22" i="2"/>
  <c r="N22" i="2"/>
  <c r="I27" i="2"/>
  <c r="H22" i="2"/>
  <c r="L11" i="2"/>
  <c r="G11" i="2"/>
  <c r="K11" i="2"/>
  <c r="K14" i="2" s="1"/>
  <c r="H11" i="2"/>
  <c r="H14" i="2" s="1"/>
  <c r="H16" i="2" s="1"/>
  <c r="I11" i="2"/>
  <c r="I14" i="2" s="1"/>
  <c r="I16" i="2" s="1"/>
  <c r="M11" i="2"/>
  <c r="J11" i="2"/>
  <c r="J14" i="2" s="1"/>
  <c r="J16" i="2" s="1"/>
  <c r="F11" i="2"/>
  <c r="F14" i="2" s="1"/>
  <c r="F16" i="2" s="1"/>
  <c r="N11" i="2"/>
  <c r="C16" i="3"/>
  <c r="AA7" i="2" l="1"/>
  <c r="Z21" i="2"/>
  <c r="Z11" i="2"/>
  <c r="Z14" i="2" s="1"/>
  <c r="Z15" i="2" s="1"/>
  <c r="G14" i="2"/>
  <c r="G16" i="2" s="1"/>
  <c r="C28" i="2"/>
  <c r="C14" i="2"/>
  <c r="C16" i="2" s="1"/>
  <c r="D29" i="2"/>
  <c r="D28" i="2"/>
  <c r="E28" i="2"/>
  <c r="E29" i="2"/>
  <c r="W11" i="2"/>
  <c r="W14" i="2" s="1"/>
  <c r="Y11" i="2"/>
  <c r="Y14" i="2" s="1"/>
  <c r="Y16" i="2" s="1"/>
  <c r="Z23" i="2"/>
  <c r="AC10" i="2"/>
  <c r="E18" i="2"/>
  <c r="AB10" i="2"/>
  <c r="D18" i="2"/>
  <c r="AB17" i="2"/>
  <c r="AA26" i="2"/>
  <c r="C11" i="3"/>
  <c r="X23" i="2"/>
  <c r="Y23" i="2"/>
  <c r="Y27" i="2"/>
  <c r="Z27" i="2"/>
  <c r="Z22" i="2"/>
  <c r="X27" i="2"/>
  <c r="X22" i="2"/>
  <c r="X11" i="2"/>
  <c r="X14" i="2" s="1"/>
  <c r="AA20" i="2"/>
  <c r="F28" i="2"/>
  <c r="J28" i="2"/>
  <c r="J24" i="2"/>
  <c r="I28" i="2"/>
  <c r="I24" i="2"/>
  <c r="H24" i="2"/>
  <c r="H28" i="2"/>
  <c r="K28" i="2"/>
  <c r="K24" i="2"/>
  <c r="G28" i="2"/>
  <c r="G24" i="2"/>
  <c r="L28" i="2"/>
  <c r="L24" i="2"/>
  <c r="M28" i="2"/>
  <c r="M24" i="2"/>
  <c r="N24" i="2"/>
  <c r="N28" i="2"/>
  <c r="C5" i="1" a="1"/>
  <c r="C5" i="1" s="1"/>
  <c r="AG28" i="2" s="1"/>
  <c r="AA21" i="2" l="1"/>
  <c r="Z28" i="2"/>
  <c r="AA10" i="2"/>
  <c r="AA23" i="2" s="1"/>
  <c r="C29" i="2"/>
  <c r="W28" i="2"/>
  <c r="Z24" i="2"/>
  <c r="Y28" i="2"/>
  <c r="AC23" i="2"/>
  <c r="AC17" i="2"/>
  <c r="AB26" i="2"/>
  <c r="AB23" i="2"/>
  <c r="W16" i="2"/>
  <c r="W29" i="2"/>
  <c r="AB20" i="2"/>
  <c r="AB7" i="2"/>
  <c r="X28" i="2"/>
  <c r="X24" i="2"/>
  <c r="Y24" i="2"/>
  <c r="AA22" i="2"/>
  <c r="AA27" i="2"/>
  <c r="Y18" i="2"/>
  <c r="Y29" i="2"/>
  <c r="N16" i="2"/>
  <c r="N29" i="2"/>
  <c r="F29" i="2"/>
  <c r="G29" i="2"/>
  <c r="K16" i="2"/>
  <c r="K29" i="2"/>
  <c r="M16" i="2"/>
  <c r="M29" i="2"/>
  <c r="H29" i="2"/>
  <c r="L16" i="2"/>
  <c r="L29" i="2"/>
  <c r="I29" i="2"/>
  <c r="J29" i="2"/>
  <c r="C7" i="1"/>
  <c r="C4" i="3" s="1"/>
  <c r="AA11" i="2" l="1"/>
  <c r="AA14" i="2" s="1"/>
  <c r="AA15" i="2" s="1"/>
  <c r="AB21" i="2"/>
  <c r="AC21" i="2"/>
  <c r="Z29" i="2"/>
  <c r="Z16" i="2"/>
  <c r="C18" i="2"/>
  <c r="AC26" i="2"/>
  <c r="X16" i="2"/>
  <c r="X25" i="2" s="1"/>
  <c r="X29" i="2"/>
  <c r="C9" i="3" s="1"/>
  <c r="AB11" i="2"/>
  <c r="AB14" i="2" s="1"/>
  <c r="AB15" i="2" s="1"/>
  <c r="AB27" i="2"/>
  <c r="AB22" i="2"/>
  <c r="AC7" i="2"/>
  <c r="AC20" i="2"/>
  <c r="M18" i="2"/>
  <c r="M25" i="2"/>
  <c r="N18" i="2"/>
  <c r="N25" i="2"/>
  <c r="I18" i="2"/>
  <c r="I25" i="2"/>
  <c r="H18" i="2"/>
  <c r="H25" i="2"/>
  <c r="K18" i="2"/>
  <c r="K25" i="2"/>
  <c r="G18" i="2"/>
  <c r="G25" i="2"/>
  <c r="J18" i="2"/>
  <c r="J25" i="2"/>
  <c r="F18" i="2"/>
  <c r="L18" i="2"/>
  <c r="L25" i="2"/>
  <c r="C10" i="1"/>
  <c r="C5" i="3"/>
  <c r="C7" i="3" s="1"/>
  <c r="AA24" i="2" l="1"/>
  <c r="AA28" i="2"/>
  <c r="AA29" i="2"/>
  <c r="AA16" i="2"/>
  <c r="Z25" i="2"/>
  <c r="Z18" i="2"/>
  <c r="AC22" i="2"/>
  <c r="AC27" i="2"/>
  <c r="AC11" i="2"/>
  <c r="AC14" i="2" s="1"/>
  <c r="AC15" i="2" s="1"/>
  <c r="Y25" i="2"/>
  <c r="AB24" i="2"/>
  <c r="AB28" i="2"/>
  <c r="W18" i="2"/>
  <c r="C6" i="3"/>
  <c r="AA25" i="2" l="1"/>
  <c r="AC24" i="2"/>
  <c r="AC28" i="2"/>
  <c r="AA18" i="2"/>
  <c r="X18" i="2"/>
  <c r="C18" i="3"/>
  <c r="AG23" i="2" s="1"/>
  <c r="AB29" i="2" l="1"/>
  <c r="AB16" i="2"/>
  <c r="AB25" i="2" s="1"/>
  <c r="AC29" i="2" l="1"/>
  <c r="AC16" i="2"/>
  <c r="AB18" i="2"/>
  <c r="AC18" i="2" l="1"/>
  <c r="AD16" i="2"/>
  <c r="AE16" i="2" s="1"/>
  <c r="AF16" i="2" s="1"/>
  <c r="AG16" i="2" s="1"/>
  <c r="AH16" i="2" s="1"/>
  <c r="AI16" i="2" s="1"/>
  <c r="AJ16" i="2" s="1"/>
  <c r="AK16" i="2" s="1"/>
  <c r="AL16" i="2" s="1"/>
  <c r="AM16" i="2" s="1"/>
  <c r="AN16" i="2" s="1"/>
  <c r="AO16" i="2" s="1"/>
  <c r="AP16" i="2" s="1"/>
  <c r="AQ16" i="2" s="1"/>
  <c r="AR16" i="2" s="1"/>
  <c r="AS16" i="2" s="1"/>
  <c r="AT16" i="2" s="1"/>
  <c r="AU16" i="2" s="1"/>
  <c r="AV16" i="2" s="1"/>
  <c r="AW16" i="2" s="1"/>
  <c r="AX16" i="2" s="1"/>
  <c r="AY16" i="2" s="1"/>
  <c r="AZ16" i="2" s="1"/>
  <c r="BA16" i="2" s="1"/>
  <c r="BB16" i="2" s="1"/>
  <c r="BC16" i="2" s="1"/>
  <c r="BD16" i="2" s="1"/>
  <c r="BE16" i="2" s="1"/>
  <c r="BF16" i="2" s="1"/>
  <c r="BG16" i="2" s="1"/>
  <c r="BH16" i="2" s="1"/>
  <c r="BI16" i="2" s="1"/>
  <c r="BJ16" i="2" s="1"/>
  <c r="BK16" i="2" s="1"/>
  <c r="BL16" i="2" s="1"/>
  <c r="BM16" i="2" s="1"/>
  <c r="BN16" i="2" s="1"/>
  <c r="BO16" i="2" s="1"/>
  <c r="BP16" i="2" s="1"/>
  <c r="BQ16" i="2" s="1"/>
  <c r="BR16" i="2" s="1"/>
  <c r="BS16" i="2" s="1"/>
  <c r="BT16" i="2" s="1"/>
  <c r="BU16" i="2" s="1"/>
  <c r="BV16" i="2" s="1"/>
  <c r="BW16" i="2" s="1"/>
  <c r="BX16" i="2" s="1"/>
  <c r="BY16" i="2" s="1"/>
  <c r="BZ16" i="2" s="1"/>
  <c r="CA16" i="2" s="1"/>
  <c r="CB16" i="2" s="1"/>
  <c r="CC16" i="2" s="1"/>
  <c r="CD16" i="2" s="1"/>
  <c r="CE16" i="2" s="1"/>
  <c r="CF16" i="2" s="1"/>
  <c r="CG16" i="2" s="1"/>
  <c r="CH16" i="2" s="1"/>
  <c r="CI16" i="2" s="1"/>
  <c r="CJ16" i="2" s="1"/>
  <c r="CK16" i="2" s="1"/>
  <c r="CL16" i="2" s="1"/>
  <c r="CM16" i="2" s="1"/>
  <c r="CN16" i="2" s="1"/>
  <c r="CO16" i="2" s="1"/>
  <c r="CP16" i="2" s="1"/>
  <c r="CQ16" i="2" s="1"/>
  <c r="CR16" i="2" s="1"/>
  <c r="CS16" i="2" s="1"/>
  <c r="CT16" i="2" s="1"/>
  <c r="CU16" i="2" s="1"/>
  <c r="CV16" i="2" s="1"/>
  <c r="CW16" i="2" s="1"/>
  <c r="CX16" i="2" s="1"/>
  <c r="CY16" i="2" s="1"/>
  <c r="CZ16" i="2" s="1"/>
  <c r="DA16" i="2" s="1"/>
  <c r="DB16" i="2" s="1"/>
  <c r="DC16" i="2" s="1"/>
  <c r="DD16" i="2" s="1"/>
  <c r="DE16" i="2" s="1"/>
  <c r="DF16" i="2" s="1"/>
  <c r="DG16" i="2" s="1"/>
  <c r="DH16" i="2" s="1"/>
  <c r="DI16" i="2" s="1"/>
  <c r="DJ16" i="2" s="1"/>
  <c r="DK16" i="2" s="1"/>
  <c r="DL16" i="2" s="1"/>
  <c r="DM16" i="2" s="1"/>
  <c r="DN16" i="2" s="1"/>
  <c r="DO16" i="2" s="1"/>
  <c r="DP16" i="2" s="1"/>
  <c r="DQ16" i="2" s="1"/>
  <c r="DR16" i="2" s="1"/>
  <c r="DS16" i="2" s="1"/>
  <c r="DT16" i="2" s="1"/>
  <c r="DU16" i="2" s="1"/>
  <c r="DV16" i="2" s="1"/>
  <c r="DW16" i="2" s="1"/>
  <c r="DX16" i="2" s="1"/>
  <c r="DY16" i="2" s="1"/>
  <c r="DZ16" i="2" s="1"/>
  <c r="EA16" i="2" s="1"/>
  <c r="EB16" i="2" s="1"/>
  <c r="EC16" i="2" s="1"/>
  <c r="ED16" i="2" s="1"/>
  <c r="EE16" i="2" s="1"/>
  <c r="EF16" i="2" s="1"/>
  <c r="EG16" i="2" s="1"/>
  <c r="EH16" i="2" s="1"/>
  <c r="EI16" i="2" s="1"/>
  <c r="EJ16" i="2" s="1"/>
  <c r="EK16" i="2" s="1"/>
  <c r="EL16" i="2" s="1"/>
  <c r="EM16" i="2" s="1"/>
  <c r="EN16" i="2" s="1"/>
  <c r="EO16" i="2" s="1"/>
  <c r="EP16" i="2" s="1"/>
  <c r="EQ16" i="2" s="1"/>
  <c r="ER16" i="2" s="1"/>
  <c r="ES16" i="2" s="1"/>
  <c r="ET16" i="2" s="1"/>
  <c r="EU16" i="2" s="1"/>
  <c r="EV16" i="2" s="1"/>
  <c r="EW16" i="2" s="1"/>
  <c r="EX16" i="2" s="1"/>
  <c r="EY16" i="2" s="1"/>
  <c r="EZ16" i="2" s="1"/>
  <c r="FA16" i="2" s="1"/>
  <c r="FB16" i="2" s="1"/>
  <c r="FC16" i="2" s="1"/>
  <c r="FD16" i="2" s="1"/>
  <c r="FE16" i="2" s="1"/>
  <c r="FF16" i="2" s="1"/>
  <c r="FG16" i="2" s="1"/>
  <c r="FH16" i="2" s="1"/>
  <c r="FI16" i="2" s="1"/>
  <c r="FJ16" i="2" s="1"/>
  <c r="FK16" i="2" s="1"/>
  <c r="FL16" i="2" s="1"/>
  <c r="FM16" i="2" s="1"/>
  <c r="FN16" i="2" s="1"/>
  <c r="FO16" i="2" s="1"/>
  <c r="FP16" i="2" s="1"/>
  <c r="FQ16" i="2" s="1"/>
  <c r="FR16" i="2" s="1"/>
  <c r="FS16" i="2" s="1"/>
  <c r="FT16" i="2" s="1"/>
  <c r="FU16" i="2" s="1"/>
  <c r="FV16" i="2" s="1"/>
  <c r="FW16" i="2" s="1"/>
  <c r="FX16" i="2" s="1"/>
  <c r="FY16" i="2" s="1"/>
  <c r="FZ16" i="2" s="1"/>
  <c r="GA16" i="2" s="1"/>
  <c r="GB16" i="2" s="1"/>
  <c r="GC16" i="2" s="1"/>
  <c r="GD16" i="2" s="1"/>
  <c r="GE16" i="2" s="1"/>
  <c r="GF16" i="2" s="1"/>
  <c r="GG16" i="2" s="1"/>
  <c r="GH16" i="2" s="1"/>
  <c r="GI16" i="2" s="1"/>
  <c r="GJ16" i="2" s="1"/>
  <c r="GK16" i="2" s="1"/>
  <c r="GL16" i="2" s="1"/>
  <c r="GM16" i="2" s="1"/>
  <c r="GN16" i="2" s="1"/>
  <c r="GO16" i="2" s="1"/>
  <c r="GP16" i="2" s="1"/>
  <c r="GQ16" i="2" s="1"/>
  <c r="GR16" i="2" s="1"/>
  <c r="GS16" i="2" s="1"/>
  <c r="GT16" i="2" s="1"/>
  <c r="GU16" i="2" s="1"/>
  <c r="GV16" i="2" s="1"/>
  <c r="GW16" i="2" s="1"/>
  <c r="GX16" i="2" s="1"/>
  <c r="GY16" i="2" s="1"/>
  <c r="GZ16" i="2" s="1"/>
  <c r="HA16" i="2" s="1"/>
  <c r="HB16" i="2" s="1"/>
  <c r="HC16" i="2" s="1"/>
  <c r="HD16" i="2" s="1"/>
  <c r="HE16" i="2" s="1"/>
  <c r="HF16" i="2" s="1"/>
  <c r="HG16" i="2" s="1"/>
  <c r="HH16" i="2" s="1"/>
  <c r="HI16" i="2" s="1"/>
  <c r="HJ16" i="2" s="1"/>
  <c r="HK16" i="2" s="1"/>
  <c r="HL16" i="2" s="1"/>
  <c r="HM16" i="2" s="1"/>
  <c r="HN16" i="2" s="1"/>
  <c r="HO16" i="2" s="1"/>
  <c r="HP16" i="2" s="1"/>
  <c r="HQ16" i="2" s="1"/>
  <c r="HR16" i="2" s="1"/>
  <c r="HS16" i="2" s="1"/>
  <c r="HT16" i="2" s="1"/>
  <c r="HU16" i="2" s="1"/>
  <c r="HV16" i="2" s="1"/>
  <c r="HW16" i="2" s="1"/>
  <c r="HX16" i="2" s="1"/>
  <c r="HY16" i="2" s="1"/>
  <c r="HZ16" i="2" s="1"/>
  <c r="IA16" i="2" s="1"/>
  <c r="IB16" i="2" s="1"/>
  <c r="IC16" i="2" s="1"/>
  <c r="ID16" i="2" s="1"/>
  <c r="IE16" i="2" s="1"/>
  <c r="IF16" i="2" s="1"/>
  <c r="IG16" i="2" s="1"/>
  <c r="IH16" i="2" s="1"/>
  <c r="II16" i="2" s="1"/>
  <c r="IJ16" i="2" s="1"/>
  <c r="IK16" i="2" s="1"/>
  <c r="IL16" i="2" s="1"/>
  <c r="IM16" i="2" s="1"/>
  <c r="IN16" i="2" s="1"/>
  <c r="IO16" i="2" s="1"/>
  <c r="IP16" i="2" s="1"/>
  <c r="IQ16" i="2" s="1"/>
  <c r="IR16" i="2" s="1"/>
  <c r="IS16" i="2" s="1"/>
  <c r="IT16" i="2" s="1"/>
  <c r="IU16" i="2" s="1"/>
  <c r="IV16" i="2" s="1"/>
  <c r="IW16" i="2" s="1"/>
  <c r="IX16" i="2" s="1"/>
  <c r="IY16" i="2" s="1"/>
  <c r="IZ16" i="2" s="1"/>
  <c r="JA16" i="2" s="1"/>
  <c r="JB16" i="2" s="1"/>
  <c r="JC16" i="2" s="1"/>
  <c r="JD16" i="2" s="1"/>
  <c r="JE16" i="2" s="1"/>
  <c r="JF16" i="2" s="1"/>
  <c r="JG16" i="2" s="1"/>
  <c r="JH16" i="2" s="1"/>
  <c r="JI16" i="2" s="1"/>
  <c r="JJ16" i="2" s="1"/>
  <c r="JK16" i="2" s="1"/>
  <c r="JL16" i="2" s="1"/>
  <c r="JM16" i="2" s="1"/>
  <c r="JN16" i="2" s="1"/>
  <c r="JO16" i="2" s="1"/>
  <c r="JP16" i="2" s="1"/>
  <c r="AG24" i="2" s="1"/>
  <c r="AC25" i="2"/>
  <c r="AG26" i="2" l="1"/>
  <c r="AG27" i="2" s="1"/>
  <c r="AG29"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<sst xmlns="http://schemas.openxmlformats.org/spreadsheetml/2006/main" count="72" uniqueCount="68">
  <si>
    <t>Company</t>
  </si>
  <si>
    <t>Source</t>
  </si>
  <si>
    <t>Price</t>
  </si>
  <si>
    <t>Shares</t>
  </si>
  <si>
    <t>2Q22</t>
  </si>
  <si>
    <t>Market Cap</t>
  </si>
  <si>
    <t>Cash</t>
  </si>
  <si>
    <t>Debt</t>
  </si>
  <si>
    <t>EV</t>
  </si>
  <si>
    <t>3Q22</t>
  </si>
  <si>
    <t>R&amp;D</t>
  </si>
  <si>
    <t>G&amp;A</t>
  </si>
  <si>
    <t>Opex</t>
  </si>
  <si>
    <t>Pretax Income</t>
  </si>
  <si>
    <t>Taxes</t>
  </si>
  <si>
    <t>Net Income</t>
  </si>
  <si>
    <t>Shares Outstanding</t>
  </si>
  <si>
    <t>EPS</t>
  </si>
  <si>
    <t>Cost of Revenue</t>
  </si>
  <si>
    <t>Gross Profit</t>
  </si>
  <si>
    <t>Operating Income</t>
  </si>
  <si>
    <t>1Q21</t>
  </si>
  <si>
    <t>2Q21</t>
  </si>
  <si>
    <t>3Q21</t>
  </si>
  <si>
    <t>4Q21</t>
  </si>
  <si>
    <t>1Q22</t>
  </si>
  <si>
    <t>4Q22</t>
  </si>
  <si>
    <t>Equity</t>
  </si>
  <si>
    <t>D+E</t>
  </si>
  <si>
    <t>Wdebt</t>
  </si>
  <si>
    <t>Wequity</t>
  </si>
  <si>
    <t>Tax rate</t>
  </si>
  <si>
    <t>Interest expense</t>
  </si>
  <si>
    <t>Cost of debt</t>
  </si>
  <si>
    <t>Risk-free rate</t>
  </si>
  <si>
    <t>Beta</t>
  </si>
  <si>
    <t>Market return</t>
  </si>
  <si>
    <t>Cost of equity</t>
  </si>
  <si>
    <t>WACC</t>
  </si>
  <si>
    <t>Revenue Y/Y</t>
  </si>
  <si>
    <t>GP Y/Y</t>
  </si>
  <si>
    <t>Opex Y/Y</t>
  </si>
  <si>
    <t>OI Y/Y</t>
  </si>
  <si>
    <t>Net Income Y/Y</t>
  </si>
  <si>
    <t>Shares Y/Y</t>
  </si>
  <si>
    <t>Gross Margin</t>
  </si>
  <si>
    <t>Operating Margin</t>
  </si>
  <si>
    <t>Tax Rate</t>
  </si>
  <si>
    <t>1Q23</t>
  </si>
  <si>
    <t>2Q23</t>
  </si>
  <si>
    <t>3Q23</t>
  </si>
  <si>
    <t>4Q23</t>
  </si>
  <si>
    <t>Interest Expense</t>
  </si>
  <si>
    <t>Maturity</t>
  </si>
  <si>
    <t>Discount</t>
  </si>
  <si>
    <t>NPV</t>
  </si>
  <si>
    <t>Net Cash</t>
  </si>
  <si>
    <t>Total Value</t>
  </si>
  <si>
    <t>Model Price</t>
  </si>
  <si>
    <t>Current Price</t>
  </si>
  <si>
    <t>Difference</t>
  </si>
  <si>
    <t>Net Sales</t>
  </si>
  <si>
    <t>Other Revenue</t>
  </si>
  <si>
    <t>Total Revenue</t>
  </si>
  <si>
    <t>Other (Income)/Expense</t>
  </si>
  <si>
    <t>koyfin 6/10/23</t>
  </si>
  <si>
    <t>Cost of Revenue Y/Y</t>
  </si>
  <si>
    <t>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</si>
</sst>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5" x14ac:knownFonts="1">
    <font>
      <sz val="11"/>
      <color theme="1"/>
      <name val="Calibri"/>
      <family val="2"/>
      <scheme val="minor"/>
    </font>
    <font>
      <sz val="11"/>
      <color theme="1"/>
      <name val="Arial"/>
      <family val="2"/>
    </font>
    <font>
      <b/>
      <sz val="11"/>
      <color theme="1"/>
      <name val="Arial"/>
      <family val="2"/>
    </font>
    <font>
      <sz val="11"/>
      <color theme="1"/>
      <name val="Calibri"/>
      <family val="2"/>
      <scheme val="minor"/>
    </font>
    <font>
      <sz val="8"/>
      <name val="Calibri"/>
      <family val="2"/>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9" fontId="3" fillId="0" borderId="0" applyFont="0" applyFill="0" applyBorder="0" applyAlignment="0" applyProtection="0"/>
  </cellStyleXfs>
  <cellXfs count="29">
    <xf numFmtId="0" fontId="0" fillId="0" borderId="0" xfId="0"/>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164" fontId="1" fillId="0" borderId="0" xfId="0" applyNumberFormat="1" applyFont="1" applyAlignment="1">
      <alignment horizontal="right"/>
    </xf>
    <xf numFmtId="0" fontId="1" fillId="0" borderId="1" xfId="0" applyFont="1" applyBorder="1" applyAlignment="1">
      <alignment horizontal="right"/>
    </xf>
    <xf numFmtId="3" fontId="1" fillId="0" borderId="0" xfId="0" applyNumberFormat="1" applyFont="1" applyAlignment="1">
      <alignment horizontal="right"/>
    </xf>
    <xf numFmtId="0" fontId="1" fillId="0" borderId="4" xfId="0" applyFont="1" applyBorder="1" applyAlignment="1">
      <alignment horizontal="right"/>
    </xf>
    <xf numFmtId="0" fontId="1" fillId="0" borderId="5" xfId="0" applyFont="1" applyBorder="1"/>
    <xf numFmtId="3" fontId="1" fillId="0" borderId="6" xfId="0" applyNumberFormat="1" applyFont="1" applyBorder="1" applyAlignment="1">
      <alignment horizontal="right"/>
    </xf>
    <xf numFmtId="0" fontId="1" fillId="0" borderId="5" xfId="0" applyFont="1" applyBorder="1" applyAlignment="1">
      <alignment horizontal="right"/>
    </xf>
    <xf numFmtId="38" fontId="1" fillId="0" borderId="0" xfId="0" applyNumberFormat="1" applyFont="1"/>
    <xf numFmtId="4" fontId="1" fillId="0" borderId="0" xfId="0" applyNumberFormat="1" applyFont="1" applyAlignment="1">
      <alignment horizontal="right"/>
    </xf>
    <xf numFmtId="38" fontId="2" fillId="0" borderId="0" xfId="0" applyNumberFormat="1" applyFont="1"/>
    <xf numFmtId="3" fontId="2" fillId="0" borderId="0" xfId="0" applyNumberFormat="1" applyFont="1" applyAlignment="1">
      <alignment horizontal="right"/>
    </xf>
    <xf numFmtId="1" fontId="1" fillId="0" borderId="0" xfId="0" applyNumberFormat="1" applyFont="1" applyAlignment="1">
      <alignment horizontal="right"/>
    </xf>
    <xf numFmtId="0" fontId="1" fillId="0" borderId="0" xfId="0" applyFont="1"/>
    <xf numFmtId="3" fontId="1" fillId="0" borderId="0" xfId="0" applyNumberFormat="1" applyFont="1"/>
    <xf numFmtId="0" fontId="2" fillId="0" borderId="0" xfId="0" applyFont="1"/>
    <xf numFmtId="10" fontId="2" fillId="0" borderId="0" xfId="0" applyNumberFormat="1" applyFont="1"/>
    <xf numFmtId="10" fontId="1" fillId="0" borderId="0" xfId="0" applyNumberFormat="1" applyFont="1"/>
    <xf numFmtId="10" fontId="2" fillId="0" borderId="0" xfId="1" applyNumberFormat="1" applyFont="1"/>
    <xf numFmtId="9" fontId="1" fillId="0" borderId="0" xfId="0" applyNumberFormat="1" applyFont="1"/>
    <xf numFmtId="9" fontId="1" fillId="0" borderId="0" xfId="0" applyNumberFormat="1" applyFont="1" applyAlignment="1">
      <alignment horizontal="right"/>
    </xf>
    <xf numFmtId="3" fontId="2" fillId="0" borderId="0" xfId="0" applyNumberFormat="1" applyFont="1"/>
    <xf numFmtId="9" fontId="1" fillId="0" borderId="0" xfId="1" applyFont="1"/>
    <xf numFmtId="4" fontId="1" fillId="0" borderId="0" xfId="0" applyNumberFormat="1" applyFont="1"/>
    <xf numFmtId="9" fontId="2" fillId="0" borderId="0" xfId="0" applyNumberFormat="1" applyFont="1"/>
  </cellXfs>
  <cellStyles count="2">
    <cellStyle name="Normal" xfId="0" builtinId="0"/>
    <cellStyle name="Percent" xfId="1" builtinId="5"/>
  </cellStyles>
  <dxfs count="2">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ichStyles" Target="richData/richStyles.xml"/><Relationship Id="rId5" Type="http://schemas.openxmlformats.org/officeDocument/2006/relationships/theme" Target="theme/theme1.xml"/><Relationship Id="rId15" Type="http://schemas.openxmlformats.org/officeDocument/2006/relationships/calcChain" Target="calcChain.xml"/><Relationship Id="rId10" Type="http://schemas.microsoft.com/office/2017/06/relationships/rdRichValueStructure" Target="richData/rdrichvaluestructure.xml"/><Relationship Id="rId4" Type="http://schemas.openxmlformats.org/officeDocument/2006/relationships/externalLink" Target="externalLinks/externalLink1.xml"/><Relationship Id="rId9" Type="http://schemas.microsoft.com/office/2017/06/relationships/rdRichValue" Target="richData/rdrichvalue.xml"/><Relationship Id="rId14" Type="http://schemas.microsoft.com/office/2017/06/relationships/rdRichValueTypes" Target="richData/rdRichValueTypes.xml"/></Relationships>
</file>

<file path=xl/drawings/drawing1.xml><?xml version="1.0" encoding="utf-8"?>
<xdr:wsDr xmlns:xdr="http://schemas.openxmlformats.org/drawingml/2006/spreadsheetDrawing" xmlns:a="http://schemas.openxmlformats.org/drawingml/2006/main">
  <xdr:twoCellAnchor>
    <xdr:from>
      <xdr:col>11</xdr:col>
      <xdr:colOff>44450</xdr:colOff>
      <xdr:row>0</xdr:row>
      <xdr:rowOff>149225</xdr:rowOff>
    </xdr:from>
    <xdr:to>
      <xdr:col>11</xdr:col>
      <xdr:colOff>44450</xdr:colOff>
      <xdr:row>32</xdr:row>
      <xdr:rowOff>133350</xdr:rowOff>
    </xdr:to>
    <xdr:cxnSp macro="">
      <xdr:nvCxnSpPr>
        <xdr:cNvPr id="3" name="Straight Connector 2">
          <a:extLst>
            <a:ext uri="{FF2B5EF4-FFF2-40B4-BE49-F238E27FC236}">
              <a16:creationId xmlns:a16="http://schemas.microsoft.com/office/drawing/2014/main" id="{5ED4063F-4B9B-79BA-EFB1-BB1C3EA11BD3}"/>
            </a:ext>
          </a:extLst>
        </xdr:cNvPr>
        <xdr:cNvCxnSpPr/>
      </xdr:nvCxnSpPr>
      <xdr:spPr>
        <a:xfrm>
          <a:off x="14998700" y="149225"/>
          <a:ext cx="0" cy="54133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22225</xdr:colOff>
      <xdr:row>0</xdr:row>
      <xdr:rowOff>133350</xdr:rowOff>
    </xdr:from>
    <xdr:to>
      <xdr:col>24</xdr:col>
      <xdr:colOff>44353</xdr:colOff>
      <xdr:row>33</xdr:row>
      <xdr:rowOff>133350</xdr:rowOff>
    </xdr:to>
    <xdr:cxnSp macro="">
      <xdr:nvCxnSpPr>
        <xdr:cNvPr id="4" name="Straight Connector 3">
          <a:extLst>
            <a:ext uri="{FF2B5EF4-FFF2-40B4-BE49-F238E27FC236}">
              <a16:creationId xmlns:a16="http://schemas.microsoft.com/office/drawing/2014/main" id="{38F742D3-C10B-4D1F-8546-24AD1FA9FB34}"/>
            </a:ext>
          </a:extLst>
        </xdr:cNvPr>
        <xdr:cNvCxnSpPr/>
      </xdr:nvCxnSpPr>
      <xdr:spPr>
        <a:xfrm>
          <a:off x="26596975" y="133350"/>
          <a:ext cx="22128" cy="5689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wlshe\Documents\Models%20Backup\00%20Dashboard.xlsx" TargetMode="External"/><Relationship Id="rId1" Type="http://schemas.openxmlformats.org/officeDocument/2006/relationships/externalLinkPath" Target="/Users/wlshe/Documents/Models%20Backup/00%20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Bond Yields"/>
      <sheetName val="Companies"/>
    </sheetNames>
    <sheetDataSet>
      <sheetData sheetId="0">
        <row r="7">
          <cell r="C7">
            <v>4.0300000000000002E-2</v>
          </cell>
        </row>
      </sheetData>
      <sheetData sheetId="1"/>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https://www.bing.com/financeapi/forcetrigger?t=a1y7rw&amp;q=XNAS%3aVTRS&amp;form=skydnc</v>
    <v>Learn more on Bing</v>
  </rv>
  <rv s="1">
    <v>en-US</v>
    <v>a1y7rw</v>
    <v>268435456</v>
    <v>1</v>
    <v>Powered by Refinitiv</v>
    <v>0</v>
    <v>VIATRIS INC. (XNAS:VTRS)</v>
    <v>2</v>
    <v>3</v>
    <v>Finance</v>
    <v>4</v>
    <v>12.3993</v>
    <v>8.42</v>
    <v>1.1828000000000001</v>
    <v>0.08</v>
    <v>8.1969999999999994E-3</v>
    <v>USD</v>
    <v>Viatris Inc. (Viatris) is a global healthcare company. The Company's segments include Developed Markets, Greater China, JANZ, and Emerging Markets. Its Developed Markets segment comprises its operations primarily in North America and Europe. The Greater China segment includes its operations in mainland China, Taiwan and Hong Kong. The JANZ segment consists of its operations in Japan, Australia and New Zealand. The Emerging Markets segment encompasses its presence in more than 125 countries with developing markets and emerging economies, as well as the Company’s ARV franchise. Its portfolio comprises over 1,400 approved molecules across a range of key therapeutic areas, including key brands and complex generics. It operates around 40 manufacturing sites worldwide, which produce oral solid doses, injectables, complex dosage forms and active pharmaceutical ingredients. Its products include Lyrica, Lipitor, Creon, Influvac, Wixela Inhub, EpiPen Auto Injector, Fraxiparine and Yupelri.</v>
    <v>37000</v>
    <v>Nasdaq Stock Market</v>
    <v>XNAS</v>
    <v>XNAS</v>
    <v>1000 Mylan Boulevard, CANONSBURG, PA, 15317 US</v>
    <v>9.8598999999999997</v>
    <v>Pharmaceuticals</v>
    <v>Stock</v>
    <v>45092.686540971874</v>
    <v>0</v>
    <v>9.75</v>
    <v>11798455200</v>
    <v>VIATRIS INC.</v>
    <v>VIATRIS INC.</v>
    <v>9.76</v>
    <v>6.2439</v>
    <v>9.76</v>
    <v>9.84</v>
    <v>1199030000</v>
    <v>VTRS</v>
    <v>VIATRIS INC. (XNAS:VTRS)</v>
    <v>3172887</v>
    <v>9614070</v>
    <v>2019</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0" formatCode="General"/>
    </x:dxf>
    <x:dxf>
      <x:numFmt numFmtId="4" formatCode="#,##0.00"/>
    </x:dxf>
    <x:dxf>
      <x:numFmt numFmtId="3" formatCode="#,##0"/>
    </x:dxf>
    <x:dxf>
      <x:numFmt numFmtId="14" formatCode="0.00%"/>
    </x:dxf>
    <x:dxf>
      <x:numFmt numFmtId="27" formatCode="m/d/yyyy\ h:mm"/>
    </x:dxf>
    <x:dxf>
      <x:numFmt numFmtId="1" formatCode="0"/>
    </x:dxf>
    <x:dxf>
      <x:numFmt numFmtId="2" formatCode="0.00"/>
    </x:dxf>
  </dxfs>
  <richProperties>
    <rPr n="NumberFormat" t="s"/>
    <rPr n="IsTitleField" t="b"/>
  </richProperties>
  <richStyles>
    <rSty dxfid="0">
      <rpv i="0">_([$$-en-US]* #,##0.00_);_([$$-en-US]* (#,##0.00);_([$$-en-US]* "-"??_);_(@_)</rpv>
    </rSty>
    <rSty dxfid="1">
      <rpv i="0">#,##0.00</rpv>
    </rSty>
    <rSty>
      <rpv i="1">1</rpv>
    </rSty>
    <rSty dxfid="2">
      <rpv i="0">#,##0</rpv>
    </rSty>
    <rSty dxfid="3"/>
    <rSty dxfid="0">
      <rpv i="0">_([$$-en-US]* #,##0_);_([$$-en-US]* (#,##0);_([$$-en-US]* "-"_);_(@_)</rpv>
    </rSty>
    <rSty dxfid="4"/>
    <rSty dxfid="5">
      <rpv i="0">0</rpv>
    </rSty>
    <rSty dxfid="6">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24738-4970-4D8A-8D89-44099B77F3EC}">
  <dimension ref="B4:D10"/>
  <sheetViews>
    <sheetView tabSelected="1" workbookViewId="0">
      <selection activeCell="C7" sqref="C7"/>
    </sheetView>
  </sheetViews>
  <sheetFormatPr defaultRowHeight="14.4" x14ac:dyDescent="0.3"/>
  <cols>
    <col min="2" max="2" width="11" bestFit="1" customWidth="1"/>
    <col min="3" max="3" width="41.44140625" bestFit="1" customWidth="1"/>
    <col min="4" max="4" width="7.109375" bestFit="1" customWidth="1"/>
  </cols>
  <sheetData>
    <row r="4" spans="2:4" x14ac:dyDescent="0.3">
      <c r="B4" s="1" t="s">
        <v>0</v>
      </c>
      <c r="C4" s="2" t="e" vm="1">
        <v>#VALUE!</v>
      </c>
      <c r="D4" s="3" t="s">
        <v>1</v>
      </c>
    </row>
    <row r="5" spans="2:4" x14ac:dyDescent="0.3">
      <c r="B5" s="4" t="s">
        <v>2</v>
      </c>
      <c r="C5" s="5" cm="1">
        <f t="array" ref="C5">_FV(C4,"Price")</f>
        <v>9.84</v>
      </c>
      <c r="D5" s="6"/>
    </row>
    <row r="6" spans="2:4" x14ac:dyDescent="0.3">
      <c r="B6" s="4" t="s">
        <v>3</v>
      </c>
      <c r="C6" s="7">
        <v>1205.5999999999999</v>
      </c>
      <c r="D6" s="8" t="s">
        <v>48</v>
      </c>
    </row>
    <row r="7" spans="2:4" x14ac:dyDescent="0.3">
      <c r="B7" s="4" t="s">
        <v>5</v>
      </c>
      <c r="C7" s="7">
        <f>C5*C6</f>
        <v>11863.103999999999</v>
      </c>
      <c r="D7" s="8"/>
    </row>
    <row r="8" spans="2:4" x14ac:dyDescent="0.3">
      <c r="B8" s="4" t="s">
        <v>6</v>
      </c>
      <c r="C8" s="7">
        <f>506.6</f>
        <v>506.6</v>
      </c>
      <c r="D8" s="8" t="s">
        <v>48</v>
      </c>
    </row>
    <row r="9" spans="2:4" x14ac:dyDescent="0.3">
      <c r="B9" s="4" t="s">
        <v>7</v>
      </c>
      <c r="C9" s="7">
        <f>508.7+18069.4</f>
        <v>18578.100000000002</v>
      </c>
      <c r="D9" s="8" t="s">
        <v>48</v>
      </c>
    </row>
    <row r="10" spans="2:4" x14ac:dyDescent="0.3">
      <c r="B10" s="9" t="s">
        <v>8</v>
      </c>
      <c r="C10" s="10">
        <f>C7-C8+C9</f>
        <v>29934.603999999999</v>
      </c>
      <c r="D10" s="1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66471-B9AD-43C0-8A5A-94D417171582}">
  <dimension ref="A1:JP29"/>
  <sheetViews>
    <sheetView workbookViewId="0">
      <pane xSplit="2" ySplit="2" topLeftCell="K7" activePane="bottomRight" state="frozen"/>
      <selection pane="topRight" activeCell="C1" sqref="C1"/>
      <selection pane="bottomLeft" activeCell="A3" sqref="A3"/>
      <selection pane="bottomRight" activeCell="Y22" sqref="Y22"/>
    </sheetView>
  </sheetViews>
  <sheetFormatPr defaultColWidth="8.77734375" defaultRowHeight="13.8" x14ac:dyDescent="0.25"/>
  <cols>
    <col min="1" max="1" width="8.77734375" style="12"/>
    <col min="2" max="2" width="23.21875" style="12" bestFit="1" customWidth="1"/>
    <col min="3" max="3" width="9.109375" style="13" bestFit="1" customWidth="1"/>
    <col min="4" max="10" width="8.77734375" style="13"/>
    <col min="11" max="11" width="9.21875" style="13" bestFit="1" customWidth="1"/>
    <col min="12" max="13" width="8.77734375" style="13"/>
    <col min="14" max="31" width="8.77734375" style="7"/>
    <col min="32" max="32" width="12.88671875" style="7" bestFit="1" customWidth="1"/>
    <col min="33" max="16384" width="8.77734375" style="7"/>
  </cols>
  <sheetData>
    <row r="1" spans="1:276" s="13" customFormat="1" x14ac:dyDescent="0.25">
      <c r="A1" s="12"/>
      <c r="B1" s="12"/>
    </row>
    <row r="2" spans="1:276" s="13" customFormat="1" x14ac:dyDescent="0.25">
      <c r="A2" s="12"/>
      <c r="B2" s="12"/>
      <c r="C2" s="13" t="s">
        <v>21</v>
      </c>
      <c r="D2" s="13" t="s">
        <v>22</v>
      </c>
      <c r="E2" s="13" t="s">
        <v>23</v>
      </c>
      <c r="F2" s="13" t="s">
        <v>24</v>
      </c>
      <c r="G2" s="13" t="s">
        <v>25</v>
      </c>
      <c r="H2" s="13" t="s">
        <v>4</v>
      </c>
      <c r="I2" s="13" t="s">
        <v>9</v>
      </c>
      <c r="J2" s="13" t="s">
        <v>26</v>
      </c>
      <c r="K2" s="13" t="s">
        <v>48</v>
      </c>
      <c r="L2" s="13" t="s">
        <v>49</v>
      </c>
      <c r="M2" s="13" t="s">
        <v>50</v>
      </c>
      <c r="N2" s="13" t="s">
        <v>51</v>
      </c>
      <c r="V2" s="7"/>
      <c r="W2" s="16">
        <v>2021</v>
      </c>
      <c r="X2" s="16">
        <v>2022</v>
      </c>
      <c r="Y2" s="16">
        <v>2023</v>
      </c>
      <c r="Z2" s="16">
        <v>2024</v>
      </c>
      <c r="AA2" s="16">
        <v>2025</v>
      </c>
      <c r="AB2" s="16">
        <v>2026</v>
      </c>
      <c r="AC2" s="16">
        <v>2027</v>
      </c>
    </row>
    <row r="3" spans="1:276" x14ac:dyDescent="0.25">
      <c r="A3" s="18"/>
      <c r="B3" s="18" t="s">
        <v>61</v>
      </c>
      <c r="C3" s="7">
        <v>4400.1000000000004</v>
      </c>
      <c r="D3" s="7">
        <v>4561.7</v>
      </c>
      <c r="E3" s="7">
        <v>4520.5</v>
      </c>
      <c r="F3" s="7">
        <v>4331.3</v>
      </c>
      <c r="G3" s="7">
        <v>4178.2</v>
      </c>
      <c r="H3" s="7">
        <v>4105.3999999999996</v>
      </c>
      <c r="I3" s="7">
        <v>4067.4</v>
      </c>
      <c r="J3" s="7">
        <v>3867.1</v>
      </c>
      <c r="K3" s="7">
        <v>3719.1</v>
      </c>
      <c r="L3" s="7"/>
      <c r="M3" s="7"/>
      <c r="W3" s="7">
        <f>SUM(C3:F3)</f>
        <v>17813.599999999999</v>
      </c>
      <c r="X3" s="7">
        <f>SUM(G3:J3)</f>
        <v>16218.099999999999</v>
      </c>
    </row>
    <row r="4" spans="1:276" x14ac:dyDescent="0.25">
      <c r="A4" s="18"/>
      <c r="B4" s="18" t="s">
        <v>62</v>
      </c>
      <c r="C4" s="7">
        <v>30.2</v>
      </c>
      <c r="D4" s="7">
        <v>16.100000000000001</v>
      </c>
      <c r="E4" s="7">
        <v>16.100000000000001</v>
      </c>
      <c r="F4" s="7">
        <v>10.3</v>
      </c>
      <c r="G4" s="7">
        <v>13.5</v>
      </c>
      <c r="H4" s="7">
        <v>11.4</v>
      </c>
      <c r="I4" s="7">
        <v>10.8</v>
      </c>
      <c r="J4" s="7">
        <v>8.9</v>
      </c>
      <c r="K4" s="7">
        <v>10</v>
      </c>
      <c r="L4" s="7"/>
      <c r="M4" s="7"/>
      <c r="W4" s="7">
        <f>SUM(C4:F4)</f>
        <v>72.7</v>
      </c>
      <c r="X4" s="7">
        <f>SUM(G4:J4)</f>
        <v>44.6</v>
      </c>
    </row>
    <row r="5" spans="1:276" s="15" customFormat="1" x14ac:dyDescent="0.25">
      <c r="A5" s="14"/>
      <c r="B5" s="14" t="s">
        <v>63</v>
      </c>
      <c r="C5" s="15">
        <f t="shared" ref="C5:J5" si="0">C3+C4</f>
        <v>4430.3</v>
      </c>
      <c r="D5" s="15">
        <f t="shared" si="0"/>
        <v>4577.8</v>
      </c>
      <c r="E5" s="15">
        <f t="shared" si="0"/>
        <v>4536.6000000000004</v>
      </c>
      <c r="F5" s="15">
        <f t="shared" si="0"/>
        <v>4341.6000000000004</v>
      </c>
      <c r="G5" s="15">
        <f t="shared" si="0"/>
        <v>4191.7</v>
      </c>
      <c r="H5" s="15">
        <f t="shared" si="0"/>
        <v>4116.7999999999993</v>
      </c>
      <c r="I5" s="15">
        <f t="shared" si="0"/>
        <v>4078.2000000000003</v>
      </c>
      <c r="J5" s="15">
        <f t="shared" si="0"/>
        <v>3876</v>
      </c>
      <c r="K5" s="15">
        <f>K3+K4</f>
        <v>3729.1</v>
      </c>
      <c r="L5" s="15">
        <f>K5*1.03</f>
        <v>3840.973</v>
      </c>
      <c r="M5" s="15">
        <f>L5*1.03</f>
        <v>3956.20219</v>
      </c>
      <c r="N5" s="15">
        <f>M5*1.03</f>
        <v>4074.8882557000002</v>
      </c>
      <c r="W5" s="15">
        <f t="shared" ref="W5" si="1">W3+W4</f>
        <v>17886.3</v>
      </c>
      <c r="X5" s="15">
        <f>X3+X4</f>
        <v>16262.699999999999</v>
      </c>
      <c r="Y5" s="15">
        <f>SUM(K5:N5)</f>
        <v>15601.1634457</v>
      </c>
      <c r="Z5" s="15">
        <f>Y5*1.02</f>
        <v>15913.186714614001</v>
      </c>
      <c r="AA5" s="15">
        <f>Z5*1.03</f>
        <v>16390.582316052423</v>
      </c>
      <c r="AB5" s="15">
        <f>AA5*1.04</f>
        <v>17046.205608694519</v>
      </c>
      <c r="AC5" s="15">
        <f>AB5*1.05</f>
        <v>17898.515889129245</v>
      </c>
    </row>
    <row r="6" spans="1:276" x14ac:dyDescent="0.25">
      <c r="B6" s="12" t="s">
        <v>18</v>
      </c>
      <c r="C6" s="7">
        <v>3303</v>
      </c>
      <c r="D6" s="7">
        <v>3250.1</v>
      </c>
      <c r="E6" s="7">
        <v>2962.5</v>
      </c>
      <c r="F6" s="7">
        <v>2795.2</v>
      </c>
      <c r="G6" s="7">
        <v>2420.5</v>
      </c>
      <c r="H6" s="7">
        <v>2413.5</v>
      </c>
      <c r="I6" s="7">
        <v>2329.8000000000002</v>
      </c>
      <c r="J6" s="7">
        <v>2601.9</v>
      </c>
      <c r="K6" s="7">
        <v>2186.9</v>
      </c>
      <c r="L6" s="7">
        <f>I6*0.95</f>
        <v>2213.31</v>
      </c>
      <c r="M6" s="7">
        <f t="shared" ref="M6:N6" si="2">J6*0.95</f>
        <v>2471.8049999999998</v>
      </c>
      <c r="N6" s="7">
        <f t="shared" si="2"/>
        <v>2077.5549999999998</v>
      </c>
      <c r="W6" s="7">
        <f>SUM(C6:F6)</f>
        <v>12310.8</v>
      </c>
      <c r="X6" s="7">
        <f>SUM(G6:J6)</f>
        <v>9765.7000000000007</v>
      </c>
      <c r="Y6" s="7">
        <f>SUM(K6:N6)</f>
        <v>8949.57</v>
      </c>
      <c r="Z6" s="7">
        <f>Y6*1.01</f>
        <v>9039.0656999999992</v>
      </c>
      <c r="AA6" s="7">
        <f t="shared" ref="AA6:AC6" si="3">Z6*1.01</f>
        <v>9129.4563569999991</v>
      </c>
      <c r="AB6" s="7">
        <f t="shared" si="3"/>
        <v>9220.7509205699989</v>
      </c>
      <c r="AC6" s="7">
        <f t="shared" si="3"/>
        <v>9312.9584297756992</v>
      </c>
    </row>
    <row r="7" spans="1:276" s="15" customFormat="1" x14ac:dyDescent="0.25">
      <c r="A7" s="14"/>
      <c r="B7" s="14" t="s">
        <v>19</v>
      </c>
      <c r="C7" s="15">
        <f t="shared" ref="C7:M7" si="4">C5-C6</f>
        <v>1127.3000000000002</v>
      </c>
      <c r="D7" s="15">
        <f t="shared" si="4"/>
        <v>1327.7000000000003</v>
      </c>
      <c r="E7" s="15">
        <f t="shared" si="4"/>
        <v>1574.1000000000004</v>
      </c>
      <c r="F7" s="15">
        <f t="shared" si="4"/>
        <v>1546.4000000000005</v>
      </c>
      <c r="G7" s="15">
        <f t="shared" si="4"/>
        <v>1771.1999999999998</v>
      </c>
      <c r="H7" s="15">
        <f t="shared" si="4"/>
        <v>1703.2999999999993</v>
      </c>
      <c r="I7" s="15">
        <f t="shared" si="4"/>
        <v>1748.4</v>
      </c>
      <c r="J7" s="15">
        <f t="shared" si="4"/>
        <v>1274.0999999999999</v>
      </c>
      <c r="K7" s="15">
        <f t="shared" si="4"/>
        <v>1542.1999999999998</v>
      </c>
      <c r="L7" s="15">
        <f t="shared" si="4"/>
        <v>1627.663</v>
      </c>
      <c r="M7" s="15">
        <f t="shared" si="4"/>
        <v>1484.3971900000001</v>
      </c>
      <c r="N7" s="15">
        <f>N5-N6</f>
        <v>1997.3332557000003</v>
      </c>
      <c r="W7" s="15">
        <f t="shared" ref="W7:AC7" si="5">W5-W6</f>
        <v>5575.5</v>
      </c>
      <c r="X7" s="15">
        <f>X5-X6</f>
        <v>6496.9999999999982</v>
      </c>
      <c r="Y7" s="15">
        <f t="shared" si="5"/>
        <v>6651.5934457000003</v>
      </c>
      <c r="Z7" s="15">
        <f t="shared" si="5"/>
        <v>6874.121014614002</v>
      </c>
      <c r="AA7" s="15">
        <f t="shared" si="5"/>
        <v>7261.1259590524242</v>
      </c>
      <c r="AB7" s="15">
        <f t="shared" si="5"/>
        <v>7825.4546881245205</v>
      </c>
      <c r="AC7" s="15">
        <f t="shared" si="5"/>
        <v>8585.5574593535457</v>
      </c>
    </row>
    <row r="8" spans="1:276" x14ac:dyDescent="0.25">
      <c r="B8" s="12" t="s">
        <v>10</v>
      </c>
      <c r="C8" s="7">
        <v>184.1</v>
      </c>
      <c r="D8" s="7">
        <v>147.69999999999999</v>
      </c>
      <c r="E8" s="7">
        <v>152.1</v>
      </c>
      <c r="F8" s="7">
        <f>195.1+72.1</f>
        <v>267.2</v>
      </c>
      <c r="G8" s="7">
        <v>142.30000000000001</v>
      </c>
      <c r="H8" s="7">
        <v>162.6</v>
      </c>
      <c r="I8" s="7">
        <v>174.9</v>
      </c>
      <c r="J8" s="7">
        <f>182.4+36.4</f>
        <v>218.8</v>
      </c>
      <c r="K8" s="7">
        <v>182.9</v>
      </c>
      <c r="L8" s="7">
        <f>H8*1.1</f>
        <v>178.86</v>
      </c>
      <c r="M8" s="7">
        <f t="shared" ref="M8:M9" si="6">I8*1.1</f>
        <v>192.39000000000001</v>
      </c>
      <c r="N8" s="7">
        <f t="shared" ref="N8:N9" si="7">J8*1.1</f>
        <v>240.68000000000004</v>
      </c>
      <c r="W8" s="7">
        <f>SUM(C8:F8)</f>
        <v>751.09999999999991</v>
      </c>
      <c r="X8" s="7">
        <f>SUM(G8:J8)</f>
        <v>698.59999999999991</v>
      </c>
      <c r="Y8" s="7">
        <f>SUM(K8:N8)</f>
        <v>794.83</v>
      </c>
      <c r="Z8" s="7">
        <f t="shared" ref="Z8:AC8" si="8">Y8*1.01</f>
        <v>802.77830000000006</v>
      </c>
      <c r="AA8" s="7">
        <f t="shared" si="8"/>
        <v>810.80608300000006</v>
      </c>
      <c r="AB8" s="7">
        <f t="shared" si="8"/>
        <v>818.91414383000006</v>
      </c>
      <c r="AC8" s="7">
        <f t="shared" si="8"/>
        <v>827.10328526830006</v>
      </c>
    </row>
    <row r="9" spans="1:276" x14ac:dyDescent="0.25">
      <c r="B9" s="12" t="s">
        <v>11</v>
      </c>
      <c r="C9" s="7">
        <v>1186.5</v>
      </c>
      <c r="D9" s="7">
        <v>1204.8</v>
      </c>
      <c r="E9" s="7">
        <v>1055</v>
      </c>
      <c r="F9" s="7">
        <v>1082.9000000000001</v>
      </c>
      <c r="G9" s="7">
        <v>915.3</v>
      </c>
      <c r="H9" s="7">
        <v>981.1</v>
      </c>
      <c r="I9" s="7">
        <v>1017.3</v>
      </c>
      <c r="J9" s="7">
        <v>1265.4000000000001</v>
      </c>
      <c r="K9" s="7">
        <v>958.9</v>
      </c>
      <c r="L9" s="7">
        <f>H9*1.1</f>
        <v>1079.21</v>
      </c>
      <c r="M9" s="7">
        <f t="shared" si="6"/>
        <v>1119.03</v>
      </c>
      <c r="N9" s="7">
        <f t="shared" si="7"/>
        <v>1391.9400000000003</v>
      </c>
      <c r="W9" s="7">
        <f>SUM(C9:F9)</f>
        <v>4529.2000000000007</v>
      </c>
      <c r="X9" s="7">
        <f>SUM(G9:J9)</f>
        <v>4179.1000000000004</v>
      </c>
      <c r="Y9" s="7">
        <f>SUM(K9:N9)</f>
        <v>4549.0800000000008</v>
      </c>
      <c r="Z9" s="7">
        <f t="shared" ref="Z9:AC9" si="9">Y9*1.01</f>
        <v>4594.5708000000013</v>
      </c>
      <c r="AA9" s="7">
        <f t="shared" si="9"/>
        <v>4640.5165080000015</v>
      </c>
      <c r="AB9" s="7">
        <f t="shared" si="9"/>
        <v>4686.9216730800017</v>
      </c>
      <c r="AC9" s="7">
        <f t="shared" si="9"/>
        <v>4733.7908898108017</v>
      </c>
    </row>
    <row r="10" spans="1:276" s="15" customFormat="1" x14ac:dyDescent="0.25">
      <c r="A10" s="14"/>
      <c r="B10" s="14" t="s">
        <v>12</v>
      </c>
      <c r="C10" s="15">
        <f t="shared" ref="C10:M10" si="10">C8+C9</f>
        <v>1370.6</v>
      </c>
      <c r="D10" s="15">
        <f t="shared" si="10"/>
        <v>1352.5</v>
      </c>
      <c r="E10" s="15">
        <f t="shared" si="10"/>
        <v>1207.0999999999999</v>
      </c>
      <c r="F10" s="15">
        <f t="shared" si="10"/>
        <v>1350.1000000000001</v>
      </c>
      <c r="G10" s="15">
        <f t="shared" si="10"/>
        <v>1057.5999999999999</v>
      </c>
      <c r="H10" s="15">
        <f t="shared" si="10"/>
        <v>1143.7</v>
      </c>
      <c r="I10" s="15">
        <f t="shared" si="10"/>
        <v>1192.2</v>
      </c>
      <c r="J10" s="15">
        <f t="shared" si="10"/>
        <v>1484.2</v>
      </c>
      <c r="K10" s="15">
        <f t="shared" si="10"/>
        <v>1141.8</v>
      </c>
      <c r="L10" s="15">
        <f t="shared" si="10"/>
        <v>1258.0700000000002</v>
      </c>
      <c r="M10" s="15">
        <f t="shared" si="10"/>
        <v>1311.42</v>
      </c>
      <c r="N10" s="15">
        <f>N8+N9</f>
        <v>1632.6200000000003</v>
      </c>
      <c r="W10" s="15">
        <f t="shared" ref="W10:AC10" si="11">W8+W9</f>
        <v>5280.3000000000011</v>
      </c>
      <c r="X10" s="15">
        <f t="shared" si="11"/>
        <v>4877.7000000000007</v>
      </c>
      <c r="Y10" s="15">
        <f t="shared" si="11"/>
        <v>5343.9100000000008</v>
      </c>
      <c r="Z10" s="15">
        <f t="shared" si="11"/>
        <v>5397.3491000000013</v>
      </c>
      <c r="AA10" s="15">
        <f t="shared" si="11"/>
        <v>5451.3225910000019</v>
      </c>
      <c r="AB10" s="15">
        <f t="shared" si="11"/>
        <v>5505.835816910002</v>
      </c>
      <c r="AC10" s="15">
        <f t="shared" si="11"/>
        <v>5560.8941750791018</v>
      </c>
    </row>
    <row r="11" spans="1:276" s="15" customFormat="1" x14ac:dyDescent="0.25">
      <c r="A11" s="14"/>
      <c r="B11" s="14" t="s">
        <v>20</v>
      </c>
      <c r="C11" s="15">
        <f t="shared" ref="C11:M11" si="12">C7-C10</f>
        <v>-243.29999999999973</v>
      </c>
      <c r="D11" s="15">
        <f t="shared" si="12"/>
        <v>-24.799999999999727</v>
      </c>
      <c r="E11" s="15">
        <f t="shared" si="12"/>
        <v>367.00000000000045</v>
      </c>
      <c r="F11" s="15">
        <f t="shared" si="12"/>
        <v>196.30000000000041</v>
      </c>
      <c r="G11" s="15">
        <f t="shared" si="12"/>
        <v>713.59999999999991</v>
      </c>
      <c r="H11" s="15">
        <f t="shared" si="12"/>
        <v>559.59999999999923</v>
      </c>
      <c r="I11" s="15">
        <f t="shared" si="12"/>
        <v>556.20000000000005</v>
      </c>
      <c r="J11" s="15">
        <f t="shared" si="12"/>
        <v>-210.10000000000014</v>
      </c>
      <c r="K11" s="15">
        <f t="shared" si="12"/>
        <v>400.39999999999986</v>
      </c>
      <c r="L11" s="15">
        <f t="shared" si="12"/>
        <v>369.59299999999985</v>
      </c>
      <c r="M11" s="15">
        <f t="shared" si="12"/>
        <v>172.97719000000006</v>
      </c>
      <c r="N11" s="15">
        <f>N7-N10</f>
        <v>364.71325569999999</v>
      </c>
      <c r="W11" s="15">
        <f t="shared" ref="W11:AC11" si="13">W7-W10</f>
        <v>295.19999999999891</v>
      </c>
      <c r="X11" s="15">
        <f t="shared" si="13"/>
        <v>1619.2999999999975</v>
      </c>
      <c r="Y11" s="15">
        <f t="shared" si="13"/>
        <v>1307.6834456999995</v>
      </c>
      <c r="Z11" s="15">
        <f t="shared" si="13"/>
        <v>1476.7719146140007</v>
      </c>
      <c r="AA11" s="15">
        <f t="shared" si="13"/>
        <v>1809.8033680524222</v>
      </c>
      <c r="AB11" s="15">
        <f t="shared" si="13"/>
        <v>2319.6188712145185</v>
      </c>
      <c r="AC11" s="15">
        <f t="shared" si="13"/>
        <v>3024.6632842744439</v>
      </c>
    </row>
    <row r="12" spans="1:276" x14ac:dyDescent="0.25">
      <c r="B12" s="12" t="s">
        <v>52</v>
      </c>
      <c r="C12" s="7">
        <v>169</v>
      </c>
      <c r="D12" s="7">
        <v>167.1</v>
      </c>
      <c r="E12" s="7">
        <v>151.9</v>
      </c>
      <c r="F12" s="7">
        <v>148.19999999999999</v>
      </c>
      <c r="G12" s="7">
        <v>146.19999999999999</v>
      </c>
      <c r="H12" s="7">
        <v>145.9</v>
      </c>
      <c r="I12" s="7">
        <v>153.19999999999999</v>
      </c>
      <c r="J12" s="7">
        <v>147.1</v>
      </c>
      <c r="K12" s="7">
        <v>147</v>
      </c>
      <c r="L12" s="7">
        <f>H12*1.01</f>
        <v>147.35900000000001</v>
      </c>
      <c r="M12" s="7">
        <f t="shared" ref="M12" si="14">I12*1.01</f>
        <v>154.732</v>
      </c>
      <c r="N12" s="7">
        <f t="shared" ref="N12" si="15">J12*1.01</f>
        <v>148.571</v>
      </c>
      <c r="W12" s="7">
        <f>SUM(C12:F12)</f>
        <v>636.20000000000005</v>
      </c>
      <c r="X12" s="7">
        <f>SUM(G12:J12)</f>
        <v>592.4</v>
      </c>
      <c r="Y12" s="7">
        <f>SUM(K12:N12)</f>
        <v>597.66200000000003</v>
      </c>
      <c r="Z12" s="7">
        <f t="shared" ref="Z12:AC12" si="16">Y12*1.01</f>
        <v>603.63862000000006</v>
      </c>
      <c r="AA12" s="7">
        <f t="shared" si="16"/>
        <v>609.6750062000001</v>
      </c>
      <c r="AB12" s="7">
        <f t="shared" si="16"/>
        <v>615.77175626200005</v>
      </c>
      <c r="AC12" s="7">
        <f t="shared" si="16"/>
        <v>621.92947382462</v>
      </c>
    </row>
    <row r="13" spans="1:276" x14ac:dyDescent="0.25">
      <c r="B13" s="12" t="s">
        <v>64</v>
      </c>
      <c r="C13" s="7">
        <v>6.1</v>
      </c>
      <c r="D13" s="7">
        <v>4.2</v>
      </c>
      <c r="E13" s="7">
        <v>5.8</v>
      </c>
      <c r="F13" s="7">
        <v>-21.9</v>
      </c>
      <c r="G13" s="7">
        <v>33.700000000000003</v>
      </c>
      <c r="H13" s="7">
        <v>13.5</v>
      </c>
      <c r="I13" s="7">
        <v>-20.6</v>
      </c>
      <c r="J13" s="7">
        <v>-1817.3</v>
      </c>
      <c r="K13" s="7">
        <v>-69.900000000000006</v>
      </c>
      <c r="L13" s="7">
        <v>0</v>
      </c>
      <c r="M13" s="7">
        <v>0</v>
      </c>
      <c r="N13" s="7">
        <v>0</v>
      </c>
      <c r="W13" s="7">
        <f>SUM(C13:F13)</f>
        <v>-5.7999999999999972</v>
      </c>
      <c r="X13" s="7">
        <f>SUM(G13:J13)</f>
        <v>-1790.7</v>
      </c>
      <c r="Y13" s="7">
        <f>SUM(K13:N13)</f>
        <v>-69.900000000000006</v>
      </c>
      <c r="Z13" s="7">
        <f t="shared" ref="Z13:AC13" si="17">Y13*1.01</f>
        <v>-70.599000000000004</v>
      </c>
      <c r="AA13" s="7">
        <f t="shared" si="17"/>
        <v>-71.304990000000004</v>
      </c>
      <c r="AB13" s="7">
        <f t="shared" si="17"/>
        <v>-72.018039900000005</v>
      </c>
      <c r="AC13" s="7">
        <f t="shared" si="17"/>
        <v>-72.738220299000005</v>
      </c>
    </row>
    <row r="14" spans="1:276" x14ac:dyDescent="0.25">
      <c r="B14" s="12" t="s">
        <v>13</v>
      </c>
      <c r="C14" s="7">
        <f t="shared" ref="C14:J14" si="18">C11-C12-C13</f>
        <v>-418.39999999999975</v>
      </c>
      <c r="D14" s="7">
        <f t="shared" si="18"/>
        <v>-196.09999999999971</v>
      </c>
      <c r="E14" s="7">
        <f t="shared" si="18"/>
        <v>209.30000000000044</v>
      </c>
      <c r="F14" s="7">
        <f t="shared" si="18"/>
        <v>70.000000000000426</v>
      </c>
      <c r="G14" s="7">
        <f>G11-G12-G13</f>
        <v>533.69999999999982</v>
      </c>
      <c r="H14" s="7">
        <f t="shared" si="18"/>
        <v>400.19999999999925</v>
      </c>
      <c r="I14" s="7">
        <f t="shared" si="18"/>
        <v>423.60000000000008</v>
      </c>
      <c r="J14" s="7">
        <f t="shared" si="18"/>
        <v>1460.1</v>
      </c>
      <c r="K14" s="7">
        <f>K11-K12-K13</f>
        <v>323.29999999999984</v>
      </c>
      <c r="L14" s="7">
        <f t="shared" ref="L14:N14" si="19">L11-L12-L13</f>
        <v>222.23399999999984</v>
      </c>
      <c r="M14" s="7">
        <f t="shared" si="19"/>
        <v>18.245190000000065</v>
      </c>
      <c r="N14" s="7">
        <f t="shared" si="19"/>
        <v>216.14225569999999</v>
      </c>
      <c r="W14" s="7">
        <f t="shared" ref="W14" si="20">W11-W12-W13</f>
        <v>-335.20000000000113</v>
      </c>
      <c r="X14" s="7">
        <f>X11-X12-X13</f>
        <v>2817.5999999999976</v>
      </c>
      <c r="Y14" s="7">
        <f t="shared" ref="Y14:AC14" si="21">Y11-Y12-Y13</f>
        <v>779.92144569999948</v>
      </c>
      <c r="Z14" s="7">
        <f t="shared" si="21"/>
        <v>943.73229461400069</v>
      </c>
      <c r="AA14" s="7">
        <f t="shared" si="21"/>
        <v>1271.4333518524222</v>
      </c>
      <c r="AB14" s="7">
        <f t="shared" si="21"/>
        <v>1775.8651548525186</v>
      </c>
      <c r="AC14" s="7">
        <f t="shared" si="21"/>
        <v>2475.4720307488242</v>
      </c>
    </row>
    <row r="15" spans="1:276" x14ac:dyDescent="0.25">
      <c r="B15" s="12" t="s">
        <v>14</v>
      </c>
      <c r="C15" s="7">
        <v>596.29999999999995</v>
      </c>
      <c r="D15" s="7">
        <v>60.1</v>
      </c>
      <c r="E15" s="7">
        <v>-111.6</v>
      </c>
      <c r="F15" s="7">
        <v>59.9</v>
      </c>
      <c r="G15" s="7">
        <v>128.30000000000001</v>
      </c>
      <c r="H15" s="7">
        <v>75.400000000000006</v>
      </c>
      <c r="I15" s="7">
        <v>73.2</v>
      </c>
      <c r="J15" s="7">
        <v>457.7</v>
      </c>
      <c r="K15" s="7">
        <v>98</v>
      </c>
      <c r="L15" s="7">
        <f>0.21*L14</f>
        <v>46.669139999999963</v>
      </c>
      <c r="M15" s="7">
        <f t="shared" ref="M15:N15" si="22">0.21*M14</f>
        <v>3.8314899000000135</v>
      </c>
      <c r="N15" s="7">
        <f t="shared" si="22"/>
        <v>45.389873696999999</v>
      </c>
      <c r="W15" s="7">
        <f>SUM(C15:F15)</f>
        <v>604.69999999999993</v>
      </c>
      <c r="X15" s="7">
        <f>SUM(G15:J15)</f>
        <v>734.6</v>
      </c>
      <c r="Y15" s="7">
        <f>SUM(K15:N15)</f>
        <v>193.89050359699996</v>
      </c>
      <c r="Z15" s="7">
        <f>Z14*0.21</f>
        <v>198.18378186894014</v>
      </c>
      <c r="AA15" s="7">
        <f t="shared" ref="AA15:AC15" si="23">AA14*0.21</f>
        <v>267.00100388900864</v>
      </c>
      <c r="AB15" s="7">
        <f t="shared" si="23"/>
        <v>372.93168251902887</v>
      </c>
      <c r="AC15" s="7">
        <f t="shared" si="23"/>
        <v>519.84912645725308</v>
      </c>
    </row>
    <row r="16" spans="1:276" s="15" customFormat="1" x14ac:dyDescent="0.25">
      <c r="A16" s="14"/>
      <c r="B16" s="14" t="s">
        <v>15</v>
      </c>
      <c r="C16" s="15">
        <f t="shared" ref="C16:J16" si="24">C14-C15</f>
        <v>-1014.6999999999997</v>
      </c>
      <c r="D16" s="15">
        <f t="shared" si="24"/>
        <v>-256.1999999999997</v>
      </c>
      <c r="E16" s="15">
        <f t="shared" si="24"/>
        <v>320.90000000000043</v>
      </c>
      <c r="F16" s="15">
        <f t="shared" si="24"/>
        <v>10.100000000000428</v>
      </c>
      <c r="G16" s="15">
        <f t="shared" si="24"/>
        <v>405.39999999999981</v>
      </c>
      <c r="H16" s="15">
        <f t="shared" si="24"/>
        <v>324.79999999999927</v>
      </c>
      <c r="I16" s="15">
        <f t="shared" si="24"/>
        <v>350.40000000000009</v>
      </c>
      <c r="J16" s="15">
        <f t="shared" si="24"/>
        <v>1002.3999999999999</v>
      </c>
      <c r="K16" s="15">
        <f t="shared" ref="K16:M16" si="25">K14-K15</f>
        <v>225.29999999999984</v>
      </c>
      <c r="L16" s="15">
        <f t="shared" si="25"/>
        <v>175.56485999999987</v>
      </c>
      <c r="M16" s="15">
        <f t="shared" si="25"/>
        <v>14.413700100000051</v>
      </c>
      <c r="N16" s="15">
        <f>N14-N15</f>
        <v>170.75238200299998</v>
      </c>
      <c r="W16" s="15">
        <f t="shared" ref="W16:AC16" si="26">W14-W15</f>
        <v>-939.900000000001</v>
      </c>
      <c r="X16" s="15">
        <f t="shared" si="26"/>
        <v>2082.9999999999977</v>
      </c>
      <c r="Y16" s="15">
        <f t="shared" si="26"/>
        <v>586.03094210299946</v>
      </c>
      <c r="Z16" s="15">
        <f t="shared" si="26"/>
        <v>745.54851274506052</v>
      </c>
      <c r="AA16" s="15">
        <f t="shared" si="26"/>
        <v>1004.4323479634136</v>
      </c>
      <c r="AB16" s="15">
        <f t="shared" si="26"/>
        <v>1402.9334723334896</v>
      </c>
      <c r="AC16" s="15">
        <f t="shared" si="26"/>
        <v>1955.6229042915711</v>
      </c>
      <c r="AD16" s="15">
        <f>AC16*(1+$AG$22)</f>
        <v>1936.0666752486554</v>
      </c>
      <c r="AE16" s="15">
        <f t="shared" ref="AE16:CP16" si="27">AD16*(1+$AG$22)</f>
        <v>1916.7060084961688</v>
      </c>
      <c r="AF16" s="15">
        <f t="shared" si="27"/>
        <v>1897.538948411207</v>
      </c>
      <c r="AG16" s="15">
        <f t="shared" si="27"/>
        <v>1878.5635589270948</v>
      </c>
      <c r="AH16" s="15">
        <f t="shared" si="27"/>
        <v>1859.7779233378239</v>
      </c>
      <c r="AI16" s="15">
        <f t="shared" si="27"/>
        <v>1841.1801441044456</v>
      </c>
      <c r="AJ16" s="15">
        <f t="shared" si="27"/>
        <v>1822.7683426634012</v>
      </c>
      <c r="AK16" s="15">
        <f t="shared" si="27"/>
        <v>1804.5406592367672</v>
      </c>
      <c r="AL16" s="15">
        <f t="shared" si="27"/>
        <v>1786.4952526443994</v>
      </c>
      <c r="AM16" s="15">
        <f t="shared" si="27"/>
        <v>1768.6303001179554</v>
      </c>
      <c r="AN16" s="15">
        <f t="shared" si="27"/>
        <v>1750.9439971167758</v>
      </c>
      <c r="AO16" s="15">
        <f t="shared" si="27"/>
        <v>1733.4345571456081</v>
      </c>
      <c r="AP16" s="15">
        <f t="shared" si="27"/>
        <v>1716.1002115741519</v>
      </c>
      <c r="AQ16" s="15">
        <f t="shared" si="27"/>
        <v>1698.9392094584105</v>
      </c>
      <c r="AR16" s="15">
        <f t="shared" si="27"/>
        <v>1681.9498173638262</v>
      </c>
      <c r="AS16" s="15">
        <f t="shared" si="27"/>
        <v>1665.1303191901879</v>
      </c>
      <c r="AT16" s="15">
        <f t="shared" si="27"/>
        <v>1648.4790159982861</v>
      </c>
      <c r="AU16" s="15">
        <f t="shared" si="27"/>
        <v>1631.9942258383032</v>
      </c>
      <c r="AV16" s="15">
        <f t="shared" si="27"/>
        <v>1615.6742835799203</v>
      </c>
      <c r="AW16" s="15">
        <f t="shared" si="27"/>
        <v>1599.5175407441211</v>
      </c>
      <c r="AX16" s="15">
        <f t="shared" si="27"/>
        <v>1583.52236533668</v>
      </c>
      <c r="AY16" s="15">
        <f t="shared" si="27"/>
        <v>1567.6871416833133</v>
      </c>
      <c r="AZ16" s="15">
        <f t="shared" si="27"/>
        <v>1552.0102702664801</v>
      </c>
      <c r="BA16" s="15">
        <f t="shared" si="27"/>
        <v>1536.4901675638152</v>
      </c>
      <c r="BB16" s="15">
        <f t="shared" si="27"/>
        <v>1521.1252658881772</v>
      </c>
      <c r="BC16" s="15">
        <f t="shared" si="27"/>
        <v>1505.9140132292955</v>
      </c>
      <c r="BD16" s="15">
        <f t="shared" si="27"/>
        <v>1490.8548730970026</v>
      </c>
      <c r="BE16" s="15">
        <f t="shared" si="27"/>
        <v>1475.9463243660325</v>
      </c>
      <c r="BF16" s="15">
        <f t="shared" si="27"/>
        <v>1461.1868611223722</v>
      </c>
      <c r="BG16" s="15">
        <f t="shared" si="27"/>
        <v>1446.5749925111484</v>
      </c>
      <c r="BH16" s="15">
        <f t="shared" si="27"/>
        <v>1432.1092425860368</v>
      </c>
      <c r="BI16" s="15">
        <f t="shared" si="27"/>
        <v>1417.7881501601764</v>
      </c>
      <c r="BJ16" s="15">
        <f t="shared" si="27"/>
        <v>1403.6102686585746</v>
      </c>
      <c r="BK16" s="15">
        <f t="shared" si="27"/>
        <v>1389.5741659719888</v>
      </c>
      <c r="BL16" s="15">
        <f t="shared" si="27"/>
        <v>1375.6784243122688</v>
      </c>
      <c r="BM16" s="15">
        <f t="shared" si="27"/>
        <v>1361.9216400691462</v>
      </c>
      <c r="BN16" s="15">
        <f t="shared" si="27"/>
        <v>1348.3024236684546</v>
      </c>
      <c r="BO16" s="15">
        <f t="shared" si="27"/>
        <v>1334.8193994317701</v>
      </c>
      <c r="BP16" s="15">
        <f t="shared" si="27"/>
        <v>1321.4712054374525</v>
      </c>
      <c r="BQ16" s="15">
        <f t="shared" si="27"/>
        <v>1308.2564933830779</v>
      </c>
      <c r="BR16" s="15">
        <f t="shared" si="27"/>
        <v>1295.1739284492471</v>
      </c>
      <c r="BS16" s="15">
        <f t="shared" si="27"/>
        <v>1282.2221891647546</v>
      </c>
      <c r="BT16" s="15">
        <f t="shared" si="27"/>
        <v>1269.399967273107</v>
      </c>
      <c r="BU16" s="15">
        <f t="shared" si="27"/>
        <v>1256.705967600376</v>
      </c>
      <c r="BV16" s="15">
        <f t="shared" si="27"/>
        <v>1244.1389079243722</v>
      </c>
      <c r="BW16" s="15">
        <f t="shared" si="27"/>
        <v>1231.6975188451286</v>
      </c>
      <c r="BX16" s="15">
        <f t="shared" si="27"/>
        <v>1219.3805436566772</v>
      </c>
      <c r="BY16" s="15">
        <f t="shared" si="27"/>
        <v>1207.1867382201103</v>
      </c>
      <c r="BZ16" s="15">
        <f t="shared" si="27"/>
        <v>1195.1148708379092</v>
      </c>
      <c r="CA16" s="15">
        <f t="shared" si="27"/>
        <v>1183.16372212953</v>
      </c>
      <c r="CB16" s="15">
        <f t="shared" si="27"/>
        <v>1171.3320849082347</v>
      </c>
      <c r="CC16" s="15">
        <f t="shared" si="27"/>
        <v>1159.6187640591525</v>
      </c>
      <c r="CD16" s="15">
        <f t="shared" si="27"/>
        <v>1148.0225764185609</v>
      </c>
      <c r="CE16" s="15">
        <f t="shared" si="27"/>
        <v>1136.5423506543752</v>
      </c>
      <c r="CF16" s="15">
        <f t="shared" si="27"/>
        <v>1125.1769271478315</v>
      </c>
      <c r="CG16" s="15">
        <f t="shared" si="27"/>
        <v>1113.9251578763533</v>
      </c>
      <c r="CH16" s="15">
        <f t="shared" si="27"/>
        <v>1102.7859062975897</v>
      </c>
      <c r="CI16" s="15">
        <f t="shared" si="27"/>
        <v>1091.7580472346137</v>
      </c>
      <c r="CJ16" s="15">
        <f t="shared" si="27"/>
        <v>1080.8404667622676</v>
      </c>
      <c r="CK16" s="15">
        <f t="shared" si="27"/>
        <v>1070.032062094645</v>
      </c>
      <c r="CL16" s="15">
        <f t="shared" si="27"/>
        <v>1059.3317414736985</v>
      </c>
      <c r="CM16" s="15">
        <f t="shared" si="27"/>
        <v>1048.7384240589615</v>
      </c>
      <c r="CN16" s="15">
        <f t="shared" si="27"/>
        <v>1038.251039818372</v>
      </c>
      <c r="CO16" s="15">
        <f t="shared" si="27"/>
        <v>1027.8685294201882</v>
      </c>
      <c r="CP16" s="15">
        <f t="shared" si="27"/>
        <v>1017.5898441259864</v>
      </c>
      <c r="CQ16" s="15">
        <f t="shared" ref="CQ16:FB16" si="28">CP16*(1+$AG$22)</f>
        <v>1007.4139456847265</v>
      </c>
      <c r="CR16" s="15">
        <f t="shared" si="28"/>
        <v>997.33980622787919</v>
      </c>
      <c r="CS16" s="15">
        <f t="shared" si="28"/>
        <v>987.36640816560043</v>
      </c>
      <c r="CT16" s="15">
        <f t="shared" si="28"/>
        <v>977.49274408394444</v>
      </c>
      <c r="CU16" s="15">
        <f t="shared" si="28"/>
        <v>967.71781664310504</v>
      </c>
      <c r="CV16" s="15">
        <f t="shared" si="28"/>
        <v>958.04063847667396</v>
      </c>
      <c r="CW16" s="15">
        <f t="shared" si="28"/>
        <v>948.46023209190719</v>
      </c>
      <c r="CX16" s="15">
        <f t="shared" si="28"/>
        <v>938.97562977098812</v>
      </c>
      <c r="CY16" s="15">
        <f t="shared" si="28"/>
        <v>929.58587347327818</v>
      </c>
      <c r="CZ16" s="15">
        <f t="shared" si="28"/>
        <v>920.29001473854544</v>
      </c>
      <c r="DA16" s="15">
        <f t="shared" si="28"/>
        <v>911.08711459116</v>
      </c>
      <c r="DB16" s="15">
        <f t="shared" si="28"/>
        <v>901.97624344524843</v>
      </c>
      <c r="DC16" s="15">
        <f t="shared" si="28"/>
        <v>892.95648101079598</v>
      </c>
      <c r="DD16" s="15">
        <f t="shared" si="28"/>
        <v>884.02691620068799</v>
      </c>
      <c r="DE16" s="15">
        <f t="shared" si="28"/>
        <v>875.18664703868114</v>
      </c>
      <c r="DF16" s="15">
        <f t="shared" si="28"/>
        <v>866.43478056829429</v>
      </c>
      <c r="DG16" s="15">
        <f t="shared" si="28"/>
        <v>857.77043276261134</v>
      </c>
      <c r="DH16" s="15">
        <f t="shared" si="28"/>
        <v>849.19272843498527</v>
      </c>
      <c r="DI16" s="15">
        <f t="shared" si="28"/>
        <v>840.70080115063536</v>
      </c>
      <c r="DJ16" s="15">
        <f t="shared" si="28"/>
        <v>832.29379313912898</v>
      </c>
      <c r="DK16" s="15">
        <f t="shared" si="28"/>
        <v>823.97085520773771</v>
      </c>
      <c r="DL16" s="15">
        <f t="shared" si="28"/>
        <v>815.73114665566038</v>
      </c>
      <c r="DM16" s="15">
        <f t="shared" si="28"/>
        <v>807.57383518910376</v>
      </c>
      <c r="DN16" s="15">
        <f t="shared" si="28"/>
        <v>799.49809683721276</v>
      </c>
      <c r="DO16" s="15">
        <f t="shared" si="28"/>
        <v>791.50311586884061</v>
      </c>
      <c r="DP16" s="15">
        <f t="shared" si="28"/>
        <v>783.5880847101522</v>
      </c>
      <c r="DQ16" s="15">
        <f t="shared" si="28"/>
        <v>775.75220386305068</v>
      </c>
      <c r="DR16" s="15">
        <f t="shared" si="28"/>
        <v>767.99468182442013</v>
      </c>
      <c r="DS16" s="15">
        <f t="shared" si="28"/>
        <v>760.31473500617597</v>
      </c>
      <c r="DT16" s="15">
        <f t="shared" si="28"/>
        <v>752.71158765611415</v>
      </c>
      <c r="DU16" s="15">
        <f t="shared" si="28"/>
        <v>745.18447177955295</v>
      </c>
      <c r="DV16" s="15">
        <f t="shared" si="28"/>
        <v>737.7326270617574</v>
      </c>
      <c r="DW16" s="15">
        <f t="shared" si="28"/>
        <v>730.35530079113983</v>
      </c>
      <c r="DX16" s="15">
        <f t="shared" si="28"/>
        <v>723.05174778322839</v>
      </c>
      <c r="DY16" s="15">
        <f t="shared" si="28"/>
        <v>715.82123030539606</v>
      </c>
      <c r="DZ16" s="15">
        <f t="shared" si="28"/>
        <v>708.66301800234214</v>
      </c>
      <c r="EA16" s="15">
        <f t="shared" si="28"/>
        <v>701.57638782231868</v>
      </c>
      <c r="EB16" s="15">
        <f t="shared" si="28"/>
        <v>694.56062394409548</v>
      </c>
      <c r="EC16" s="15">
        <f t="shared" si="28"/>
        <v>687.61501770465452</v>
      </c>
      <c r="ED16" s="15">
        <f t="shared" si="28"/>
        <v>680.73886752760802</v>
      </c>
      <c r="EE16" s="15">
        <f t="shared" si="28"/>
        <v>673.93147885233191</v>
      </c>
      <c r="EF16" s="15">
        <f t="shared" si="28"/>
        <v>667.1921640638086</v>
      </c>
      <c r="EG16" s="15">
        <f t="shared" si="28"/>
        <v>660.52024242317054</v>
      </c>
      <c r="EH16" s="15">
        <f t="shared" si="28"/>
        <v>653.91503999893882</v>
      </c>
      <c r="EI16" s="15">
        <f t="shared" si="28"/>
        <v>647.37588959894947</v>
      </c>
      <c r="EJ16" s="15">
        <f t="shared" si="28"/>
        <v>640.90213070295999</v>
      </c>
      <c r="EK16" s="15">
        <f t="shared" si="28"/>
        <v>634.49310939593033</v>
      </c>
      <c r="EL16" s="15">
        <f t="shared" si="28"/>
        <v>628.14817830197103</v>
      </c>
      <c r="EM16" s="15">
        <f t="shared" si="28"/>
        <v>621.86669651895136</v>
      </c>
      <c r="EN16" s="15">
        <f t="shared" si="28"/>
        <v>615.64802955376183</v>
      </c>
      <c r="EO16" s="15">
        <f t="shared" si="28"/>
        <v>609.49154925822415</v>
      </c>
      <c r="EP16" s="15">
        <f t="shared" si="28"/>
        <v>603.39663376564192</v>
      </c>
      <c r="EQ16" s="15">
        <f t="shared" si="28"/>
        <v>597.36266742798546</v>
      </c>
      <c r="ER16" s="15">
        <f t="shared" si="28"/>
        <v>591.38904075370556</v>
      </c>
      <c r="ES16" s="15">
        <f t="shared" si="28"/>
        <v>585.47515034616845</v>
      </c>
      <c r="ET16" s="15">
        <f t="shared" si="28"/>
        <v>579.62039884270678</v>
      </c>
      <c r="EU16" s="15">
        <f t="shared" si="28"/>
        <v>573.82419485427965</v>
      </c>
      <c r="EV16" s="15">
        <f t="shared" si="28"/>
        <v>568.0859529057368</v>
      </c>
      <c r="EW16" s="15">
        <f t="shared" si="28"/>
        <v>562.40509337667947</v>
      </c>
      <c r="EX16" s="15">
        <f t="shared" si="28"/>
        <v>556.78104244291262</v>
      </c>
      <c r="EY16" s="15">
        <f t="shared" si="28"/>
        <v>551.2132320184835</v>
      </c>
      <c r="EZ16" s="15">
        <f t="shared" si="28"/>
        <v>545.70109969829866</v>
      </c>
      <c r="FA16" s="15">
        <f t="shared" si="28"/>
        <v>540.24408870131572</v>
      </c>
      <c r="FB16" s="15">
        <f t="shared" si="28"/>
        <v>534.84164781430252</v>
      </c>
      <c r="FC16" s="15">
        <f t="shared" ref="FC16:HN16" si="29">FB16*(1+$AG$22)</f>
        <v>529.49323133615951</v>
      </c>
      <c r="FD16" s="15">
        <f t="shared" si="29"/>
        <v>524.19829902279787</v>
      </c>
      <c r="FE16" s="15">
        <f t="shared" si="29"/>
        <v>518.95631603256993</v>
      </c>
      <c r="FF16" s="15">
        <f t="shared" si="29"/>
        <v>513.76675287224418</v>
      </c>
      <c r="FG16" s="15">
        <f t="shared" si="29"/>
        <v>508.62908534352175</v>
      </c>
      <c r="FH16" s="15">
        <f t="shared" si="29"/>
        <v>503.54279449008652</v>
      </c>
      <c r="FI16" s="15">
        <f t="shared" si="29"/>
        <v>498.50736654518568</v>
      </c>
      <c r="FJ16" s="15">
        <f t="shared" si="29"/>
        <v>493.52229287973381</v>
      </c>
      <c r="FK16" s="15">
        <f t="shared" si="29"/>
        <v>488.5870699509365</v>
      </c>
      <c r="FL16" s="15">
        <f t="shared" si="29"/>
        <v>483.70119925142711</v>
      </c>
      <c r="FM16" s="15">
        <f t="shared" si="29"/>
        <v>478.86418725891286</v>
      </c>
      <c r="FN16" s="15">
        <f t="shared" si="29"/>
        <v>474.07554538632371</v>
      </c>
      <c r="FO16" s="15">
        <f t="shared" si="29"/>
        <v>469.33478993246047</v>
      </c>
      <c r="FP16" s="15">
        <f t="shared" si="29"/>
        <v>464.64144203313583</v>
      </c>
      <c r="FQ16" s="15">
        <f t="shared" si="29"/>
        <v>459.99502761280445</v>
      </c>
      <c r="FR16" s="15">
        <f t="shared" si="29"/>
        <v>455.39507733667642</v>
      </c>
      <c r="FS16" s="15">
        <f t="shared" si="29"/>
        <v>450.84112656330967</v>
      </c>
      <c r="FT16" s="15">
        <f t="shared" si="29"/>
        <v>446.33271529767654</v>
      </c>
      <c r="FU16" s="15">
        <f t="shared" si="29"/>
        <v>441.86938814469977</v>
      </c>
      <c r="FV16" s="15">
        <f t="shared" si="29"/>
        <v>437.45069426325279</v>
      </c>
      <c r="FW16" s="15">
        <f t="shared" si="29"/>
        <v>433.07618732062025</v>
      </c>
      <c r="FX16" s="15">
        <f t="shared" si="29"/>
        <v>428.74542544741405</v>
      </c>
      <c r="FY16" s="15">
        <f t="shared" si="29"/>
        <v>424.45797119293991</v>
      </c>
      <c r="FZ16" s="15">
        <f t="shared" si="29"/>
        <v>420.21339148101049</v>
      </c>
      <c r="GA16" s="15">
        <f t="shared" si="29"/>
        <v>416.01125756620036</v>
      </c>
      <c r="GB16" s="15">
        <f t="shared" si="29"/>
        <v>411.85114499053833</v>
      </c>
      <c r="GC16" s="15">
        <f t="shared" si="29"/>
        <v>407.73263354063295</v>
      </c>
      <c r="GD16" s="15">
        <f t="shared" si="29"/>
        <v>403.65530720522662</v>
      </c>
      <c r="GE16" s="15">
        <f t="shared" si="29"/>
        <v>399.61875413317438</v>
      </c>
      <c r="GF16" s="15">
        <f t="shared" si="29"/>
        <v>395.62256659184266</v>
      </c>
      <c r="GG16" s="15">
        <f t="shared" si="29"/>
        <v>391.6663409259242</v>
      </c>
      <c r="GH16" s="15">
        <f t="shared" si="29"/>
        <v>387.74967751666497</v>
      </c>
      <c r="GI16" s="15">
        <f t="shared" si="29"/>
        <v>383.87218074149831</v>
      </c>
      <c r="GJ16" s="15">
        <f t="shared" si="29"/>
        <v>380.03345893408334</v>
      </c>
      <c r="GK16" s="15">
        <f t="shared" si="29"/>
        <v>376.23312434474252</v>
      </c>
      <c r="GL16" s="15">
        <f t="shared" si="29"/>
        <v>372.4707931012951</v>
      </c>
      <c r="GM16" s="15">
        <f t="shared" si="29"/>
        <v>368.74608517028213</v>
      </c>
      <c r="GN16" s="15">
        <f t="shared" si="29"/>
        <v>365.05862431857929</v>
      </c>
      <c r="GO16" s="15">
        <f t="shared" si="29"/>
        <v>361.40803807539351</v>
      </c>
      <c r="GP16" s="15">
        <f t="shared" si="29"/>
        <v>357.79395769463957</v>
      </c>
      <c r="GQ16" s="15">
        <f t="shared" si="29"/>
        <v>354.21601811769318</v>
      </c>
      <c r="GR16" s="15">
        <f t="shared" si="29"/>
        <v>350.67385793651624</v>
      </c>
      <c r="GS16" s="15">
        <f t="shared" si="29"/>
        <v>347.16711935715108</v>
      </c>
      <c r="GT16" s="15">
        <f t="shared" si="29"/>
        <v>343.69544816357956</v>
      </c>
      <c r="GU16" s="15">
        <f t="shared" si="29"/>
        <v>340.25849368194378</v>
      </c>
      <c r="GV16" s="15">
        <f t="shared" si="29"/>
        <v>336.85590874512434</v>
      </c>
      <c r="GW16" s="15">
        <f t="shared" si="29"/>
        <v>333.48734965767306</v>
      </c>
      <c r="GX16" s="15">
        <f t="shared" si="29"/>
        <v>330.15247616109633</v>
      </c>
      <c r="GY16" s="15">
        <f t="shared" si="29"/>
        <v>326.85095139948538</v>
      </c>
      <c r="GZ16" s="15">
        <f t="shared" si="29"/>
        <v>323.58244188549054</v>
      </c>
      <c r="HA16" s="15">
        <f t="shared" si="29"/>
        <v>320.34661746663562</v>
      </c>
      <c r="HB16" s="15">
        <f t="shared" si="29"/>
        <v>317.14315129196928</v>
      </c>
      <c r="HC16" s="15">
        <f t="shared" si="29"/>
        <v>313.97171977904958</v>
      </c>
      <c r="HD16" s="15">
        <f t="shared" si="29"/>
        <v>310.83200258125908</v>
      </c>
      <c r="HE16" s="15">
        <f t="shared" si="29"/>
        <v>307.72368255544649</v>
      </c>
      <c r="HF16" s="15">
        <f t="shared" si="29"/>
        <v>304.64644572989204</v>
      </c>
      <c r="HG16" s="15">
        <f t="shared" si="29"/>
        <v>301.59998127259314</v>
      </c>
      <c r="HH16" s="15">
        <f t="shared" si="29"/>
        <v>298.58398145986723</v>
      </c>
      <c r="HI16" s="15">
        <f t="shared" si="29"/>
        <v>295.59814164526858</v>
      </c>
      <c r="HJ16" s="15">
        <f t="shared" si="29"/>
        <v>292.6421602288159</v>
      </c>
      <c r="HK16" s="15">
        <f t="shared" si="29"/>
        <v>289.71573862652775</v>
      </c>
      <c r="HL16" s="15">
        <f t="shared" si="29"/>
        <v>286.81858124026246</v>
      </c>
      <c r="HM16" s="15">
        <f t="shared" si="29"/>
        <v>283.95039542785986</v>
      </c>
      <c r="HN16" s="15">
        <f t="shared" si="29"/>
        <v>281.11089147358126</v>
      </c>
      <c r="HO16" s="15">
        <f t="shared" ref="HO16:JP16" si="30">HN16*(1+$AG$22)</f>
        <v>278.29978255884544</v>
      </c>
      <c r="HP16" s="15">
        <f t="shared" si="30"/>
        <v>275.516784733257</v>
      </c>
      <c r="HQ16" s="15">
        <f t="shared" si="30"/>
        <v>272.76161688592441</v>
      </c>
      <c r="HR16" s="15">
        <f t="shared" si="30"/>
        <v>270.03400071706517</v>
      </c>
      <c r="HS16" s="15">
        <f t="shared" si="30"/>
        <v>267.3336607098945</v>
      </c>
      <c r="HT16" s="15">
        <f t="shared" si="30"/>
        <v>264.66032410279553</v>
      </c>
      <c r="HU16" s="15">
        <f t="shared" si="30"/>
        <v>262.01372086176758</v>
      </c>
      <c r="HV16" s="15">
        <f t="shared" si="30"/>
        <v>259.3935836531499</v>
      </c>
      <c r="HW16" s="15">
        <f t="shared" si="30"/>
        <v>256.7996478166184</v>
      </c>
      <c r="HX16" s="15">
        <f t="shared" si="30"/>
        <v>254.23165133845222</v>
      </c>
      <c r="HY16" s="15">
        <f t="shared" si="30"/>
        <v>251.6893348250677</v>
      </c>
      <c r="HZ16" s="15">
        <f t="shared" si="30"/>
        <v>249.17244147681703</v>
      </c>
      <c r="IA16" s="15">
        <f t="shared" si="30"/>
        <v>246.68071706204884</v>
      </c>
      <c r="IB16" s="15">
        <f t="shared" si="30"/>
        <v>244.21390989142836</v>
      </c>
      <c r="IC16" s="15">
        <f t="shared" si="30"/>
        <v>241.77177079251408</v>
      </c>
      <c r="ID16" s="15">
        <f t="shared" si="30"/>
        <v>239.35405308458894</v>
      </c>
      <c r="IE16" s="15">
        <f t="shared" si="30"/>
        <v>236.96051255374306</v>
      </c>
      <c r="IF16" s="15">
        <f t="shared" si="30"/>
        <v>234.59090742820564</v>
      </c>
      <c r="IG16" s="15">
        <f t="shared" si="30"/>
        <v>232.24499835392359</v>
      </c>
      <c r="IH16" s="15">
        <f t="shared" si="30"/>
        <v>229.92254837038436</v>
      </c>
      <c r="II16" s="15">
        <f t="shared" si="30"/>
        <v>227.62332288668051</v>
      </c>
      <c r="IJ16" s="15">
        <f t="shared" si="30"/>
        <v>225.34708965781371</v>
      </c>
      <c r="IK16" s="15">
        <f t="shared" si="30"/>
        <v>223.09361876123558</v>
      </c>
      <c r="IL16" s="15">
        <f t="shared" si="30"/>
        <v>220.8626825736232</v>
      </c>
      <c r="IM16" s="15">
        <f t="shared" si="30"/>
        <v>218.65405574788696</v>
      </c>
      <c r="IN16" s="15">
        <f t="shared" si="30"/>
        <v>216.46751519040808</v>
      </c>
      <c r="IO16" s="15">
        <f t="shared" si="30"/>
        <v>214.302840038504</v>
      </c>
      <c r="IP16" s="15">
        <f t="shared" si="30"/>
        <v>212.15981163811895</v>
      </c>
      <c r="IQ16" s="15">
        <f t="shared" si="30"/>
        <v>210.03821352173776</v>
      </c>
      <c r="IR16" s="15">
        <f t="shared" si="30"/>
        <v>207.93783138652037</v>
      </c>
      <c r="IS16" s="15">
        <f t="shared" si="30"/>
        <v>205.85845307265518</v>
      </c>
      <c r="IT16" s="15">
        <f t="shared" si="30"/>
        <v>203.79986854192862</v>
      </c>
      <c r="IU16" s="15">
        <f t="shared" si="30"/>
        <v>201.76186985650932</v>
      </c>
      <c r="IV16" s="15">
        <f t="shared" si="30"/>
        <v>199.74425115794423</v>
      </c>
      <c r="IW16" s="15">
        <f t="shared" si="30"/>
        <v>197.7468086463648</v>
      </c>
      <c r="IX16" s="15">
        <f t="shared" si="30"/>
        <v>195.76934055990114</v>
      </c>
      <c r="IY16" s="15">
        <f t="shared" si="30"/>
        <v>193.81164715430214</v>
      </c>
      <c r="IZ16" s="15">
        <f t="shared" si="30"/>
        <v>191.87353068275911</v>
      </c>
      <c r="JA16" s="15">
        <f t="shared" si="30"/>
        <v>189.95479537593152</v>
      </c>
      <c r="JB16" s="15">
        <f t="shared" si="30"/>
        <v>188.05524742217222</v>
      </c>
      <c r="JC16" s="15">
        <f t="shared" si="30"/>
        <v>186.17469494795048</v>
      </c>
      <c r="JD16" s="15">
        <f t="shared" si="30"/>
        <v>184.31294799847097</v>
      </c>
      <c r="JE16" s="15">
        <f t="shared" si="30"/>
        <v>182.46981851848625</v>
      </c>
      <c r="JF16" s="15">
        <f t="shared" si="30"/>
        <v>180.64512033330138</v>
      </c>
      <c r="JG16" s="15">
        <f t="shared" si="30"/>
        <v>178.83866912996837</v>
      </c>
      <c r="JH16" s="15">
        <f t="shared" si="30"/>
        <v>177.05028243866869</v>
      </c>
      <c r="JI16" s="15">
        <f t="shared" si="30"/>
        <v>175.27977961428201</v>
      </c>
      <c r="JJ16" s="15">
        <f t="shared" si="30"/>
        <v>173.52698181813918</v>
      </c>
      <c r="JK16" s="15">
        <f t="shared" si="30"/>
        <v>171.79171199995778</v>
      </c>
      <c r="JL16" s="15">
        <f t="shared" si="30"/>
        <v>170.0737948799582</v>
      </c>
      <c r="JM16" s="15">
        <f t="shared" si="30"/>
        <v>168.37305693115863</v>
      </c>
      <c r="JN16" s="15">
        <f t="shared" si="30"/>
        <v>166.68932636184704</v>
      </c>
      <c r="JO16" s="15">
        <f t="shared" si="30"/>
        <v>165.02243309822856</v>
      </c>
      <c r="JP16" s="15">
        <f t="shared" si="30"/>
        <v>163.37220876724626</v>
      </c>
    </row>
    <row r="17" spans="2:33" x14ac:dyDescent="0.25">
      <c r="B17" s="12" t="s">
        <v>16</v>
      </c>
      <c r="C17" s="7">
        <v>1207.5</v>
      </c>
      <c r="D17" s="7">
        <v>1208.8</v>
      </c>
      <c r="E17" s="7">
        <v>1212.5999999999999</v>
      </c>
      <c r="F17" s="7">
        <v>1209.4000000000001</v>
      </c>
      <c r="G17" s="7">
        <v>1213.0999999999999</v>
      </c>
      <c r="H17" s="7">
        <v>1217.0999999999999</v>
      </c>
      <c r="I17" s="7">
        <v>1218.0999999999999</v>
      </c>
      <c r="J17" s="7">
        <v>1221.4000000000001</v>
      </c>
      <c r="K17" s="7">
        <v>1205.5999999999999</v>
      </c>
      <c r="L17" s="7">
        <f>H17*0.98</f>
        <v>1192.7579999999998</v>
      </c>
      <c r="M17" s="7">
        <f>I17*0.97</f>
        <v>1181.5569999999998</v>
      </c>
      <c r="N17" s="7">
        <f>J17*0.96</f>
        <v>1172.5440000000001</v>
      </c>
      <c r="W17" s="7">
        <f>F17</f>
        <v>1209.4000000000001</v>
      </c>
      <c r="X17" s="7">
        <f>J17</f>
        <v>1221.4000000000001</v>
      </c>
      <c r="Y17" s="7">
        <f>N17</f>
        <v>1172.5440000000001</v>
      </c>
      <c r="Z17" s="7">
        <f>Y17*0.99</f>
        <v>1160.8185600000002</v>
      </c>
      <c r="AA17" s="7">
        <f t="shared" ref="AA17:AC17" si="31">Z17*0.99</f>
        <v>1149.2103744000001</v>
      </c>
      <c r="AB17" s="7">
        <f t="shared" si="31"/>
        <v>1137.7182706560002</v>
      </c>
      <c r="AC17" s="7">
        <f t="shared" si="31"/>
        <v>1126.3410879494402</v>
      </c>
    </row>
    <row r="18" spans="2:33" x14ac:dyDescent="0.25">
      <c r="B18" s="12" t="s">
        <v>17</v>
      </c>
      <c r="C18" s="13">
        <f t="shared" ref="C18:M18" si="32">C16/C17</f>
        <v>-0.8403312629399583</v>
      </c>
      <c r="D18" s="13">
        <f t="shared" si="32"/>
        <v>-0.21194573130377209</v>
      </c>
      <c r="E18" s="13">
        <f t="shared" si="32"/>
        <v>0.26463796800263933</v>
      </c>
      <c r="F18" s="13">
        <f t="shared" si="32"/>
        <v>8.3512485530018409E-3</v>
      </c>
      <c r="G18" s="13">
        <f t="shared" si="32"/>
        <v>0.33418514549501266</v>
      </c>
      <c r="H18" s="13">
        <f t="shared" si="32"/>
        <v>0.26686385670856899</v>
      </c>
      <c r="I18" s="13">
        <f t="shared" si="32"/>
        <v>0.28766111156719493</v>
      </c>
      <c r="J18" s="13">
        <f t="shared" si="32"/>
        <v>0.82069756017684603</v>
      </c>
      <c r="K18" s="13">
        <f t="shared" si="32"/>
        <v>0.18687790311877892</v>
      </c>
      <c r="L18" s="13">
        <f t="shared" si="32"/>
        <v>0.14719235586766125</v>
      </c>
      <c r="M18" s="13">
        <f t="shared" si="32"/>
        <v>1.219890373464848E-2</v>
      </c>
      <c r="N18" s="13">
        <f>N16/N17</f>
        <v>0.14562556458691525</v>
      </c>
      <c r="O18" s="13"/>
      <c r="P18" s="13"/>
      <c r="Q18" s="13"/>
      <c r="R18" s="13"/>
      <c r="W18" s="13">
        <f t="shared" ref="W18:AC18" si="33">W16/W17</f>
        <v>-0.77716222920456501</v>
      </c>
      <c r="X18" s="13">
        <f t="shared" si="33"/>
        <v>1.7054200098247891</v>
      </c>
      <c r="Y18" s="13">
        <f t="shared" si="33"/>
        <v>0.49979441462580459</v>
      </c>
      <c r="Z18" s="13">
        <f t="shared" si="33"/>
        <v>0.64226102031402776</v>
      </c>
      <c r="AA18" s="13">
        <f t="shared" si="33"/>
        <v>0.87401956189946961</v>
      </c>
      <c r="AB18" s="13">
        <f t="shared" si="33"/>
        <v>1.2331114903556644</v>
      </c>
      <c r="AC18" s="13">
        <f t="shared" si="33"/>
        <v>1.7362617107859215</v>
      </c>
    </row>
    <row r="20" spans="2:33" x14ac:dyDescent="0.25">
      <c r="B20" s="12" t="s">
        <v>39</v>
      </c>
      <c r="C20" s="24"/>
      <c r="D20" s="24"/>
      <c r="E20" s="24"/>
      <c r="F20" s="24"/>
      <c r="G20" s="24">
        <f>G5/C5-1</f>
        <v>-5.3856397986592364E-2</v>
      </c>
      <c r="H20" s="24">
        <f t="shared" ref="H20:N20" si="34">H5/D5-1</f>
        <v>-0.10070339464371547</v>
      </c>
      <c r="I20" s="24">
        <f t="shared" si="34"/>
        <v>-0.1010448353392408</v>
      </c>
      <c r="J20" s="24">
        <f>J5/F5-1</f>
        <v>-0.10724156992813716</v>
      </c>
      <c r="K20" s="24">
        <f>K5/G5-1</f>
        <v>-0.11036095140396496</v>
      </c>
      <c r="L20" s="24">
        <f t="shared" si="34"/>
        <v>-6.7000340069957143E-2</v>
      </c>
      <c r="M20" s="24">
        <f t="shared" si="34"/>
        <v>-2.9914621646805029E-2</v>
      </c>
      <c r="N20" s="24">
        <f t="shared" si="34"/>
        <v>5.1312759468524316E-2</v>
      </c>
      <c r="O20" s="24"/>
      <c r="P20" s="24"/>
      <c r="Q20" s="24"/>
      <c r="R20" s="24"/>
      <c r="W20" s="24"/>
      <c r="X20" s="24">
        <f t="shared" ref="X20:AC20" si="35">X5/W5-1</f>
        <v>-9.0773385216618374E-2</v>
      </c>
      <c r="Y20" s="24">
        <f t="shared" si="35"/>
        <v>-4.0678150264101265E-2</v>
      </c>
      <c r="Z20" s="24">
        <f t="shared" si="35"/>
        <v>2.0000000000000018E-2</v>
      </c>
      <c r="AA20" s="24">
        <f t="shared" si="35"/>
        <v>3.0000000000000027E-2</v>
      </c>
      <c r="AB20" s="24">
        <f t="shared" si="35"/>
        <v>4.0000000000000036E-2</v>
      </c>
      <c r="AC20" s="24">
        <f t="shared" si="35"/>
        <v>5.0000000000000044E-2</v>
      </c>
    </row>
    <row r="21" spans="2:33" x14ac:dyDescent="0.25">
      <c r="B21" s="12" t="s">
        <v>66</v>
      </c>
      <c r="C21" s="24"/>
      <c r="D21" s="24"/>
      <c r="E21" s="24"/>
      <c r="F21" s="24"/>
      <c r="G21" s="24">
        <f>G6/C6-1</f>
        <v>-0.26718135028761736</v>
      </c>
      <c r="H21" s="24">
        <f t="shared" ref="H21:N21" si="36">H6/D6-1</f>
        <v>-0.25740746438571116</v>
      </c>
      <c r="I21" s="24">
        <f t="shared" si="36"/>
        <v>-0.2135696202531645</v>
      </c>
      <c r="J21" s="24">
        <f t="shared" si="36"/>
        <v>-6.9154264453348491E-2</v>
      </c>
      <c r="K21" s="24">
        <f t="shared" si="36"/>
        <v>-9.650898574674649E-2</v>
      </c>
      <c r="L21" s="24">
        <f t="shared" si="36"/>
        <v>-8.2945929148539488E-2</v>
      </c>
      <c r="M21" s="24">
        <f t="shared" si="36"/>
        <v>6.0951583826937883E-2</v>
      </c>
      <c r="N21" s="24">
        <f t="shared" si="36"/>
        <v>-0.20152388639071461</v>
      </c>
      <c r="O21" s="24"/>
      <c r="P21" s="24"/>
      <c r="Q21" s="24"/>
      <c r="R21" s="24"/>
      <c r="W21" s="24"/>
      <c r="X21" s="24">
        <f>X6/W6-1</f>
        <v>-0.20673717386359935</v>
      </c>
      <c r="Y21" s="24">
        <f t="shared" ref="Y21:AC21" si="37">Y6/X6-1</f>
        <v>-8.3571070174181195E-2</v>
      </c>
      <c r="Z21" s="24">
        <f t="shared" si="37"/>
        <v>1.0000000000000009E-2</v>
      </c>
      <c r="AA21" s="24">
        <f t="shared" si="37"/>
        <v>1.0000000000000009E-2</v>
      </c>
      <c r="AB21" s="24">
        <f t="shared" si="37"/>
        <v>1.0000000000000009E-2</v>
      </c>
      <c r="AC21" s="24">
        <f t="shared" si="37"/>
        <v>1.0000000000000009E-2</v>
      </c>
    </row>
    <row r="22" spans="2:33" x14ac:dyDescent="0.25">
      <c r="B22" s="12" t="s">
        <v>40</v>
      </c>
      <c r="C22" s="24"/>
      <c r="D22" s="24"/>
      <c r="E22" s="24"/>
      <c r="F22" s="24"/>
      <c r="G22" s="24">
        <f>G7/C7-1</f>
        <v>0.57118779384369689</v>
      </c>
      <c r="H22" s="24">
        <f t="shared" ref="H22:N22" si="38">H7/D7-1</f>
        <v>0.28289523235670622</v>
      </c>
      <c r="I22" s="24">
        <f t="shared" si="38"/>
        <v>0.11072994091861998</v>
      </c>
      <c r="J22" s="24">
        <f t="shared" si="38"/>
        <v>-0.17608639420589789</v>
      </c>
      <c r="K22" s="24">
        <f t="shared" si="38"/>
        <v>-0.12929087624209579</v>
      </c>
      <c r="L22" s="24">
        <f t="shared" si="38"/>
        <v>-4.4406152762284545E-2</v>
      </c>
      <c r="M22" s="24">
        <f t="shared" si="38"/>
        <v>-0.15099680279112326</v>
      </c>
      <c r="N22" s="24">
        <f t="shared" si="38"/>
        <v>0.5676424579703323</v>
      </c>
      <c r="O22" s="24"/>
      <c r="P22" s="24"/>
      <c r="Q22" s="24"/>
      <c r="R22" s="24"/>
      <c r="W22" s="24"/>
      <c r="X22" s="24">
        <f>X7/W7-1</f>
        <v>0.16527665680208026</v>
      </c>
      <c r="Y22" s="24" t="s">
        <v>67</v>
      </c>
      <c r="Z22" s="24">
        <f>Z7/Y7-1</f>
        <v>3.3454776021805355E-2</v>
      </c>
      <c r="AA22" s="24">
        <f>AA7/Z7-1</f>
        <v>5.6298826223115883E-2</v>
      </c>
      <c r="AB22" s="24">
        <f>AB7/AA7-1</f>
        <v>7.77191763721643E-2</v>
      </c>
      <c r="AC22" s="24">
        <f>AC7/AB7-1</f>
        <v>9.7132090277452621E-2</v>
      </c>
      <c r="AF22" s="17" t="s">
        <v>53</v>
      </c>
      <c r="AG22" s="23">
        <v>-0.01</v>
      </c>
    </row>
    <row r="23" spans="2:33" x14ac:dyDescent="0.25">
      <c r="B23" s="12" t="s">
        <v>41</v>
      </c>
      <c r="C23" s="24"/>
      <c r="D23" s="24"/>
      <c r="E23" s="24"/>
      <c r="F23" s="24"/>
      <c r="G23" s="24">
        <f t="shared" ref="G23:N24" si="39">G10/C10-1</f>
        <v>-0.22836713847949808</v>
      </c>
      <c r="H23" s="24">
        <f t="shared" si="39"/>
        <v>-0.15438077634011083</v>
      </c>
      <c r="I23" s="24">
        <f t="shared" si="39"/>
        <v>-1.2343633501781026E-2</v>
      </c>
      <c r="J23" s="24">
        <f t="shared" si="39"/>
        <v>9.9325975853640447E-2</v>
      </c>
      <c r="K23" s="24">
        <f t="shared" si="39"/>
        <v>7.9614220877458397E-2</v>
      </c>
      <c r="L23" s="24">
        <f t="shared" si="39"/>
        <v>0.10000000000000009</v>
      </c>
      <c r="M23" s="24">
        <f t="shared" si="39"/>
        <v>0.10000000000000009</v>
      </c>
      <c r="N23" s="24">
        <f t="shared" si="39"/>
        <v>0.10000000000000009</v>
      </c>
      <c r="O23" s="24"/>
      <c r="P23" s="24"/>
      <c r="Q23" s="24"/>
      <c r="R23" s="24"/>
      <c r="W23" s="24"/>
      <c r="X23" s="24">
        <f t="shared" ref="X23:AC24" si="40">X10/W10-1</f>
        <v>-7.6245667859780708E-2</v>
      </c>
      <c r="Y23" s="24">
        <f t="shared" si="40"/>
        <v>9.5579883961703249E-2</v>
      </c>
      <c r="Z23" s="24">
        <f t="shared" si="40"/>
        <v>1.0000000000000009E-2</v>
      </c>
      <c r="AA23" s="24">
        <f t="shared" si="40"/>
        <v>1.0000000000000009E-2</v>
      </c>
      <c r="AB23" s="24">
        <f t="shared" si="40"/>
        <v>1.0000000000000009E-2</v>
      </c>
      <c r="AC23" s="24">
        <f t="shared" si="40"/>
        <v>1.0000000000000009E-2</v>
      </c>
      <c r="AF23" s="17" t="s">
        <v>54</v>
      </c>
      <c r="AG23" s="26">
        <f>WACC!C18</f>
        <v>6.3333746984027633E-2</v>
      </c>
    </row>
    <row r="24" spans="2:33" x14ac:dyDescent="0.25">
      <c r="B24" s="12" t="s">
        <v>42</v>
      </c>
      <c r="C24" s="24"/>
      <c r="D24" s="24"/>
      <c r="E24" s="24"/>
      <c r="F24" s="24"/>
      <c r="G24" s="24">
        <f t="shared" si="39"/>
        <v>-3.9330045211672862</v>
      </c>
      <c r="H24" s="24">
        <f t="shared" si="39"/>
        <v>-23.564516129032476</v>
      </c>
      <c r="I24" s="24">
        <f t="shared" si="39"/>
        <v>0.51553133514986205</v>
      </c>
      <c r="J24" s="24">
        <f t="shared" si="39"/>
        <v>-2.0703005603667837</v>
      </c>
      <c r="K24" s="24">
        <f t="shared" si="39"/>
        <v>-0.43890134529147995</v>
      </c>
      <c r="L24" s="24">
        <f t="shared" si="39"/>
        <v>-0.33954074338813378</v>
      </c>
      <c r="M24" s="24">
        <f t="shared" si="39"/>
        <v>-0.68900181589356335</v>
      </c>
      <c r="N24" s="24">
        <f t="shared" si="39"/>
        <v>-2.7359031684911934</v>
      </c>
      <c r="O24" s="24"/>
      <c r="P24" s="24"/>
      <c r="Q24" s="24"/>
      <c r="R24" s="24"/>
      <c r="W24" s="24"/>
      <c r="X24" s="24">
        <f t="shared" si="40"/>
        <v>4.4854336043360554</v>
      </c>
      <c r="Y24" s="24">
        <f t="shared" si="40"/>
        <v>-0.19243905039214382</v>
      </c>
      <c r="Z24" s="24">
        <f t="shared" si="40"/>
        <v>0.1293038230850192</v>
      </c>
      <c r="AA24" s="24">
        <f t="shared" si="40"/>
        <v>0.22551312775031307</v>
      </c>
      <c r="AB24" s="24">
        <f t="shared" si="40"/>
        <v>0.28169662636373727</v>
      </c>
      <c r="AC24" s="24">
        <f t="shared" si="40"/>
        <v>0.30394838643935262</v>
      </c>
      <c r="AF24" s="17" t="s">
        <v>55</v>
      </c>
      <c r="AG24" s="12">
        <f>NPV(AG23,X16:JP16)</f>
        <v>24532.06689707933</v>
      </c>
    </row>
    <row r="25" spans="2:33" x14ac:dyDescent="0.25">
      <c r="B25" s="12" t="s">
        <v>43</v>
      </c>
      <c r="C25" s="24"/>
      <c r="D25" s="24"/>
      <c r="E25" s="24"/>
      <c r="F25" s="24"/>
      <c r="G25" s="24">
        <f t="shared" ref="G25:N26" si="41">G16/C16-1</f>
        <v>-1.3995269537794421</v>
      </c>
      <c r="H25" s="24">
        <f t="shared" si="41"/>
        <v>-2.2677595628415288</v>
      </c>
      <c r="I25" s="24">
        <f t="shared" si="41"/>
        <v>9.1928949828605777E-2</v>
      </c>
      <c r="J25" s="24">
        <f t="shared" si="41"/>
        <v>98.247524752471037</v>
      </c>
      <c r="K25" s="24">
        <f t="shared" si="41"/>
        <v>-0.44425259003453388</v>
      </c>
      <c r="L25" s="24">
        <f t="shared" si="41"/>
        <v>-0.45946779556650164</v>
      </c>
      <c r="M25" s="24">
        <f t="shared" si="41"/>
        <v>-0.95886501113013689</v>
      </c>
      <c r="N25" s="24">
        <f t="shared" si="41"/>
        <v>-0.82965644253491622</v>
      </c>
      <c r="O25" s="24"/>
      <c r="P25" s="24"/>
      <c r="Q25" s="24"/>
      <c r="R25" s="24"/>
      <c r="W25" s="24"/>
      <c r="X25" s="24">
        <f t="shared" ref="X25:AC26" si="42">X16/W16-1</f>
        <v>-3.2161932120438297</v>
      </c>
      <c r="Y25" s="24">
        <f t="shared" si="42"/>
        <v>-0.71866013341190582</v>
      </c>
      <c r="Z25" s="24">
        <f t="shared" si="42"/>
        <v>0.27219991161153501</v>
      </c>
      <c r="AA25" s="24">
        <f t="shared" si="42"/>
        <v>0.3472394227776805</v>
      </c>
      <c r="AB25" s="24">
        <f t="shared" si="42"/>
        <v>0.39674262301296515</v>
      </c>
      <c r="AC25" s="24">
        <f t="shared" si="42"/>
        <v>0.3939527018617619</v>
      </c>
      <c r="AF25" s="17" t="s">
        <v>56</v>
      </c>
      <c r="AG25" s="18">
        <f>Main!C8-Main!C9</f>
        <v>-18071.500000000004</v>
      </c>
    </row>
    <row r="26" spans="2:33" x14ac:dyDescent="0.25">
      <c r="B26" s="12" t="s">
        <v>44</v>
      </c>
      <c r="C26" s="24"/>
      <c r="D26" s="24"/>
      <c r="E26" s="24"/>
      <c r="F26" s="24"/>
      <c r="G26" s="24">
        <f t="shared" si="41"/>
        <v>4.6376811594202039E-3</v>
      </c>
      <c r="H26" s="24">
        <f t="shared" si="41"/>
        <v>6.8663136995366081E-3</v>
      </c>
      <c r="I26" s="24">
        <f t="shared" si="41"/>
        <v>4.5357083951838018E-3</v>
      </c>
      <c r="J26" s="24">
        <f t="shared" si="41"/>
        <v>9.9222755085166536E-3</v>
      </c>
      <c r="K26" s="24">
        <f t="shared" si="41"/>
        <v>-6.1825076250927591E-3</v>
      </c>
      <c r="L26" s="24">
        <f t="shared" si="41"/>
        <v>-2.0000000000000129E-2</v>
      </c>
      <c r="M26" s="24">
        <f t="shared" si="41"/>
        <v>-3.0000000000000138E-2</v>
      </c>
      <c r="N26" s="24">
        <f t="shared" si="41"/>
        <v>-4.0000000000000036E-2</v>
      </c>
      <c r="O26" s="24"/>
      <c r="P26" s="24"/>
      <c r="Q26" s="24"/>
      <c r="R26" s="24"/>
      <c r="W26" s="24"/>
      <c r="X26" s="24">
        <f t="shared" si="42"/>
        <v>9.9222755085166536E-3</v>
      </c>
      <c r="Y26" s="24">
        <f t="shared" si="42"/>
        <v>-4.0000000000000036E-2</v>
      </c>
      <c r="Z26" s="24">
        <f t="shared" si="42"/>
        <v>-9.9999999999998979E-3</v>
      </c>
      <c r="AA26" s="24">
        <f t="shared" si="42"/>
        <v>-1.0000000000000009E-2</v>
      </c>
      <c r="AB26" s="24">
        <f t="shared" si="42"/>
        <v>-9.9999999999998979E-3</v>
      </c>
      <c r="AC26" s="24">
        <f t="shared" si="42"/>
        <v>-1.0000000000000009E-2</v>
      </c>
      <c r="AF26" s="18" t="s">
        <v>57</v>
      </c>
      <c r="AG26" s="18">
        <f>AG24+AG25</f>
        <v>6460.5668970793267</v>
      </c>
    </row>
    <row r="27" spans="2:33" x14ac:dyDescent="0.25">
      <c r="B27" s="12" t="s">
        <v>45</v>
      </c>
      <c r="C27" s="24">
        <f t="shared" ref="C27:N27" si="43">C7/C5</f>
        <v>0.254452294427014</v>
      </c>
      <c r="D27" s="24">
        <f t="shared" si="43"/>
        <v>0.29003014548473072</v>
      </c>
      <c r="E27" s="24">
        <f t="shared" si="43"/>
        <v>0.34697791297447433</v>
      </c>
      <c r="F27" s="24">
        <f t="shared" si="43"/>
        <v>0.35618205269946573</v>
      </c>
      <c r="G27" s="24">
        <f t="shared" si="43"/>
        <v>0.42254932366343007</v>
      </c>
      <c r="H27" s="24">
        <f t="shared" si="43"/>
        <v>0.41374368441507958</v>
      </c>
      <c r="I27" s="24">
        <f t="shared" si="43"/>
        <v>0.4287185523024864</v>
      </c>
      <c r="J27" s="24">
        <f t="shared" si="43"/>
        <v>0.32871517027863772</v>
      </c>
      <c r="K27" s="24">
        <f t="shared" si="43"/>
        <v>0.41355823120860258</v>
      </c>
      <c r="L27" s="24">
        <f t="shared" si="43"/>
        <v>0.42376319750229957</v>
      </c>
      <c r="M27" s="24">
        <f t="shared" si="43"/>
        <v>0.37520761546315207</v>
      </c>
      <c r="N27" s="24">
        <f t="shared" si="43"/>
        <v>0.49015657126452677</v>
      </c>
      <c r="O27" s="24"/>
      <c r="P27" s="24"/>
      <c r="Q27" s="24"/>
      <c r="R27" s="24"/>
      <c r="W27" s="24">
        <f t="shared" ref="W27:AC27" si="44">W7/W5</f>
        <v>0.31171902517569317</v>
      </c>
      <c r="X27" s="24">
        <f t="shared" si="44"/>
        <v>0.39950315753226701</v>
      </c>
      <c r="Y27" s="24">
        <f t="shared" si="44"/>
        <v>0.4263523979382009</v>
      </c>
      <c r="Z27" s="24">
        <f t="shared" si="44"/>
        <v>0.43197639403684607</v>
      </c>
      <c r="AA27" s="24">
        <f t="shared" si="44"/>
        <v>0.44300597861865498</v>
      </c>
      <c r="AB27" s="24">
        <f t="shared" si="44"/>
        <v>0.45907311385080912</v>
      </c>
      <c r="AC27" s="24">
        <f t="shared" si="44"/>
        <v>0.47967985237077831</v>
      </c>
      <c r="AF27" s="18" t="s">
        <v>58</v>
      </c>
      <c r="AG27" s="27">
        <f>AG26/Main!C6</f>
        <v>5.3587980234566421</v>
      </c>
    </row>
    <row r="28" spans="2:33" x14ac:dyDescent="0.25">
      <c r="B28" s="12" t="s">
        <v>46</v>
      </c>
      <c r="C28" s="24">
        <f t="shared" ref="C28:N28" si="45">C11/C5</f>
        <v>-5.4917274225221704E-2</v>
      </c>
      <c r="D28" s="24">
        <f t="shared" si="45"/>
        <v>-5.4174494298570765E-3</v>
      </c>
      <c r="E28" s="24">
        <f t="shared" si="45"/>
        <v>8.0897588502402779E-2</v>
      </c>
      <c r="F28" s="24">
        <f t="shared" si="45"/>
        <v>4.5213746084392943E-2</v>
      </c>
      <c r="G28" s="24">
        <f t="shared" si="45"/>
        <v>0.17024119092492304</v>
      </c>
      <c r="H28" s="24">
        <f t="shared" si="45"/>
        <v>0.13593082005441104</v>
      </c>
      <c r="I28" s="24">
        <f t="shared" si="45"/>
        <v>0.1363836986905988</v>
      </c>
      <c r="J28" s="24">
        <f t="shared" si="45"/>
        <v>-5.4205366357069178E-2</v>
      </c>
      <c r="K28" s="24">
        <f t="shared" si="45"/>
        <v>0.10737175189724059</v>
      </c>
      <c r="L28" s="24">
        <f t="shared" si="45"/>
        <v>9.6223795376848484E-2</v>
      </c>
      <c r="M28" s="24">
        <f t="shared" si="45"/>
        <v>4.3723040859041655E-2</v>
      </c>
      <c r="N28" s="24">
        <f t="shared" si="45"/>
        <v>8.9502639781553497E-2</v>
      </c>
      <c r="O28" s="24"/>
      <c r="P28" s="24"/>
      <c r="Q28" s="24"/>
      <c r="R28" s="24"/>
      <c r="W28" s="24">
        <f t="shared" ref="W28:AC28" si="46">W11/W5</f>
        <v>1.6504251857566904E-2</v>
      </c>
      <c r="X28" s="24">
        <f t="shared" si="46"/>
        <v>9.9571411881175798E-2</v>
      </c>
      <c r="Y28" s="24">
        <f t="shared" si="46"/>
        <v>8.3819610649641899E-2</v>
      </c>
      <c r="Z28" s="24">
        <f t="shared" si="46"/>
        <v>9.2801771329547436E-2</v>
      </c>
      <c r="AA28" s="24">
        <f t="shared" si="46"/>
        <v>0.11041727091538155</v>
      </c>
      <c r="AB28" s="24">
        <f t="shared" si="46"/>
        <v>0.13607831117743782</v>
      </c>
      <c r="AC28" s="24">
        <f t="shared" si="46"/>
        <v>0.16898961360877349</v>
      </c>
      <c r="AF28" s="18" t="s">
        <v>59</v>
      </c>
      <c r="AG28" s="27">
        <f>Main!C5</f>
        <v>9.84</v>
      </c>
    </row>
    <row r="29" spans="2:33" x14ac:dyDescent="0.25">
      <c r="B29" s="12" t="s">
        <v>47</v>
      </c>
      <c r="C29" s="24">
        <f t="shared" ref="C29:N29" si="47">C15/C14</f>
        <v>-1.4251912045889108</v>
      </c>
      <c r="D29" s="24">
        <f t="shared" si="47"/>
        <v>-0.30647628760836354</v>
      </c>
      <c r="E29" s="24">
        <f t="shared" si="47"/>
        <v>-0.53320592451027116</v>
      </c>
      <c r="F29" s="24">
        <f t="shared" si="47"/>
        <v>0.85571428571428043</v>
      </c>
      <c r="G29" s="24">
        <f t="shared" si="47"/>
        <v>0.24039722690650189</v>
      </c>
      <c r="H29" s="24">
        <f t="shared" si="47"/>
        <v>0.18840579710144964</v>
      </c>
      <c r="I29" s="24">
        <f t="shared" si="47"/>
        <v>0.17280453257790365</v>
      </c>
      <c r="J29" s="24">
        <f t="shared" si="47"/>
        <v>0.31347168002191633</v>
      </c>
      <c r="K29" s="24">
        <f t="shared" si="47"/>
        <v>0.30312403340550587</v>
      </c>
      <c r="L29" s="24">
        <f t="shared" si="47"/>
        <v>0.21</v>
      </c>
      <c r="M29" s="24">
        <f t="shared" si="47"/>
        <v>0.21</v>
      </c>
      <c r="N29" s="24">
        <f t="shared" si="47"/>
        <v>0.21</v>
      </c>
      <c r="O29" s="24"/>
      <c r="P29" s="24"/>
      <c r="Q29" s="24"/>
      <c r="R29" s="24"/>
      <c r="W29" s="24">
        <f t="shared" ref="W29:AC29" si="48">W15/W14</f>
        <v>-1.803997613365149</v>
      </c>
      <c r="X29" s="24">
        <f t="shared" si="48"/>
        <v>0.26071834185122111</v>
      </c>
      <c r="Y29" s="24">
        <f t="shared" si="48"/>
        <v>0.24860260564187753</v>
      </c>
      <c r="Z29" s="24">
        <f t="shared" si="48"/>
        <v>0.21</v>
      </c>
      <c r="AA29" s="24">
        <f t="shared" si="48"/>
        <v>0.21</v>
      </c>
      <c r="AB29" s="24">
        <f t="shared" si="48"/>
        <v>0.21</v>
      </c>
      <c r="AC29" s="24">
        <f t="shared" si="48"/>
        <v>0.21</v>
      </c>
      <c r="AF29" s="25" t="s">
        <v>60</v>
      </c>
      <c r="AG29" s="28">
        <f>AG27/AG28-1</f>
        <v>-0.45540670493326807</v>
      </c>
    </row>
  </sheetData>
  <phoneticPr fontId="4" type="noConversion"/>
  <conditionalFormatting sqref="AG29">
    <cfRule type="cellIs" dxfId="1" priority="1" operator="lessThan">
      <formula>0</formula>
    </cfRule>
    <cfRule type="cellIs" dxfId="0" priority="2" operator="greaterThan">
      <formula>0</formula>
    </cfRule>
  </conditionalFormatting>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86D2A-AAAE-4123-BB43-C858CF872FF3}">
  <dimension ref="B3:D18"/>
  <sheetViews>
    <sheetView topLeftCell="A3" workbookViewId="0">
      <selection activeCell="C20" sqref="C20"/>
    </sheetView>
  </sheetViews>
  <sheetFormatPr defaultRowHeight="14.4" x14ac:dyDescent="0.3"/>
  <cols>
    <col min="2" max="2" width="15.6640625" bestFit="1" customWidth="1"/>
  </cols>
  <sheetData>
    <row r="3" spans="2:4" x14ac:dyDescent="0.3">
      <c r="B3" s="17" t="s">
        <v>7</v>
      </c>
      <c r="C3" s="18">
        <f>Main!C9</f>
        <v>18578.100000000002</v>
      </c>
      <c r="D3" s="17"/>
    </row>
    <row r="4" spans="2:4" x14ac:dyDescent="0.3">
      <c r="B4" s="17" t="s">
        <v>27</v>
      </c>
      <c r="C4" s="18">
        <f>Main!C7</f>
        <v>11863.103999999999</v>
      </c>
      <c r="D4" s="17"/>
    </row>
    <row r="5" spans="2:4" x14ac:dyDescent="0.3">
      <c r="B5" s="17" t="s">
        <v>28</v>
      </c>
      <c r="C5" s="18">
        <f>C3+C4</f>
        <v>30441.204000000002</v>
      </c>
      <c r="D5" s="17"/>
    </row>
    <row r="6" spans="2:4" x14ac:dyDescent="0.3">
      <c r="B6" s="19" t="s">
        <v>29</v>
      </c>
      <c r="C6" s="20">
        <f>C3/C5</f>
        <v>0.61029452054524524</v>
      </c>
      <c r="D6" s="17"/>
    </row>
    <row r="7" spans="2:4" x14ac:dyDescent="0.3">
      <c r="B7" s="19" t="s">
        <v>30</v>
      </c>
      <c r="C7" s="20">
        <f>C4/C5</f>
        <v>0.38970547945475476</v>
      </c>
      <c r="D7" s="17"/>
    </row>
    <row r="8" spans="2:4" x14ac:dyDescent="0.3">
      <c r="B8" s="17"/>
      <c r="C8" s="17"/>
      <c r="D8" s="17"/>
    </row>
    <row r="9" spans="2:4" x14ac:dyDescent="0.3">
      <c r="B9" s="17" t="s">
        <v>31</v>
      </c>
      <c r="C9" s="21">
        <f>AVERAGE(Model!W29:X29)</f>
        <v>-0.77163963575696393</v>
      </c>
      <c r="D9" s="17"/>
    </row>
    <row r="10" spans="2:4" x14ac:dyDescent="0.3">
      <c r="B10" s="17" t="s">
        <v>32</v>
      </c>
      <c r="C10" s="18">
        <f>Model!X12</f>
        <v>592.4</v>
      </c>
      <c r="D10" s="17"/>
    </row>
    <row r="11" spans="2:4" x14ac:dyDescent="0.3">
      <c r="B11" s="19" t="s">
        <v>33</v>
      </c>
      <c r="C11" s="22">
        <f>C10/C3</f>
        <v>3.1887006744500242E-2</v>
      </c>
      <c r="D11" s="17"/>
    </row>
    <row r="12" spans="2:4" x14ac:dyDescent="0.3">
      <c r="B12" s="17"/>
      <c r="C12" s="17"/>
      <c r="D12" s="17"/>
    </row>
    <row r="13" spans="2:4" x14ac:dyDescent="0.3">
      <c r="B13" s="17" t="s">
        <v>34</v>
      </c>
      <c r="C13" s="21">
        <f>'[1]T-Bond Yields'!$C$7</f>
        <v>4.0300000000000002E-2</v>
      </c>
      <c r="D13" s="17"/>
    </row>
    <row r="14" spans="2:4" x14ac:dyDescent="0.3">
      <c r="B14" s="17" t="s">
        <v>35</v>
      </c>
      <c r="C14" s="17">
        <v>1.18</v>
      </c>
      <c r="D14" s="17" t="s">
        <v>65</v>
      </c>
    </row>
    <row r="15" spans="2:4" x14ac:dyDescent="0.3">
      <c r="B15" s="17" t="s">
        <v>36</v>
      </c>
      <c r="C15" s="23">
        <v>0.06</v>
      </c>
      <c r="D15" s="17"/>
    </row>
    <row r="16" spans="2:4" x14ac:dyDescent="0.3">
      <c r="B16" s="19" t="s">
        <v>37</v>
      </c>
      <c r="C16" s="20">
        <f>C13+C14*(C15-C13)</f>
        <v>6.3545999999999991E-2</v>
      </c>
      <c r="D16" s="17"/>
    </row>
    <row r="17" spans="2:4" x14ac:dyDescent="0.3">
      <c r="B17" s="17"/>
      <c r="C17" s="17"/>
      <c r="D17" s="17"/>
    </row>
    <row r="18" spans="2:4" x14ac:dyDescent="0.3">
      <c r="B18" s="19" t="s">
        <v>38</v>
      </c>
      <c r="C18" s="20">
        <f>(C6*C11)+(C7*C16)*(1-C9)</f>
        <v>6.3333746984027633E-2</v>
      </c>
      <c r="D18" s="1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Model</vt:lpstr>
      <vt:lpstr>WACC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Sheldon</dc:creator>
  <cp:lastModifiedBy>Bill Sheldon</cp:lastModifiedBy>
  <dcterms:created xsi:type="dcterms:W3CDTF">2023-02-26T20:58:42Z</dcterms:created>
  <dcterms:modified xsi:type="dcterms:W3CDTF">2023-06-15T16:28:51Z</dcterms:modified>
</cp:coreProperties>
</file>