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F4E92021-9474-4722-8EA9-1A247D2AEEC3}" xr6:coauthVersionLast="47" xr6:coauthVersionMax="47" xr10:uidLastSave="{00000000-0000-0000-0000-000000000000}"/>
  <bookViews>
    <workbookView xWindow="40380" yWindow="0" windowWidth="17325" windowHeight="15585" activeTab="1"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3" l="1"/>
  <c r="C3" i="3" l="1"/>
  <c r="C11" i="3"/>
  <c r="C9" i="3"/>
  <c r="N21" i="2"/>
  <c r="N29" i="2" s="1"/>
  <c r="N14" i="2"/>
  <c r="N13" i="2"/>
  <c r="N12" i="2"/>
  <c r="N15" i="2" s="1"/>
  <c r="N26" i="2" s="1"/>
  <c r="N17" i="2"/>
  <c r="N10" i="2"/>
  <c r="N9" i="2"/>
  <c r="N11" i="2" s="1"/>
  <c r="N7" i="2"/>
  <c r="N6" i="2"/>
  <c r="N4" i="2"/>
  <c r="U4" i="2" s="1"/>
  <c r="U7" i="2" s="1"/>
  <c r="N3" i="2"/>
  <c r="U3" i="2" s="1"/>
  <c r="U6" i="2" s="1"/>
  <c r="T32" i="2"/>
  <c r="T31" i="2"/>
  <c r="T30" i="2"/>
  <c r="T28" i="2"/>
  <c r="T27" i="2"/>
  <c r="T26" i="2"/>
  <c r="T25" i="2"/>
  <c r="T24" i="2"/>
  <c r="T7" i="2"/>
  <c r="T6" i="2"/>
  <c r="T4" i="2"/>
  <c r="S4" i="2"/>
  <c r="T3" i="2"/>
  <c r="S3" i="2"/>
  <c r="L7" i="2"/>
  <c r="M6" i="2"/>
  <c r="L24" i="2"/>
  <c r="K24" i="2"/>
  <c r="J24" i="2"/>
  <c r="I24" i="2"/>
  <c r="H24" i="2"/>
  <c r="G24" i="2"/>
  <c r="K7" i="2"/>
  <c r="J7" i="2"/>
  <c r="I7" i="2"/>
  <c r="H7" i="2"/>
  <c r="G7" i="2"/>
  <c r="L6" i="2"/>
  <c r="K6" i="2"/>
  <c r="J6" i="2"/>
  <c r="I6" i="2"/>
  <c r="H6" i="2"/>
  <c r="G6" i="2"/>
  <c r="M24" i="2"/>
  <c r="M7" i="2"/>
  <c r="C16" i="3"/>
  <c r="N24" i="2" l="1"/>
  <c r="N25" i="2"/>
  <c r="N30" i="2"/>
  <c r="N16" i="2"/>
  <c r="N18" i="2" s="1"/>
  <c r="N19" i="2" s="1"/>
  <c r="N31" i="2"/>
  <c r="N27" i="2" l="1"/>
  <c r="N20" i="2"/>
  <c r="N32" i="2"/>
  <c r="N28" i="2" l="1"/>
  <c r="N22" i="2"/>
  <c r="U19" i="2" l="1"/>
  <c r="U17" i="2"/>
  <c r="U14" i="2"/>
  <c r="U13" i="2"/>
  <c r="U12" i="2"/>
  <c r="U10" i="2"/>
  <c r="U9" i="2"/>
  <c r="U24" i="2" s="1"/>
  <c r="U21" i="2"/>
  <c r="U29" i="2" s="1"/>
  <c r="T19" i="2"/>
  <c r="T17" i="2"/>
  <c r="T14" i="2"/>
  <c r="T13" i="2"/>
  <c r="T12" i="2"/>
  <c r="T15" i="2" s="1"/>
  <c r="T10" i="2"/>
  <c r="T9" i="2"/>
  <c r="S9" i="2"/>
  <c r="S19" i="2"/>
  <c r="S17" i="2"/>
  <c r="S14" i="2"/>
  <c r="S13" i="2"/>
  <c r="S12" i="2"/>
  <c r="S10" i="2"/>
  <c r="AA15" i="2"/>
  <c r="Z15" i="2"/>
  <c r="Y15" i="2"/>
  <c r="X15" i="2"/>
  <c r="W15" i="2"/>
  <c r="V15" i="2"/>
  <c r="AA11" i="2"/>
  <c r="Z11" i="2"/>
  <c r="Y11" i="2"/>
  <c r="X11" i="2"/>
  <c r="W11" i="2"/>
  <c r="V11" i="2"/>
  <c r="H21" i="2"/>
  <c r="I21" i="2"/>
  <c r="J21" i="2"/>
  <c r="T21" i="2" s="1"/>
  <c r="K21" i="2"/>
  <c r="K29" i="2" s="1"/>
  <c r="L21" i="2"/>
  <c r="L15" i="2"/>
  <c r="K15" i="2"/>
  <c r="J15" i="2"/>
  <c r="I15" i="2"/>
  <c r="H15" i="2"/>
  <c r="G15" i="2"/>
  <c r="F15" i="2"/>
  <c r="E15" i="2"/>
  <c r="D15" i="2"/>
  <c r="C15" i="2"/>
  <c r="L11" i="2"/>
  <c r="K11" i="2"/>
  <c r="J11" i="2"/>
  <c r="I11" i="2"/>
  <c r="H11" i="2"/>
  <c r="G11" i="2"/>
  <c r="F11" i="2"/>
  <c r="E11" i="2"/>
  <c r="D11" i="2"/>
  <c r="C11" i="2"/>
  <c r="M21" i="2"/>
  <c r="M15" i="2"/>
  <c r="M11" i="2"/>
  <c r="C6" i="1"/>
  <c r="C8" i="1"/>
  <c r="C5" i="1" a="1"/>
  <c r="C5" i="1" s="1"/>
  <c r="M26" i="2" l="1"/>
  <c r="H26" i="2"/>
  <c r="H25" i="2"/>
  <c r="H30" i="2"/>
  <c r="K30" i="2"/>
  <c r="K25" i="2"/>
  <c r="I26" i="2"/>
  <c r="M30" i="2"/>
  <c r="M25" i="2"/>
  <c r="L30" i="2"/>
  <c r="L25" i="2"/>
  <c r="G26" i="2"/>
  <c r="K26" i="2"/>
  <c r="J26" i="2"/>
  <c r="M29" i="2"/>
  <c r="L26" i="2"/>
  <c r="G30" i="2"/>
  <c r="G25" i="2"/>
  <c r="I25" i="2"/>
  <c r="I30" i="2"/>
  <c r="J25" i="2"/>
  <c r="J30" i="2"/>
  <c r="L29" i="2"/>
  <c r="T11" i="2"/>
  <c r="I16" i="2"/>
  <c r="U15" i="2"/>
  <c r="U26" i="2" s="1"/>
  <c r="S15" i="2"/>
  <c r="L16" i="2"/>
  <c r="M16" i="2"/>
  <c r="U11" i="2"/>
  <c r="V16" i="2"/>
  <c r="V18" i="2" s="1"/>
  <c r="V20" i="2" s="1"/>
  <c r="V22" i="2" s="1"/>
  <c r="AA16" i="2"/>
  <c r="AA18" i="2" s="1"/>
  <c r="AA20" i="2" s="1"/>
  <c r="AA22" i="2" s="1"/>
  <c r="F16" i="2"/>
  <c r="F18" i="2" s="1"/>
  <c r="F20" i="2" s="1"/>
  <c r="T16" i="2"/>
  <c r="T18" i="2" s="1"/>
  <c r="T20" i="2" s="1"/>
  <c r="T22" i="2" s="1"/>
  <c r="W16" i="2"/>
  <c r="W18" i="2" s="1"/>
  <c r="W20" i="2" s="1"/>
  <c r="W22" i="2" s="1"/>
  <c r="X16" i="2"/>
  <c r="X18" i="2" s="1"/>
  <c r="X20" i="2" s="1"/>
  <c r="X22" i="2" s="1"/>
  <c r="Y16" i="2"/>
  <c r="Y18" i="2" s="1"/>
  <c r="Y20" i="2" s="1"/>
  <c r="Y22" i="2" s="1"/>
  <c r="Z16" i="2"/>
  <c r="Z18" i="2" s="1"/>
  <c r="Z20" i="2" s="1"/>
  <c r="Z22" i="2" s="1"/>
  <c r="S11" i="2"/>
  <c r="C16" i="2"/>
  <c r="C18" i="2" s="1"/>
  <c r="C20" i="2" s="1"/>
  <c r="D16" i="2"/>
  <c r="D18" i="2" s="1"/>
  <c r="D20" i="2" s="1"/>
  <c r="E16" i="2"/>
  <c r="E18" i="2" s="1"/>
  <c r="E20" i="2" s="1"/>
  <c r="J16" i="2"/>
  <c r="G16" i="2"/>
  <c r="K16" i="2"/>
  <c r="H16" i="2"/>
  <c r="C7" i="1"/>
  <c r="C10" i="1" l="1"/>
  <c r="C4" i="3"/>
  <c r="C5" i="3" s="1"/>
  <c r="U30" i="2"/>
  <c r="U25" i="2"/>
  <c r="M18" i="2"/>
  <c r="M31" i="2"/>
  <c r="M27" i="2"/>
  <c r="L18" i="2"/>
  <c r="L31" i="2"/>
  <c r="L27" i="2"/>
  <c r="H18" i="2"/>
  <c r="H31" i="2"/>
  <c r="H27" i="2"/>
  <c r="K18" i="2"/>
  <c r="K27" i="2"/>
  <c r="K31" i="2"/>
  <c r="I18" i="2"/>
  <c r="I31" i="2"/>
  <c r="I27" i="2"/>
  <c r="G18" i="2"/>
  <c r="G31" i="2"/>
  <c r="G27" i="2"/>
  <c r="J18" i="2"/>
  <c r="J31" i="2"/>
  <c r="J27" i="2"/>
  <c r="U16" i="2"/>
  <c r="S16" i="2"/>
  <c r="S18" i="2" s="1"/>
  <c r="S20" i="2" s="1"/>
  <c r="S22" i="2" s="1"/>
  <c r="C7" i="3" l="1"/>
  <c r="C6" i="3"/>
  <c r="C18" i="3" s="1"/>
  <c r="U18" i="2"/>
  <c r="U31" i="2"/>
  <c r="U27" i="2"/>
  <c r="G20" i="2"/>
  <c r="G32" i="2"/>
  <c r="I20" i="2"/>
  <c r="I32" i="2"/>
  <c r="L20" i="2"/>
  <c r="L32" i="2"/>
  <c r="J20" i="2"/>
  <c r="J32" i="2"/>
  <c r="K20" i="2"/>
  <c r="K32" i="2"/>
  <c r="H20" i="2"/>
  <c r="H32" i="2"/>
  <c r="M20" i="2"/>
  <c r="M32" i="2"/>
  <c r="U20" i="2" l="1"/>
  <c r="U32" i="2"/>
  <c r="J22" i="2"/>
  <c r="J28" i="2"/>
  <c r="M22" i="2"/>
  <c r="M28" i="2"/>
  <c r="H22" i="2"/>
  <c r="H28" i="2"/>
  <c r="K22" i="2"/>
  <c r="K28" i="2"/>
  <c r="L22" i="2"/>
  <c r="L28" i="2"/>
  <c r="I22" i="2"/>
  <c r="I28" i="2"/>
  <c r="G22" i="2"/>
  <c r="G28" i="2"/>
  <c r="U22" i="2" l="1"/>
  <c r="U2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<sst xmlns="http://schemas.openxmlformats.org/spreadsheetml/2006/main" count="64" uniqueCount="60">
  <si>
    <t>Company</t>
  </si>
  <si>
    <t>Source</t>
  </si>
  <si>
    <t>Price</t>
  </si>
  <si>
    <t>Shares</t>
  </si>
  <si>
    <t>2Q22</t>
  </si>
  <si>
    <t>Market Cap</t>
  </si>
  <si>
    <t>Cash</t>
  </si>
  <si>
    <t>Debt</t>
  </si>
  <si>
    <t>EV</t>
  </si>
  <si>
    <t>3Q22</t>
  </si>
  <si>
    <t>Revenue</t>
  </si>
  <si>
    <t>R&amp;D</t>
  </si>
  <si>
    <t>S&amp;M</t>
  </si>
  <si>
    <t>G&amp;A</t>
  </si>
  <si>
    <t>Opex</t>
  </si>
  <si>
    <t>Other Income/(Loss)</t>
  </si>
  <si>
    <t>Pretax Income</t>
  </si>
  <si>
    <t>Taxes</t>
  </si>
  <si>
    <t>Net Income</t>
  </si>
  <si>
    <t>Shares Outstanding</t>
  </si>
  <si>
    <t>EPS</t>
  </si>
  <si>
    <t>Cost of Revenue</t>
  </si>
  <si>
    <t>Gross Profit</t>
  </si>
  <si>
    <t>Operating Income</t>
  </si>
  <si>
    <t>2Q20</t>
  </si>
  <si>
    <t>3Q20</t>
  </si>
  <si>
    <t>4Q20</t>
  </si>
  <si>
    <t>1Q21</t>
  </si>
  <si>
    <t>2Q21</t>
  </si>
  <si>
    <t>3Q21</t>
  </si>
  <si>
    <t>4Q21</t>
  </si>
  <si>
    <t>1Q22</t>
  </si>
  <si>
    <t>1Q20</t>
  </si>
  <si>
    <t>4Q22</t>
  </si>
  <si>
    <t>DAUS</t>
  </si>
  <si>
    <t>Paid Subs</t>
  </si>
  <si>
    <t>Equity</t>
  </si>
  <si>
    <t>D+E</t>
  </si>
  <si>
    <t>Wdebt</t>
  </si>
  <si>
    <t>Wequity</t>
  </si>
  <si>
    <t>Tax rate</t>
  </si>
  <si>
    <t>Interest expense</t>
  </si>
  <si>
    <t>Cost of debt</t>
  </si>
  <si>
    <t>Risk-free rate</t>
  </si>
  <si>
    <t>Beta</t>
  </si>
  <si>
    <t>Market return</t>
  </si>
  <si>
    <t>Cost of equity</t>
  </si>
  <si>
    <t>WACC</t>
  </si>
  <si>
    <t>DAUs Y/Y</t>
  </si>
  <si>
    <t>Paid Subs Y/Y</t>
  </si>
  <si>
    <t>Revenue Y/Y</t>
  </si>
  <si>
    <t>GP Y/Y</t>
  </si>
  <si>
    <t>Opex Y/Y</t>
  </si>
  <si>
    <t>OI Y/Y</t>
  </si>
  <si>
    <t>Net Income Y/Y</t>
  </si>
  <si>
    <t>Shares Y/Y</t>
  </si>
  <si>
    <t>Gross Margin</t>
  </si>
  <si>
    <t>Operating Margin</t>
  </si>
  <si>
    <t>Tax Rate</t>
  </si>
  <si>
    <t>beta data unavail, hasn't been public long enough. 2/26/23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</si>
</sst>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26">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3" fontId="2" fillId="0" borderId="0" xfId="0" applyNumberFormat="1" applyFont="1" applyAlignment="1">
      <alignment vertical="center"/>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13</xdr:col>
      <xdr:colOff>25400</xdr:colOff>
      <xdr:row>0</xdr:row>
      <xdr:rowOff>57150</xdr:rowOff>
    </xdr:from>
    <xdr:to>
      <xdr:col>13</xdr:col>
      <xdr:colOff>25400</xdr:colOff>
      <xdr:row>35</xdr:row>
      <xdr:rowOff>38100</xdr:rowOff>
    </xdr:to>
    <xdr:cxnSp macro="">
      <xdr:nvCxnSpPr>
        <xdr:cNvPr id="3" name="Straight Connector 2">
          <a:extLst>
            <a:ext uri="{FF2B5EF4-FFF2-40B4-BE49-F238E27FC236}">
              <a16:creationId xmlns:a16="http://schemas.microsoft.com/office/drawing/2014/main" id="{5ED4063F-4B9B-79BA-EFB1-BB1C3EA11BD3}"/>
            </a:ext>
          </a:extLst>
        </xdr:cNvPr>
        <xdr:cNvCxnSpPr/>
      </xdr:nvCxnSpPr>
      <xdr:spPr>
        <a:xfrm>
          <a:off x="8712200" y="57150"/>
          <a:ext cx="0" cy="6315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34925</xdr:colOff>
      <xdr:row>0</xdr:row>
      <xdr:rowOff>28575</xdr:rowOff>
    </xdr:from>
    <xdr:to>
      <xdr:col>21</xdr:col>
      <xdr:colOff>57053</xdr:colOff>
      <xdr:row>36</xdr:row>
      <xdr:rowOff>28575</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13598525" y="28575"/>
          <a:ext cx="22128" cy="6515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20Backup\00%20Dashboard.xlsx" TargetMode="External"/><Relationship Id="rId1" Type="http://schemas.openxmlformats.org/officeDocument/2006/relationships/externalLinkPath" Target="/Users/wlshe/Documents/Models%20Backup/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7">
          <cell r="C7">
            <v>4.0300000000000002E-2</v>
          </cell>
        </row>
      </sheetData>
      <sheetData sheetId="1" refreshError="1"/>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en-US</v>
    <v>c2mtim</v>
    <v>268435456</v>
    <v>1</v>
    <v>Powered by Refinitiv</v>
    <v>0</v>
    <v>DUOLINGO, INC. (XNAS:DUOL)</v>
    <v>2</v>
    <v>3</v>
    <v>Finance</v>
    <v>4</v>
    <v>113.36</v>
    <v>60.500300000000003</v>
    <v>0.89800000000000002</v>
    <v>-2.52</v>
    <v>1.147E-4</v>
    <v>-2.81E-2</v>
    <v>0.01</v>
    <v>USD</v>
    <v>Duolingo, Inc. is a technology company. The Company provides a science-based language learning platform. The Company's platform enables users to learn languages online. Duolingo offers approximately 97 courses in 40 languages, and is available on International Organization for Standardization (iOS), Android, and Web at www.duolingo.com. The Company's products include Duolingo for Schools, Duolingo English Test, Duolingo ABC, Duolingo Events, Duolingo podcasts, stories and dictionaries. Duolingo for Schools is a free web-based tool that makes it easier for teachers to use its platform in a structured learning environment. Duolingo English Test is an online English proficiency assessment. Duolingo ABC is a free application that teaches literacy skills to children's ageing three to six. Duolingo Events are online gatherings that bring together language learners from around the world for fun.</v>
    <v>600</v>
    <v>Nasdaq Stock Market</v>
    <v>XNAS</v>
    <v>XNAS</v>
    <v>5900 PENN AVE, SECOND FLOOR, PITTSBURGH, PA, 15206 US</v>
    <v>88.11</v>
    <v>Software &amp; IT Services</v>
    <v>Stock</v>
    <v>44982.003225022658</v>
    <v>0</v>
    <v>86.355000000000004</v>
    <v>3501194000</v>
    <v>DUOLINGO, INC.</v>
    <v>DUOLINGO, INC.</v>
    <v>87.76</v>
    <v>89.68</v>
    <v>87.16</v>
    <v>87.17</v>
    <v>40169740</v>
    <v>DUOL</v>
    <v>DUOLINGO, INC. (XNAS:DUOL)</v>
    <v>461401</v>
    <v>394223</v>
    <v>2011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4:D10"/>
  <sheetViews>
    <sheetView workbookViewId="0">
      <selection activeCell="C10" sqref="C10"/>
    </sheetView>
  </sheetViews>
  <sheetFormatPr defaultRowHeight="14.5" x14ac:dyDescent="0.35"/>
  <cols>
    <col min="2" max="2" width="11" bestFit="1" customWidth="1"/>
    <col min="3" max="3" width="33.54296875" customWidth="1"/>
    <col min="4" max="4" width="7.08984375" bestFit="1" customWidth="1"/>
  </cols>
  <sheetData>
    <row r="4" spans="2:4" x14ac:dyDescent="0.35">
      <c r="B4" s="1" t="s">
        <v>0</v>
      </c>
      <c r="C4" s="2" t="e" vm="1">
        <v>#VALUE!</v>
      </c>
      <c r="D4" s="3" t="s">
        <v>1</v>
      </c>
    </row>
    <row r="5" spans="2:4" x14ac:dyDescent="0.35">
      <c r="B5" s="4" t="s">
        <v>2</v>
      </c>
      <c r="C5" s="5" cm="1">
        <f t="array" ref="C5">_FV(C4,"Price")</f>
        <v>87.16</v>
      </c>
      <c r="D5" s="6"/>
    </row>
    <row r="6" spans="2:4" x14ac:dyDescent="0.35">
      <c r="B6" s="4" t="s">
        <v>3</v>
      </c>
      <c r="C6" s="7">
        <f>31.279319+8.890418</f>
        <v>40.169736999999998</v>
      </c>
      <c r="D6" s="8" t="s">
        <v>9</v>
      </c>
    </row>
    <row r="7" spans="2:4" x14ac:dyDescent="0.35">
      <c r="B7" s="4" t="s">
        <v>5</v>
      </c>
      <c r="C7" s="7">
        <f>C5*C6</f>
        <v>3501.1942769199995</v>
      </c>
      <c r="D7" s="8"/>
    </row>
    <row r="8" spans="2:4" x14ac:dyDescent="0.35">
      <c r="B8" s="4" t="s">
        <v>6</v>
      </c>
      <c r="C8" s="7">
        <f>599.967</f>
        <v>599.96699999999998</v>
      </c>
      <c r="D8" s="8" t="s">
        <v>9</v>
      </c>
    </row>
    <row r="9" spans="2:4" x14ac:dyDescent="0.35">
      <c r="B9" s="4" t="s">
        <v>7</v>
      </c>
      <c r="C9" s="7">
        <v>0.01</v>
      </c>
      <c r="D9" s="8" t="s">
        <v>9</v>
      </c>
    </row>
    <row r="10" spans="2:4" x14ac:dyDescent="0.35">
      <c r="B10" s="9" t="s">
        <v>8</v>
      </c>
      <c r="C10" s="10">
        <f>C7-C8+C9</f>
        <v>2901.2372769199997</v>
      </c>
      <c r="D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AA32"/>
  <sheetViews>
    <sheetView tabSelected="1" workbookViewId="0">
      <pane xSplit="2" ySplit="2" topLeftCell="C3" activePane="bottomRight" state="frozen"/>
      <selection pane="topRight" activeCell="C1" sqref="C1"/>
      <selection pane="bottomLeft" activeCell="A3" sqref="A3"/>
      <selection pane="bottomRight" activeCell="B1" sqref="B1"/>
    </sheetView>
  </sheetViews>
  <sheetFormatPr defaultRowHeight="14" x14ac:dyDescent="0.3"/>
  <cols>
    <col min="1" max="1" width="8.7265625" style="12"/>
    <col min="2" max="2" width="19.6328125" style="12" bestFit="1" customWidth="1"/>
    <col min="3" max="13" width="8.7265625" style="13"/>
    <col min="14" max="16384" width="8.7265625" style="7"/>
  </cols>
  <sheetData>
    <row r="1" spans="1:27" s="13" customFormat="1" x14ac:dyDescent="0.3">
      <c r="A1" s="12"/>
      <c r="B1" s="12"/>
    </row>
    <row r="2" spans="1:27" s="13" customFormat="1" x14ac:dyDescent="0.3">
      <c r="A2" s="12"/>
      <c r="B2" s="12"/>
      <c r="C2" s="13" t="s">
        <v>32</v>
      </c>
      <c r="D2" s="13" t="s">
        <v>24</v>
      </c>
      <c r="E2" s="13" t="s">
        <v>25</v>
      </c>
      <c r="F2" s="13" t="s">
        <v>26</v>
      </c>
      <c r="G2" s="13" t="s">
        <v>27</v>
      </c>
      <c r="H2" s="13" t="s">
        <v>28</v>
      </c>
      <c r="I2" s="13" t="s">
        <v>29</v>
      </c>
      <c r="J2" s="13" t="s">
        <v>30</v>
      </c>
      <c r="K2" s="13" t="s">
        <v>31</v>
      </c>
      <c r="L2" s="13" t="s">
        <v>4</v>
      </c>
      <c r="M2" s="13" t="s">
        <v>9</v>
      </c>
      <c r="N2" s="13" t="s">
        <v>33</v>
      </c>
      <c r="S2" s="17">
        <v>2020</v>
      </c>
      <c r="T2" s="17">
        <v>2021</v>
      </c>
      <c r="U2" s="17">
        <v>2022</v>
      </c>
      <c r="V2" s="17">
        <v>2023</v>
      </c>
      <c r="W2" s="17">
        <v>2024</v>
      </c>
      <c r="X2" s="17">
        <v>2025</v>
      </c>
      <c r="Y2" s="17">
        <v>2026</v>
      </c>
      <c r="Z2" s="17">
        <v>2027</v>
      </c>
      <c r="AA2" s="17">
        <v>2028</v>
      </c>
    </row>
    <row r="3" spans="1:27" s="13" customFormat="1" x14ac:dyDescent="0.3">
      <c r="A3" s="12"/>
      <c r="B3" s="12" t="s">
        <v>34</v>
      </c>
      <c r="C3" s="7">
        <v>6.8</v>
      </c>
      <c r="D3" s="7">
        <v>9</v>
      </c>
      <c r="E3" s="7">
        <v>8.4</v>
      </c>
      <c r="F3" s="7">
        <v>8.4</v>
      </c>
      <c r="G3" s="7">
        <v>9.5</v>
      </c>
      <c r="H3" s="7">
        <v>9.1</v>
      </c>
      <c r="I3" s="7">
        <v>9.8000000000000007</v>
      </c>
      <c r="J3" s="7">
        <v>10.1</v>
      </c>
      <c r="K3" s="7">
        <v>12.5</v>
      </c>
      <c r="L3" s="7">
        <v>13.2</v>
      </c>
      <c r="M3" s="7">
        <v>14.9</v>
      </c>
      <c r="N3" s="7">
        <f>J3*1.1</f>
        <v>11.110000000000001</v>
      </c>
      <c r="S3" s="17">
        <f>AVERAGE(C3:F3)</f>
        <v>8.15</v>
      </c>
      <c r="T3" s="17">
        <f>AVERAGE(G3:J3)</f>
        <v>9.625</v>
      </c>
      <c r="U3" s="17">
        <f>AVERAGE(K3:N3)</f>
        <v>12.9275</v>
      </c>
      <c r="V3" s="17"/>
      <c r="W3" s="17"/>
      <c r="X3" s="17"/>
      <c r="Y3" s="17"/>
      <c r="Z3" s="17"/>
      <c r="AA3" s="17"/>
    </row>
    <row r="4" spans="1:27" s="13" customFormat="1" x14ac:dyDescent="0.3">
      <c r="A4" s="12"/>
      <c r="B4" s="12" t="s">
        <v>35</v>
      </c>
      <c r="C4" s="7">
        <v>1.1000000000000001</v>
      </c>
      <c r="D4" s="7">
        <v>1.3</v>
      </c>
      <c r="E4" s="7">
        <v>1.5</v>
      </c>
      <c r="F4" s="7">
        <v>1.6</v>
      </c>
      <c r="G4" s="7">
        <v>1.8</v>
      </c>
      <c r="H4" s="7">
        <v>1.9</v>
      </c>
      <c r="I4" s="7">
        <v>2.2000000000000002</v>
      </c>
      <c r="J4" s="7">
        <v>2.5</v>
      </c>
      <c r="K4" s="7">
        <v>2.9</v>
      </c>
      <c r="L4" s="7">
        <v>3.3</v>
      </c>
      <c r="M4" s="7">
        <v>3.7</v>
      </c>
      <c r="N4" s="7">
        <f>J4*1.1</f>
        <v>2.75</v>
      </c>
      <c r="S4" s="17">
        <f>AVERAGE(C4:F4)</f>
        <v>1.375</v>
      </c>
      <c r="T4" s="17">
        <f>AVERAGE(G4:J4)</f>
        <v>2.1</v>
      </c>
      <c r="U4" s="17">
        <f>AVERAGE(K4:N4)</f>
        <v>3.1624999999999996</v>
      </c>
      <c r="V4" s="17"/>
      <c r="W4" s="17"/>
      <c r="X4" s="17"/>
      <c r="Y4" s="17"/>
      <c r="Z4" s="17"/>
      <c r="AA4" s="17"/>
    </row>
    <row r="5" spans="1:27" s="13" customFormat="1" x14ac:dyDescent="0.3">
      <c r="A5" s="12"/>
      <c r="B5" s="12"/>
      <c r="S5" s="17"/>
      <c r="T5" s="17"/>
      <c r="U5" s="17"/>
      <c r="V5" s="17"/>
      <c r="W5" s="17"/>
      <c r="X5" s="17"/>
      <c r="Y5" s="17"/>
      <c r="Z5" s="17"/>
      <c r="AA5" s="17"/>
    </row>
    <row r="6" spans="1:27" x14ac:dyDescent="0.3">
      <c r="B6" s="12" t="s">
        <v>48</v>
      </c>
      <c r="G6" s="25">
        <f>G3/C3-1</f>
        <v>0.39705882352941191</v>
      </c>
      <c r="H6" s="25">
        <f>H3/D3-1</f>
        <v>1.1111111111111072E-2</v>
      </c>
      <c r="I6" s="25">
        <f>I3/E3-1</f>
        <v>0.16666666666666674</v>
      </c>
      <c r="J6" s="25">
        <f>J3/F3-1</f>
        <v>0.20238095238095233</v>
      </c>
      <c r="K6" s="25">
        <f>K3/G3-1</f>
        <v>0.31578947368421062</v>
      </c>
      <c r="L6" s="25">
        <f>L3/H3-1</f>
        <v>0.4505494505494505</v>
      </c>
      <c r="M6" s="25">
        <f>M3/I3-1</f>
        <v>0.52040816326530615</v>
      </c>
      <c r="N6" s="25">
        <f>N3/J3-1</f>
        <v>0.10000000000000009</v>
      </c>
      <c r="P6" s="13"/>
      <c r="T6" s="25">
        <f>T3/S3-1</f>
        <v>0.18098159509202438</v>
      </c>
      <c r="U6" s="25">
        <f>U3/T3-1</f>
        <v>0.34311688311688315</v>
      </c>
    </row>
    <row r="7" spans="1:27" x14ac:dyDescent="0.3">
      <c r="B7" s="12" t="s">
        <v>49</v>
      </c>
      <c r="G7" s="25">
        <f>G4/C4-1</f>
        <v>0.63636363636363624</v>
      </c>
      <c r="H7" s="25">
        <f>H4/D4-1</f>
        <v>0.46153846153846145</v>
      </c>
      <c r="I7" s="25">
        <f>I4/E4-1</f>
        <v>0.46666666666666679</v>
      </c>
      <c r="J7" s="25">
        <f>J4/F4-1</f>
        <v>0.5625</v>
      </c>
      <c r="K7" s="25">
        <f>K4/G4-1</f>
        <v>0.61111111111111094</v>
      </c>
      <c r="L7" s="25">
        <f>L4/H4-1</f>
        <v>0.73684210526315796</v>
      </c>
      <c r="M7" s="25">
        <f>M4/I4-1</f>
        <v>0.68181818181818166</v>
      </c>
      <c r="N7" s="25">
        <f>N4/J4-1</f>
        <v>0.10000000000000009</v>
      </c>
      <c r="T7" s="25">
        <f>T4/S4-1</f>
        <v>0.52727272727272734</v>
      </c>
      <c r="U7" s="25">
        <f>U4/T4-1</f>
        <v>0.50595238095238071</v>
      </c>
    </row>
    <row r="8" spans="1:27" x14ac:dyDescent="0.3">
      <c r="G8" s="25"/>
      <c r="H8" s="25"/>
      <c r="I8" s="25"/>
      <c r="J8" s="25"/>
      <c r="K8" s="25"/>
      <c r="L8" s="25"/>
      <c r="M8" s="25"/>
    </row>
    <row r="9" spans="1:27" s="15" customFormat="1" x14ac:dyDescent="0.3">
      <c r="A9" s="14"/>
      <c r="B9" s="14" t="s">
        <v>10</v>
      </c>
      <c r="C9" s="15">
        <v>28.111999999999998</v>
      </c>
      <c r="D9" s="15">
        <v>40.011000000000003</v>
      </c>
      <c r="E9" s="15">
        <v>45.305</v>
      </c>
      <c r="F9" s="15">
        <v>48.268000000000001</v>
      </c>
      <c r="G9" s="15">
        <v>55.36</v>
      </c>
      <c r="H9" s="15">
        <v>58.802999999999997</v>
      </c>
      <c r="I9" s="15">
        <v>63.594999999999999</v>
      </c>
      <c r="J9" s="15">
        <v>73.013999999999996</v>
      </c>
      <c r="K9" s="15">
        <v>81.22</v>
      </c>
      <c r="L9" s="15">
        <v>88.385999999999996</v>
      </c>
      <c r="M9" s="16">
        <v>96.064999999999998</v>
      </c>
      <c r="N9" s="15">
        <f>J9*1.4</f>
        <v>102.21959999999999</v>
      </c>
      <c r="S9" s="15">
        <f>SUM(C9:F9)</f>
        <v>161.696</v>
      </c>
      <c r="T9" s="15">
        <f>SUM(G9:J9)</f>
        <v>250.77199999999999</v>
      </c>
      <c r="U9" s="15">
        <f>SUM(K9:N9)</f>
        <v>367.89059999999995</v>
      </c>
    </row>
    <row r="10" spans="1:27" x14ac:dyDescent="0.3">
      <c r="B10" s="12" t="s">
        <v>21</v>
      </c>
      <c r="C10" s="7">
        <v>8.2140000000000004</v>
      </c>
      <c r="D10" s="7">
        <v>11.808999999999999</v>
      </c>
      <c r="E10" s="7">
        <v>13.101000000000001</v>
      </c>
      <c r="F10" s="7">
        <v>12.863</v>
      </c>
      <c r="G10" s="7">
        <v>15.019</v>
      </c>
      <c r="H10" s="7">
        <v>16.137</v>
      </c>
      <c r="I10" s="7">
        <v>18.077999999999999</v>
      </c>
      <c r="J10" s="7">
        <v>19.952000000000002</v>
      </c>
      <c r="K10" s="7">
        <v>21.49</v>
      </c>
      <c r="L10" s="7">
        <v>23.869</v>
      </c>
      <c r="M10" s="7">
        <v>26.302</v>
      </c>
      <c r="N10" s="7">
        <f>J10*1.4</f>
        <v>27.9328</v>
      </c>
      <c r="S10" s="7">
        <f>SUM(C10:F10)</f>
        <v>45.987000000000002</v>
      </c>
      <c r="T10" s="7">
        <f>SUM(G10:J10)</f>
        <v>69.185999999999993</v>
      </c>
      <c r="U10" s="7">
        <f>SUM(K10:N10)</f>
        <v>99.593800000000002</v>
      </c>
    </row>
    <row r="11" spans="1:27" s="15" customFormat="1" x14ac:dyDescent="0.3">
      <c r="A11" s="14"/>
      <c r="B11" s="14" t="s">
        <v>22</v>
      </c>
      <c r="C11" s="15">
        <f t="shared" ref="C11:L11" si="0">C9-C10</f>
        <v>19.897999999999996</v>
      </c>
      <c r="D11" s="15">
        <f t="shared" si="0"/>
        <v>28.202000000000005</v>
      </c>
      <c r="E11" s="15">
        <f t="shared" si="0"/>
        <v>32.204000000000001</v>
      </c>
      <c r="F11" s="15">
        <f t="shared" si="0"/>
        <v>35.405000000000001</v>
      </c>
      <c r="G11" s="15">
        <f t="shared" si="0"/>
        <v>40.341000000000001</v>
      </c>
      <c r="H11" s="15">
        <f t="shared" si="0"/>
        <v>42.665999999999997</v>
      </c>
      <c r="I11" s="15">
        <f t="shared" si="0"/>
        <v>45.516999999999996</v>
      </c>
      <c r="J11" s="15">
        <f t="shared" si="0"/>
        <v>53.061999999999998</v>
      </c>
      <c r="K11" s="15">
        <f t="shared" si="0"/>
        <v>59.730000000000004</v>
      </c>
      <c r="L11" s="15">
        <f t="shared" si="0"/>
        <v>64.516999999999996</v>
      </c>
      <c r="M11" s="15">
        <f>M9-M10</f>
        <v>69.763000000000005</v>
      </c>
      <c r="N11" s="15">
        <f>N9-N10</f>
        <v>74.286799999999985</v>
      </c>
      <c r="S11" s="15">
        <f t="shared" ref="S11:AA11" si="1">S9-S10</f>
        <v>115.709</v>
      </c>
      <c r="T11" s="15">
        <f t="shared" si="1"/>
        <v>181.58600000000001</v>
      </c>
      <c r="U11" s="15">
        <f t="shared" si="1"/>
        <v>268.29679999999996</v>
      </c>
      <c r="V11" s="15">
        <f t="shared" si="1"/>
        <v>0</v>
      </c>
      <c r="W11" s="15">
        <f t="shared" si="1"/>
        <v>0</v>
      </c>
      <c r="X11" s="15">
        <f t="shared" si="1"/>
        <v>0</v>
      </c>
      <c r="Y11" s="15">
        <f t="shared" si="1"/>
        <v>0</v>
      </c>
      <c r="Z11" s="15">
        <f t="shared" si="1"/>
        <v>0</v>
      </c>
      <c r="AA11" s="15">
        <f t="shared" si="1"/>
        <v>0</v>
      </c>
    </row>
    <row r="12" spans="1:27" x14ac:dyDescent="0.3">
      <c r="B12" s="12" t="s">
        <v>11</v>
      </c>
      <c r="C12" s="7">
        <v>9.5760000000000005</v>
      </c>
      <c r="D12" s="7">
        <v>12.111000000000001</v>
      </c>
      <c r="E12" s="7">
        <v>15.894</v>
      </c>
      <c r="F12" s="7">
        <v>15.443</v>
      </c>
      <c r="G12" s="7">
        <v>22.529</v>
      </c>
      <c r="H12" s="7">
        <v>21.94</v>
      </c>
      <c r="I12" s="7">
        <v>29.344999999999999</v>
      </c>
      <c r="J12" s="7">
        <v>30.018999999999998</v>
      </c>
      <c r="K12" s="7">
        <v>29.780999999999999</v>
      </c>
      <c r="L12" s="7">
        <v>34.216999999999999</v>
      </c>
      <c r="M12" s="7">
        <v>41.975999999999999</v>
      </c>
      <c r="N12" s="7">
        <f>J12*1.3</f>
        <v>39.024699999999996</v>
      </c>
      <c r="S12" s="7">
        <f t="shared" ref="S12:S14" si="2">SUM(C12:F12)</f>
        <v>53.024000000000001</v>
      </c>
      <c r="T12" s="7">
        <f t="shared" ref="T12:T14" si="3">SUM(G12:J12)</f>
        <v>103.833</v>
      </c>
      <c r="U12" s="7">
        <f t="shared" ref="U12:U14" si="4">SUM(K12:N12)</f>
        <v>144.99869999999999</v>
      </c>
    </row>
    <row r="13" spans="1:27" x14ac:dyDescent="0.3">
      <c r="B13" s="12" t="s">
        <v>12</v>
      </c>
      <c r="C13" s="7">
        <v>5.5110000000000001</v>
      </c>
      <c r="D13" s="7">
        <v>8.625</v>
      </c>
      <c r="E13" s="7">
        <v>11.141999999999999</v>
      </c>
      <c r="F13" s="7">
        <v>9.7050000000000001</v>
      </c>
      <c r="G13" s="7">
        <v>19.773</v>
      </c>
      <c r="H13" s="7">
        <v>9.6189999999999998</v>
      </c>
      <c r="I13" s="7">
        <v>15.266999999999999</v>
      </c>
      <c r="J13" s="7">
        <v>14.510999999999999</v>
      </c>
      <c r="K13" s="7">
        <v>14.94</v>
      </c>
      <c r="L13" s="7">
        <v>15.276999999999999</v>
      </c>
      <c r="M13" s="7">
        <v>17.721</v>
      </c>
      <c r="N13" s="7">
        <f>J13*1.3</f>
        <v>18.8643</v>
      </c>
      <c r="S13" s="7">
        <f t="shared" si="2"/>
        <v>34.982999999999997</v>
      </c>
      <c r="T13" s="7">
        <f t="shared" si="3"/>
        <v>59.17</v>
      </c>
      <c r="U13" s="7">
        <f t="shared" si="4"/>
        <v>66.802300000000002</v>
      </c>
    </row>
    <row r="14" spans="1:27" x14ac:dyDescent="0.3">
      <c r="B14" s="12" t="s">
        <v>13</v>
      </c>
      <c r="C14" s="7">
        <v>7.266</v>
      </c>
      <c r="D14" s="7">
        <v>7.3840000000000003</v>
      </c>
      <c r="E14" s="7">
        <v>8.2349999999999994</v>
      </c>
      <c r="F14" s="7">
        <v>20.827999999999999</v>
      </c>
      <c r="G14" s="7">
        <v>11.452999999999999</v>
      </c>
      <c r="H14" s="7">
        <v>11.585000000000001</v>
      </c>
      <c r="I14" s="7">
        <v>29.605</v>
      </c>
      <c r="J14" s="7">
        <v>25.946999999999999</v>
      </c>
      <c r="K14" s="7">
        <v>26.856000000000002</v>
      </c>
      <c r="L14" s="7">
        <v>30.056999999999999</v>
      </c>
      <c r="M14" s="7">
        <v>30.228000000000002</v>
      </c>
      <c r="N14" s="7">
        <f>J14*1.3</f>
        <v>33.731099999999998</v>
      </c>
      <c r="S14" s="7">
        <f t="shared" si="2"/>
        <v>43.712999999999994</v>
      </c>
      <c r="T14" s="7">
        <f t="shared" si="3"/>
        <v>78.59</v>
      </c>
      <c r="U14" s="7">
        <f t="shared" si="4"/>
        <v>120.87209999999999</v>
      </c>
    </row>
    <row r="15" spans="1:27" s="15" customFormat="1" x14ac:dyDescent="0.3">
      <c r="A15" s="14"/>
      <c r="B15" s="14" t="s">
        <v>14</v>
      </c>
      <c r="C15" s="15">
        <f t="shared" ref="C15:L15" si="5">SUM(C12:C14)</f>
        <v>22.353000000000002</v>
      </c>
      <c r="D15" s="15">
        <f t="shared" si="5"/>
        <v>28.12</v>
      </c>
      <c r="E15" s="15">
        <f t="shared" si="5"/>
        <v>35.271000000000001</v>
      </c>
      <c r="F15" s="15">
        <f t="shared" si="5"/>
        <v>45.975999999999999</v>
      </c>
      <c r="G15" s="15">
        <f t="shared" si="5"/>
        <v>53.754999999999995</v>
      </c>
      <c r="H15" s="15">
        <f t="shared" si="5"/>
        <v>43.144000000000005</v>
      </c>
      <c r="I15" s="15">
        <f t="shared" si="5"/>
        <v>74.216999999999999</v>
      </c>
      <c r="J15" s="15">
        <f t="shared" si="5"/>
        <v>70.477000000000004</v>
      </c>
      <c r="K15" s="15">
        <f t="shared" si="5"/>
        <v>71.576999999999998</v>
      </c>
      <c r="L15" s="15">
        <f t="shared" si="5"/>
        <v>79.551000000000002</v>
      </c>
      <c r="M15" s="15">
        <f>SUM(M12:M14)</f>
        <v>89.925000000000011</v>
      </c>
      <c r="N15" s="15">
        <f>SUM(N12:N14)</f>
        <v>91.620099999999994</v>
      </c>
      <c r="S15" s="15">
        <f t="shared" ref="S15:AA15" si="6">SUM(S12:S14)</f>
        <v>131.72</v>
      </c>
      <c r="T15" s="15">
        <f t="shared" si="6"/>
        <v>241.59299999999999</v>
      </c>
      <c r="U15" s="15">
        <f t="shared" si="6"/>
        <v>332.67309999999998</v>
      </c>
      <c r="V15" s="15">
        <f t="shared" si="6"/>
        <v>0</v>
      </c>
      <c r="W15" s="15">
        <f t="shared" si="6"/>
        <v>0</v>
      </c>
      <c r="X15" s="15">
        <f t="shared" si="6"/>
        <v>0</v>
      </c>
      <c r="Y15" s="15">
        <f t="shared" si="6"/>
        <v>0</v>
      </c>
      <c r="Z15" s="15">
        <f t="shared" si="6"/>
        <v>0</v>
      </c>
      <c r="AA15" s="15">
        <f t="shared" si="6"/>
        <v>0</v>
      </c>
    </row>
    <row r="16" spans="1:27" s="15" customFormat="1" x14ac:dyDescent="0.3">
      <c r="A16" s="14"/>
      <c r="B16" s="14" t="s">
        <v>23</v>
      </c>
      <c r="C16" s="15">
        <f t="shared" ref="C16:L16" si="7">C11-C15</f>
        <v>-2.4550000000000054</v>
      </c>
      <c r="D16" s="15">
        <f t="shared" si="7"/>
        <v>8.2000000000004292E-2</v>
      </c>
      <c r="E16" s="15">
        <f t="shared" si="7"/>
        <v>-3.0670000000000002</v>
      </c>
      <c r="F16" s="15">
        <f t="shared" si="7"/>
        <v>-10.570999999999998</v>
      </c>
      <c r="G16" s="15">
        <f t="shared" si="7"/>
        <v>-13.413999999999994</v>
      </c>
      <c r="H16" s="15">
        <f t="shared" si="7"/>
        <v>-0.47800000000000864</v>
      </c>
      <c r="I16" s="15">
        <f t="shared" si="7"/>
        <v>-28.700000000000003</v>
      </c>
      <c r="J16" s="15">
        <f t="shared" si="7"/>
        <v>-17.415000000000006</v>
      </c>
      <c r="K16" s="15">
        <f t="shared" si="7"/>
        <v>-11.846999999999994</v>
      </c>
      <c r="L16" s="15">
        <f t="shared" si="7"/>
        <v>-15.034000000000006</v>
      </c>
      <c r="M16" s="15">
        <f>M11-M15</f>
        <v>-20.162000000000006</v>
      </c>
      <c r="N16" s="15">
        <f>N11-N15</f>
        <v>-17.333300000000008</v>
      </c>
      <c r="S16" s="15">
        <f t="shared" ref="S16:AA16" si="8">S11-S15</f>
        <v>-16.010999999999996</v>
      </c>
      <c r="T16" s="15">
        <f t="shared" si="8"/>
        <v>-60.006999999999977</v>
      </c>
      <c r="U16" s="15">
        <f t="shared" si="8"/>
        <v>-64.376300000000015</v>
      </c>
      <c r="V16" s="15">
        <f t="shared" si="8"/>
        <v>0</v>
      </c>
      <c r="W16" s="15">
        <f t="shared" si="8"/>
        <v>0</v>
      </c>
      <c r="X16" s="15">
        <f t="shared" si="8"/>
        <v>0</v>
      </c>
      <c r="Y16" s="15">
        <f t="shared" si="8"/>
        <v>0</v>
      </c>
      <c r="Z16" s="15">
        <f t="shared" si="8"/>
        <v>0</v>
      </c>
      <c r="AA16" s="15">
        <f t="shared" si="8"/>
        <v>0</v>
      </c>
    </row>
    <row r="17" spans="1:27" x14ac:dyDescent="0.3">
      <c r="B17" s="12" t="s">
        <v>15</v>
      </c>
      <c r="C17" s="7">
        <v>0.23300000000000001</v>
      </c>
      <c r="D17" s="7">
        <v>-3.1E-2</v>
      </c>
      <c r="E17" s="7">
        <v>-8.5999999999999993E-2</v>
      </c>
      <c r="F17" s="7">
        <v>0.187</v>
      </c>
      <c r="G17" s="7">
        <v>-4.1000000000000002E-2</v>
      </c>
      <c r="H17" s="7">
        <v>0.30299999999999999</v>
      </c>
      <c r="I17" s="7">
        <v>-0.219</v>
      </c>
      <c r="J17" s="7">
        <v>6.0000000000000001E-3</v>
      </c>
      <c r="K17" s="7">
        <v>-0.27900000000000003</v>
      </c>
      <c r="L17" s="7">
        <v>0.13</v>
      </c>
      <c r="M17" s="7">
        <v>1.77</v>
      </c>
      <c r="N17" s="7">
        <f>J17*1.4</f>
        <v>8.3999999999999995E-3</v>
      </c>
      <c r="S17" s="7">
        <f>SUM(C17:F17)</f>
        <v>0.30300000000000005</v>
      </c>
      <c r="T17" s="7">
        <f>SUM(G17:J17)</f>
        <v>4.9000000000000009E-2</v>
      </c>
      <c r="U17" s="7">
        <f>SUM(K17:N17)</f>
        <v>1.6294</v>
      </c>
    </row>
    <row r="18" spans="1:27" x14ac:dyDescent="0.3">
      <c r="B18" s="12" t="s">
        <v>16</v>
      </c>
      <c r="C18" s="7">
        <f t="shared" ref="C18:L18" si="9">C16+C17</f>
        <v>-2.2220000000000053</v>
      </c>
      <c r="D18" s="7">
        <f t="shared" si="9"/>
        <v>5.1000000000004292E-2</v>
      </c>
      <c r="E18" s="7">
        <f t="shared" si="9"/>
        <v>-3.153</v>
      </c>
      <c r="F18" s="7">
        <f t="shared" si="9"/>
        <v>-10.383999999999999</v>
      </c>
      <c r="G18" s="7">
        <f t="shared" si="9"/>
        <v>-13.454999999999995</v>
      </c>
      <c r="H18" s="7">
        <f t="shared" si="9"/>
        <v>-0.17500000000000865</v>
      </c>
      <c r="I18" s="7">
        <f t="shared" si="9"/>
        <v>-28.919000000000004</v>
      </c>
      <c r="J18" s="7">
        <f t="shared" si="9"/>
        <v>-17.409000000000006</v>
      </c>
      <c r="K18" s="7">
        <f t="shared" si="9"/>
        <v>-12.125999999999994</v>
      </c>
      <c r="L18" s="7">
        <f t="shared" si="9"/>
        <v>-14.904000000000005</v>
      </c>
      <c r="M18" s="7">
        <f>M16+M17</f>
        <v>-18.392000000000007</v>
      </c>
      <c r="N18" s="7">
        <f>N16+N17</f>
        <v>-17.324900000000007</v>
      </c>
      <c r="S18" s="7">
        <f t="shared" ref="S18:AA18" si="10">S16+S17</f>
        <v>-15.707999999999995</v>
      </c>
      <c r="T18" s="7">
        <f t="shared" si="10"/>
        <v>-59.957999999999977</v>
      </c>
      <c r="U18" s="7">
        <f t="shared" si="10"/>
        <v>-62.746900000000018</v>
      </c>
      <c r="V18" s="7">
        <f t="shared" si="10"/>
        <v>0</v>
      </c>
      <c r="W18" s="7">
        <f t="shared" si="10"/>
        <v>0</v>
      </c>
      <c r="X18" s="7">
        <f t="shared" si="10"/>
        <v>0</v>
      </c>
      <c r="Y18" s="7">
        <f t="shared" si="10"/>
        <v>0</v>
      </c>
      <c r="Z18" s="7">
        <f t="shared" si="10"/>
        <v>0</v>
      </c>
      <c r="AA18" s="7">
        <f t="shared" si="10"/>
        <v>0</v>
      </c>
    </row>
    <row r="19" spans="1:27" x14ac:dyDescent="0.3">
      <c r="B19" s="12" t="s">
        <v>17</v>
      </c>
      <c r="C19" s="7">
        <v>1.0999999999999999E-2</v>
      </c>
      <c r="D19" s="7">
        <v>1.0999999999999999E-2</v>
      </c>
      <c r="E19" s="7">
        <v>2.3E-2</v>
      </c>
      <c r="F19" s="7">
        <v>2.3E-2</v>
      </c>
      <c r="G19" s="7">
        <v>1.7000000000000001E-2</v>
      </c>
      <c r="H19" s="7">
        <v>1E-3</v>
      </c>
      <c r="I19" s="7">
        <v>5.0999999999999997E-2</v>
      </c>
      <c r="J19" s="7">
        <v>0.108</v>
      </c>
      <c r="K19" s="7">
        <v>2.8000000000000001E-2</v>
      </c>
      <c r="L19" s="7">
        <v>0.14099999999999999</v>
      </c>
      <c r="M19" s="7">
        <v>5.2999999999999999E-2</v>
      </c>
      <c r="N19" s="7">
        <f>N18*0</f>
        <v>0</v>
      </c>
      <c r="S19" s="7">
        <f>SUM(C19:F19)</f>
        <v>6.8000000000000005E-2</v>
      </c>
      <c r="T19" s="7">
        <f>SUM(G19:J19)</f>
        <v>0.17699999999999999</v>
      </c>
      <c r="U19" s="7">
        <f>SUM(K19:N19)</f>
        <v>0.22199999999999998</v>
      </c>
    </row>
    <row r="20" spans="1:27" s="15" customFormat="1" x14ac:dyDescent="0.3">
      <c r="A20" s="14"/>
      <c r="B20" s="14" t="s">
        <v>18</v>
      </c>
      <c r="C20" s="15">
        <f t="shared" ref="C20:L20" si="11">C18-C19</f>
        <v>-2.2330000000000054</v>
      </c>
      <c r="D20" s="15">
        <f t="shared" si="11"/>
        <v>4.0000000000004296E-2</v>
      </c>
      <c r="E20" s="15">
        <f t="shared" si="11"/>
        <v>-3.1760000000000002</v>
      </c>
      <c r="F20" s="15">
        <f t="shared" si="11"/>
        <v>-10.406999999999998</v>
      </c>
      <c r="G20" s="15">
        <f t="shared" si="11"/>
        <v>-13.471999999999994</v>
      </c>
      <c r="H20" s="15">
        <f t="shared" si="11"/>
        <v>-0.17600000000000865</v>
      </c>
      <c r="I20" s="15">
        <f t="shared" si="11"/>
        <v>-28.970000000000002</v>
      </c>
      <c r="J20" s="15">
        <f t="shared" si="11"/>
        <v>-17.517000000000007</v>
      </c>
      <c r="K20" s="15">
        <f t="shared" si="11"/>
        <v>-12.153999999999995</v>
      </c>
      <c r="L20" s="15">
        <f t="shared" si="11"/>
        <v>-15.045000000000005</v>
      </c>
      <c r="M20" s="15">
        <f>M18-M19</f>
        <v>-18.445000000000007</v>
      </c>
      <c r="N20" s="15">
        <f>N18-N19</f>
        <v>-17.324900000000007</v>
      </c>
      <c r="S20" s="15">
        <f t="shared" ref="S20:AA20" si="12">S18-S19</f>
        <v>-15.775999999999994</v>
      </c>
      <c r="T20" s="15">
        <f t="shared" si="12"/>
        <v>-60.134999999999977</v>
      </c>
      <c r="U20" s="15">
        <f t="shared" si="12"/>
        <v>-62.968900000000019</v>
      </c>
      <c r="V20" s="15">
        <f t="shared" si="12"/>
        <v>0</v>
      </c>
      <c r="W20" s="15">
        <f t="shared" si="12"/>
        <v>0</v>
      </c>
      <c r="X20" s="15">
        <f t="shared" si="12"/>
        <v>0</v>
      </c>
      <c r="Y20" s="15">
        <f t="shared" si="12"/>
        <v>0</v>
      </c>
      <c r="Z20" s="15">
        <f t="shared" si="12"/>
        <v>0</v>
      </c>
      <c r="AA20" s="15">
        <f t="shared" si="12"/>
        <v>0</v>
      </c>
    </row>
    <row r="21" spans="1:27" x14ac:dyDescent="0.3">
      <c r="B21" s="12" t="s">
        <v>19</v>
      </c>
      <c r="C21" s="7"/>
      <c r="D21" s="7"/>
      <c r="E21" s="7"/>
      <c r="F21" s="7"/>
      <c r="G21" s="7">
        <v>31.992000000000001</v>
      </c>
      <c r="H21" s="7">
        <f>12.81987+24.598497</f>
        <v>37.418366999999996</v>
      </c>
      <c r="I21" s="7">
        <f>15.796838+21.675473</f>
        <v>37.472310999999998</v>
      </c>
      <c r="J21" s="7">
        <f>22.592387+16.032907</f>
        <v>38.625293999999997</v>
      </c>
      <c r="K21" s="7">
        <f>27.566643+11.594704</f>
        <v>39.161346999999999</v>
      </c>
      <c r="L21" s="7">
        <f>30.610714+9.025418</f>
        <v>39.636132000000003</v>
      </c>
      <c r="M21" s="7">
        <f>31.279319+8.890418</f>
        <v>40.169736999999998</v>
      </c>
      <c r="N21" s="7">
        <f>J21*1.05</f>
        <v>40.556558699999997</v>
      </c>
      <c r="T21" s="7">
        <f>J21</f>
        <v>38.625293999999997</v>
      </c>
      <c r="U21" s="7">
        <f>N21</f>
        <v>40.556558699999997</v>
      </c>
    </row>
    <row r="22" spans="1:27" x14ac:dyDescent="0.3">
      <c r="B22" s="12" t="s">
        <v>20</v>
      </c>
      <c r="G22" s="13">
        <f t="shared" ref="G22:L22" si="13">G20/G21</f>
        <v>-0.42110527631907957</v>
      </c>
      <c r="H22" s="13">
        <f t="shared" si="13"/>
        <v>-4.7035724461200745E-3</v>
      </c>
      <c r="I22" s="13">
        <f t="shared" si="13"/>
        <v>-0.77310417283844612</v>
      </c>
      <c r="J22" s="13">
        <f t="shared" si="13"/>
        <v>-0.45351111113872705</v>
      </c>
      <c r="K22" s="13">
        <f t="shared" si="13"/>
        <v>-0.31035704670730541</v>
      </c>
      <c r="L22" s="13">
        <f t="shared" si="13"/>
        <v>-0.37957790634060873</v>
      </c>
      <c r="M22" s="13">
        <f>M20/M21</f>
        <v>-0.45917651888037025</v>
      </c>
      <c r="N22" s="13">
        <f>N20/N21</f>
        <v>-0.42717874877288364</v>
      </c>
      <c r="S22" s="7" t="e">
        <f t="shared" ref="S22:AA22" si="14">S20/S21</f>
        <v>#DIV/0!</v>
      </c>
      <c r="T22" s="13">
        <f t="shared" si="14"/>
        <v>-1.5568813534467849</v>
      </c>
      <c r="U22" s="13">
        <f t="shared" si="14"/>
        <v>-1.5526194040718753</v>
      </c>
      <c r="V22" s="7" t="e">
        <f t="shared" si="14"/>
        <v>#DIV/0!</v>
      </c>
      <c r="W22" s="7" t="e">
        <f t="shared" si="14"/>
        <v>#DIV/0!</v>
      </c>
      <c r="X22" s="7" t="e">
        <f t="shared" si="14"/>
        <v>#DIV/0!</v>
      </c>
      <c r="Y22" s="7" t="e">
        <f t="shared" si="14"/>
        <v>#DIV/0!</v>
      </c>
      <c r="Z22" s="7" t="e">
        <f t="shared" si="14"/>
        <v>#DIV/0!</v>
      </c>
      <c r="AA22" s="7" t="e">
        <f t="shared" si="14"/>
        <v>#DIV/0!</v>
      </c>
    </row>
    <row r="24" spans="1:27" x14ac:dyDescent="0.3">
      <c r="B24" s="12" t="s">
        <v>50</v>
      </c>
      <c r="G24" s="25">
        <f t="shared" ref="G24:L24" si="15">G9/C9-1</f>
        <v>0.96926579396698931</v>
      </c>
      <c r="H24" s="25">
        <f t="shared" si="15"/>
        <v>0.46967084051885721</v>
      </c>
      <c r="I24" s="25">
        <f t="shared" si="15"/>
        <v>0.40370819997792728</v>
      </c>
      <c r="J24" s="25">
        <f t="shared" si="15"/>
        <v>0.51267920775669173</v>
      </c>
      <c r="K24" s="25">
        <f t="shared" si="15"/>
        <v>0.46712427745664731</v>
      </c>
      <c r="L24" s="25">
        <f t="shared" si="15"/>
        <v>0.50308657721544825</v>
      </c>
      <c r="M24" s="25">
        <f>M9/I9-1</f>
        <v>0.51057473071782367</v>
      </c>
      <c r="N24" s="25">
        <f t="shared" ref="N24" si="16">N9/J9-1</f>
        <v>0.39999999999999991</v>
      </c>
      <c r="T24" s="25">
        <f>T9/S9-1</f>
        <v>0.5508856125074213</v>
      </c>
      <c r="U24" s="25">
        <f>U9/T9-1</f>
        <v>0.46703220455234229</v>
      </c>
    </row>
    <row r="25" spans="1:27" x14ac:dyDescent="0.3">
      <c r="B25" s="12" t="s">
        <v>51</v>
      </c>
      <c r="G25" s="25">
        <f t="shared" ref="G25:L25" si="17">(G11/C11)-1</f>
        <v>1.02738968740577</v>
      </c>
      <c r="H25" s="25">
        <f t="shared" si="17"/>
        <v>0.51287142755832882</v>
      </c>
      <c r="I25" s="25">
        <f t="shared" si="17"/>
        <v>0.41339585144702506</v>
      </c>
      <c r="J25" s="25">
        <f t="shared" si="17"/>
        <v>0.49871487078096299</v>
      </c>
      <c r="K25" s="25">
        <f t="shared" si="17"/>
        <v>0.4806276492898045</v>
      </c>
      <c r="L25" s="25">
        <f t="shared" si="17"/>
        <v>0.51214081470022976</v>
      </c>
      <c r="M25" s="25">
        <f>(M11/I11)-1</f>
        <v>0.53268009754597201</v>
      </c>
      <c r="N25" s="25">
        <f t="shared" ref="N25" si="18">(N11/J11)-1</f>
        <v>0.39999999999999969</v>
      </c>
      <c r="T25" s="25">
        <f>T11/S11-1</f>
        <v>0.56933341399545423</v>
      </c>
      <c r="U25" s="25">
        <f>U11/T11-1</f>
        <v>0.47751919200819426</v>
      </c>
    </row>
    <row r="26" spans="1:27" x14ac:dyDescent="0.3">
      <c r="B26" s="12" t="s">
        <v>52</v>
      </c>
      <c r="G26" s="25">
        <f t="shared" ref="G26:L26" si="19">G15/C15-1</f>
        <v>1.4048226188878448</v>
      </c>
      <c r="H26" s="25">
        <f t="shared" si="19"/>
        <v>0.53428165007112383</v>
      </c>
      <c r="I26" s="25">
        <f t="shared" si="19"/>
        <v>1.1041932465765076</v>
      </c>
      <c r="J26" s="25">
        <f t="shared" si="19"/>
        <v>0.53290847398642782</v>
      </c>
      <c r="K26" s="25">
        <f t="shared" si="19"/>
        <v>0.33154125197656037</v>
      </c>
      <c r="L26" s="25">
        <f t="shared" si="19"/>
        <v>0.84384850732430916</v>
      </c>
      <c r="M26" s="25">
        <f>M15/I15-1</f>
        <v>0.21164962205424653</v>
      </c>
      <c r="N26" s="25">
        <f t="shared" ref="N26:N27" si="20">N15/J15-1</f>
        <v>0.29999999999999982</v>
      </c>
      <c r="T26" s="25">
        <f>T15/S15-1</f>
        <v>0.83414060127543266</v>
      </c>
      <c r="U26" s="25">
        <f>U15/T15-1</f>
        <v>0.37699809183213095</v>
      </c>
    </row>
    <row r="27" spans="1:27" x14ac:dyDescent="0.3">
      <c r="B27" s="12" t="s">
        <v>53</v>
      </c>
      <c r="G27" s="25">
        <f t="shared" ref="G27:L27" si="21">G16/C16-1</f>
        <v>4.4639511201629185</v>
      </c>
      <c r="H27" s="25">
        <f t="shared" si="21"/>
        <v>-6.8292682926827268</v>
      </c>
      <c r="I27" s="25">
        <f t="shared" si="21"/>
        <v>8.3576785132050873</v>
      </c>
      <c r="J27" s="25">
        <f t="shared" si="21"/>
        <v>0.64743165263456715</v>
      </c>
      <c r="K27" s="25">
        <f t="shared" si="21"/>
        <v>-0.11681824958998066</v>
      </c>
      <c r="L27" s="25">
        <f t="shared" si="21"/>
        <v>30.451882845187729</v>
      </c>
      <c r="M27" s="25">
        <f>M16/I16-1</f>
        <v>-0.29749128919860612</v>
      </c>
      <c r="N27" s="25">
        <f t="shared" si="20"/>
        <v>-4.6913580246912279E-3</v>
      </c>
      <c r="T27" s="25">
        <f>T16/S16-1</f>
        <v>2.7478608456686024</v>
      </c>
      <c r="U27" s="25">
        <f>U16/T16-1</f>
        <v>7.2813171796624498E-2</v>
      </c>
    </row>
    <row r="28" spans="1:27" x14ac:dyDescent="0.3">
      <c r="B28" s="12" t="s">
        <v>54</v>
      </c>
      <c r="G28" s="25">
        <f t="shared" ref="G28:L28" si="22">G20/C20-1</f>
        <v>5.0331392745185672</v>
      </c>
      <c r="H28" s="25">
        <f t="shared" si="22"/>
        <v>-5.3999999999997437</v>
      </c>
      <c r="I28" s="25">
        <f t="shared" si="22"/>
        <v>8.1215365239294712</v>
      </c>
      <c r="J28" s="25">
        <f t="shared" si="22"/>
        <v>0.68319400403574604</v>
      </c>
      <c r="K28" s="25">
        <f t="shared" si="22"/>
        <v>-9.7832541567695941E-2</v>
      </c>
      <c r="L28" s="25">
        <f t="shared" si="22"/>
        <v>84.482954545450369</v>
      </c>
      <c r="M28" s="25">
        <f>M20/I20-1</f>
        <v>-0.36330686917500843</v>
      </c>
      <c r="N28" s="25">
        <f t="shared" ref="N28:N29" si="23">N20/J20-1</f>
        <v>-1.0966489695724113E-2</v>
      </c>
      <c r="T28" s="25">
        <f>T20/S20-1</f>
        <v>2.8118027383367137</v>
      </c>
      <c r="U28" s="25">
        <f>U20/T20-1</f>
        <v>4.7125633990189542E-2</v>
      </c>
    </row>
    <row r="29" spans="1:27" x14ac:dyDescent="0.3">
      <c r="B29" s="12" t="s">
        <v>55</v>
      </c>
      <c r="G29" s="25"/>
      <c r="H29" s="25"/>
      <c r="I29" s="25"/>
      <c r="J29" s="25"/>
      <c r="K29" s="25">
        <f>K21/G21-1</f>
        <v>0.22409811827956982</v>
      </c>
      <c r="L29" s="25">
        <f>L21/H21-1</f>
        <v>5.926942242027855E-2</v>
      </c>
      <c r="M29" s="25">
        <f>M21/I21-1</f>
        <v>7.1984511443663024E-2</v>
      </c>
      <c r="N29" s="25">
        <f t="shared" si="23"/>
        <v>5.0000000000000044E-2</v>
      </c>
      <c r="T29" s="25"/>
      <c r="U29" s="25">
        <f>U21/T21-1</f>
        <v>5.0000000000000044E-2</v>
      </c>
    </row>
    <row r="30" spans="1:27" x14ac:dyDescent="0.3">
      <c r="B30" s="12" t="s">
        <v>56</v>
      </c>
      <c r="G30" s="25">
        <f t="shared" ref="G30:L30" si="24">G11/G9</f>
        <v>0.72870303468208097</v>
      </c>
      <c r="H30" s="25">
        <f t="shared" si="24"/>
        <v>0.72557522575378808</v>
      </c>
      <c r="I30" s="25">
        <f t="shared" si="24"/>
        <v>0.71573236889692582</v>
      </c>
      <c r="J30" s="25">
        <f t="shared" si="24"/>
        <v>0.7267373380447586</v>
      </c>
      <c r="K30" s="25">
        <f t="shared" si="24"/>
        <v>0.73540999753755243</v>
      </c>
      <c r="L30" s="25">
        <f t="shared" si="24"/>
        <v>0.7299459190369515</v>
      </c>
      <c r="M30" s="25">
        <f>M11/M9</f>
        <v>0.72620621454223711</v>
      </c>
      <c r="N30" s="25">
        <f t="shared" ref="N30" si="25">N11/N9</f>
        <v>0.72673733804475849</v>
      </c>
      <c r="T30" s="25">
        <f>T11/T9</f>
        <v>0.72410795463608379</v>
      </c>
      <c r="U30" s="25">
        <f>U11/U9</f>
        <v>0.72928419481226214</v>
      </c>
    </row>
    <row r="31" spans="1:27" x14ac:dyDescent="0.3">
      <c r="B31" s="12" t="s">
        <v>57</v>
      </c>
      <c r="G31" s="25">
        <f t="shared" ref="G31:L31" si="26">G16/G9</f>
        <v>-0.24230491329479759</v>
      </c>
      <c r="H31" s="25">
        <f t="shared" si="26"/>
        <v>-8.1288369641006192E-3</v>
      </c>
      <c r="I31" s="25">
        <f t="shared" si="26"/>
        <v>-0.4512933406714365</v>
      </c>
      <c r="J31" s="25">
        <f t="shared" si="26"/>
        <v>-0.23851590106007078</v>
      </c>
      <c r="K31" s="25">
        <f t="shared" si="26"/>
        <v>-0.14586308790938185</v>
      </c>
      <c r="L31" s="25">
        <f t="shared" si="26"/>
        <v>-0.17009481139546995</v>
      </c>
      <c r="M31" s="25">
        <f>M16/M9</f>
        <v>-0.2098787279446209</v>
      </c>
      <c r="N31" s="25">
        <f t="shared" ref="N31" si="27">N16/N9</f>
        <v>-0.16956924112401156</v>
      </c>
      <c r="T31" s="25">
        <f>T16/T9</f>
        <v>-0.23928907533536431</v>
      </c>
      <c r="U31" s="25">
        <f>U16/U9</f>
        <v>-0.17498761860183443</v>
      </c>
    </row>
    <row r="32" spans="1:27" x14ac:dyDescent="0.3">
      <c r="B32" s="12" t="s">
        <v>58</v>
      </c>
      <c r="G32" s="25">
        <f t="shared" ref="G32:L32" si="28">G19/G18</f>
        <v>-1.2634708286882205E-3</v>
      </c>
      <c r="H32" s="25">
        <f t="shared" si="28"/>
        <v>-5.7142857142854324E-3</v>
      </c>
      <c r="I32" s="25">
        <f t="shared" si="28"/>
        <v>-1.763546457346381E-3</v>
      </c>
      <c r="J32" s="25">
        <f t="shared" si="28"/>
        <v>-6.2036877477166961E-3</v>
      </c>
      <c r="K32" s="25">
        <f t="shared" si="28"/>
        <v>-2.3090879102754423E-3</v>
      </c>
      <c r="L32" s="25">
        <f t="shared" si="28"/>
        <v>-9.4605475040257601E-3</v>
      </c>
      <c r="M32" s="25">
        <f>M19/M18</f>
        <v>-2.8816876903001295E-3</v>
      </c>
      <c r="N32" s="25">
        <f t="shared" ref="N32" si="29">N19/N18</f>
        <v>0</v>
      </c>
      <c r="T32" s="25">
        <f>T19/T18</f>
        <v>-2.9520664465125597E-3</v>
      </c>
      <c r="U32" s="25">
        <f>U19/U18</f>
        <v>-3.5380233923906984E-3</v>
      </c>
    </row>
  </sheetData>
  <pageMargins left="0.7" right="0.7" top="0.75" bottom="0.75" header="0.3" footer="0.3"/>
  <pageSetup orientation="portrait" r:id="rId1"/>
  <ignoredErrors>
    <ignoredError sqref="S9:S10"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workbookViewId="0">
      <selection activeCell="D15" sqref="D15"/>
    </sheetView>
  </sheetViews>
  <sheetFormatPr defaultRowHeight="14.5" x14ac:dyDescent="0.35"/>
  <cols>
    <col min="2" max="2" width="15.6328125" bestFit="1" customWidth="1"/>
  </cols>
  <sheetData>
    <row r="3" spans="2:4" x14ac:dyDescent="0.35">
      <c r="B3" s="18" t="s">
        <v>7</v>
      </c>
      <c r="C3" s="19">
        <f>Main!C9</f>
        <v>0.01</v>
      </c>
      <c r="D3" s="18"/>
    </row>
    <row r="4" spans="2:4" x14ac:dyDescent="0.35">
      <c r="B4" s="18" t="s">
        <v>36</v>
      </c>
      <c r="C4" s="19">
        <f>Main!C7</f>
        <v>3501.1942769199995</v>
      </c>
      <c r="D4" s="18"/>
    </row>
    <row r="5" spans="2:4" x14ac:dyDescent="0.35">
      <c r="B5" s="18" t="s">
        <v>37</v>
      </c>
      <c r="C5" s="19">
        <f>C3+C4</f>
        <v>3501.2042769199998</v>
      </c>
      <c r="D5" s="18"/>
    </row>
    <row r="6" spans="2:4" x14ac:dyDescent="0.35">
      <c r="B6" s="20" t="s">
        <v>38</v>
      </c>
      <c r="C6" s="21">
        <f>C3/C5</f>
        <v>2.8561601120849121E-6</v>
      </c>
      <c r="D6" s="18"/>
    </row>
    <row r="7" spans="2:4" x14ac:dyDescent="0.35">
      <c r="B7" s="20" t="s">
        <v>39</v>
      </c>
      <c r="C7" s="21">
        <f>C4/C5</f>
        <v>0.9999971438398878</v>
      </c>
      <c r="D7" s="18"/>
    </row>
    <row r="8" spans="2:4" x14ac:dyDescent="0.35">
      <c r="B8" s="18"/>
      <c r="C8" s="18"/>
      <c r="D8" s="18"/>
    </row>
    <row r="9" spans="2:4" x14ac:dyDescent="0.35">
      <c r="B9" s="18" t="s">
        <v>40</v>
      </c>
      <c r="C9" s="22">
        <f>AVERAGE(Model!T32:U32)</f>
        <v>-3.2450449194516293E-3</v>
      </c>
      <c r="D9" s="18"/>
    </row>
    <row r="10" spans="2:4" x14ac:dyDescent="0.35">
      <c r="B10" s="18" t="s">
        <v>41</v>
      </c>
      <c r="C10" s="18">
        <v>0</v>
      </c>
      <c r="D10" s="18"/>
    </row>
    <row r="11" spans="2:4" x14ac:dyDescent="0.35">
      <c r="B11" s="20" t="s">
        <v>42</v>
      </c>
      <c r="C11" s="23">
        <f>C10/C3</f>
        <v>0</v>
      </c>
      <c r="D11" s="18"/>
    </row>
    <row r="12" spans="2:4" x14ac:dyDescent="0.35">
      <c r="B12" s="18"/>
      <c r="C12" s="18"/>
      <c r="D12" s="18"/>
    </row>
    <row r="13" spans="2:4" x14ac:dyDescent="0.35">
      <c r="B13" s="18" t="s">
        <v>43</v>
      </c>
      <c r="C13" s="22">
        <f>'[1]T-Bond Yields'!$C$7</f>
        <v>4.0300000000000002E-2</v>
      </c>
      <c r="D13" s="18"/>
    </row>
    <row r="14" spans="2:4" x14ac:dyDescent="0.35">
      <c r="B14" s="18" t="s">
        <v>44</v>
      </c>
      <c r="C14" s="18">
        <v>1.5</v>
      </c>
      <c r="D14" s="18" t="s">
        <v>59</v>
      </c>
    </row>
    <row r="15" spans="2:4" x14ac:dyDescent="0.35">
      <c r="B15" s="18" t="s">
        <v>45</v>
      </c>
      <c r="C15" s="24">
        <v>0.06</v>
      </c>
      <c r="D15" s="18"/>
    </row>
    <row r="16" spans="2:4" x14ac:dyDescent="0.35">
      <c r="B16" s="20" t="s">
        <v>46</v>
      </c>
      <c r="C16" s="21">
        <f>C13+C14*(C15-C13)</f>
        <v>6.9849999999999995E-2</v>
      </c>
      <c r="D16" s="18"/>
    </row>
    <row r="17" spans="2:4" x14ac:dyDescent="0.35">
      <c r="B17" s="18"/>
      <c r="C17" s="18"/>
      <c r="D17" s="18"/>
    </row>
    <row r="18" spans="2:4" x14ac:dyDescent="0.35">
      <c r="B18" s="20" t="s">
        <v>47</v>
      </c>
      <c r="C18" s="21">
        <f>(C6*C11)+(C7*C16)*(1-C9)</f>
        <v>7.007646623744436E-2</v>
      </c>
      <c r="D1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2023-02-27T02:48:01Z</dcterms:modified>
</cp:coreProperties>
</file>