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61DF75AA-7A87-4F0B-AB08-E23042BBD58E}" xr6:coauthVersionLast="47" xr6:coauthVersionMax="47" xr10:uidLastSave="{00000000-0000-0000-0000-000000000000}"/>
  <bookViews>
    <workbookView xWindow="-28920" yWindow="-120" windowWidth="29040" windowHeight="15720" activeTab="1" xr2:uid="{F8F0E135-B0EA-4157-A45D-5F4FA8BEF9ED}"/>
  </bookViews>
  <sheets>
    <sheet name="Main" sheetId="1" r:id="rId1"/>
    <sheet name="Model"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6" i="2" l="1"/>
  <c r="AS6" i="2"/>
  <c r="AT6" i="2"/>
  <c r="AR4" i="2"/>
  <c r="AS4" i="2" s="1"/>
  <c r="AT4" i="2" s="1"/>
  <c r="AT18" i="2" s="1"/>
  <c r="AR3" i="2"/>
  <c r="AS3" i="2"/>
  <c r="AT3" i="2" s="1"/>
  <c r="AT17" i="2" s="1"/>
  <c r="AT23" i="2"/>
  <c r="C13" i="3"/>
  <c r="C10" i="1"/>
  <c r="C9" i="1"/>
  <c r="C3" i="3"/>
  <c r="AP15" i="2"/>
  <c r="AP14" i="2"/>
  <c r="AP13" i="2"/>
  <c r="AP12" i="2"/>
  <c r="AP11" i="2"/>
  <c r="AP10" i="2"/>
  <c r="AQ10" i="2" s="1"/>
  <c r="AR10" i="2" s="1"/>
  <c r="AS10" i="2" s="1"/>
  <c r="AT10" i="2" s="1"/>
  <c r="AP9" i="2"/>
  <c r="AP8" i="2"/>
  <c r="AP7" i="2"/>
  <c r="AP6" i="2"/>
  <c r="AP5" i="2"/>
  <c r="AP4" i="2"/>
  <c r="AP3" i="2"/>
  <c r="AO17" i="2"/>
  <c r="AO15" i="2"/>
  <c r="AO14" i="2"/>
  <c r="AO13" i="2"/>
  <c r="AO12" i="2"/>
  <c r="AO11" i="2"/>
  <c r="AO10" i="2"/>
  <c r="AO9" i="2"/>
  <c r="AO8" i="2"/>
  <c r="AO7" i="2"/>
  <c r="AO6" i="2"/>
  <c r="AO5" i="2"/>
  <c r="AO4" i="2"/>
  <c r="AO3" i="2"/>
  <c r="AD11" i="2"/>
  <c r="AA11" i="2"/>
  <c r="AD12" i="2"/>
  <c r="C11" i="2"/>
  <c r="D11" i="2"/>
  <c r="E11" i="2"/>
  <c r="F11" i="2"/>
  <c r="G11" i="2"/>
  <c r="H11" i="2"/>
  <c r="I11" i="2"/>
  <c r="J11" i="2"/>
  <c r="K11" i="2"/>
  <c r="L11" i="2"/>
  <c r="M11" i="2"/>
  <c r="N11" i="2"/>
  <c r="O11" i="2"/>
  <c r="P11" i="2"/>
  <c r="Q11" i="2"/>
  <c r="R11" i="2"/>
  <c r="S11" i="2"/>
  <c r="T11" i="2"/>
  <c r="U11" i="2"/>
  <c r="V11" i="2"/>
  <c r="W11" i="2"/>
  <c r="X11" i="2"/>
  <c r="Y11" i="2"/>
  <c r="Z11" i="2"/>
  <c r="AC11" i="2"/>
  <c r="AC13" i="2" s="1"/>
  <c r="C16" i="3"/>
  <c r="AR14" i="2"/>
  <c r="AS14" i="2" s="1"/>
  <c r="AT14" i="2" s="1"/>
  <c r="AQ14" i="2"/>
  <c r="AQ9" i="2"/>
  <c r="AR9" i="2" s="1"/>
  <c r="AS9" i="2" s="1"/>
  <c r="AT9" i="2" s="1"/>
  <c r="AQ4" i="2"/>
  <c r="AQ3" i="2"/>
  <c r="AD14" i="2"/>
  <c r="AB23" i="2"/>
  <c r="AD10" i="2"/>
  <c r="AD9" i="2"/>
  <c r="AD6" i="2"/>
  <c r="AD7" i="2" s="1"/>
  <c r="AD4" i="2"/>
  <c r="AD5" i="2" s="1"/>
  <c r="AD24" i="2" s="1"/>
  <c r="AC18" i="2"/>
  <c r="AB18" i="2"/>
  <c r="AD3" i="2"/>
  <c r="AC17" i="2"/>
  <c r="AB17" i="2"/>
  <c r="AJ26" i="2"/>
  <c r="AJ25" i="2"/>
  <c r="AJ24" i="2"/>
  <c r="AM26" i="2"/>
  <c r="AL26" i="2"/>
  <c r="AK26" i="2"/>
  <c r="AM25" i="2"/>
  <c r="AL25" i="2"/>
  <c r="AK25" i="2"/>
  <c r="AM24" i="2"/>
  <c r="AL24" i="2"/>
  <c r="AK24" i="2"/>
  <c r="AM23" i="2"/>
  <c r="AL23" i="2"/>
  <c r="AK23" i="2"/>
  <c r="AM22" i="2"/>
  <c r="AL22" i="2"/>
  <c r="AK22" i="2"/>
  <c r="AM21" i="2"/>
  <c r="AL21" i="2"/>
  <c r="AK21" i="2"/>
  <c r="AM20" i="2"/>
  <c r="AL20" i="2"/>
  <c r="AK20" i="2"/>
  <c r="AM19" i="2"/>
  <c r="AL19" i="2"/>
  <c r="AK19" i="2"/>
  <c r="AM18" i="2"/>
  <c r="AL18" i="2"/>
  <c r="AK18" i="2"/>
  <c r="AM17" i="2"/>
  <c r="AL17" i="2"/>
  <c r="AK17" i="2"/>
  <c r="AN13" i="2"/>
  <c r="AM13" i="2"/>
  <c r="AL13" i="2"/>
  <c r="AK13" i="2"/>
  <c r="AJ13" i="2"/>
  <c r="AN11" i="2"/>
  <c r="AM11" i="2"/>
  <c r="AL11" i="2"/>
  <c r="AK11" i="2"/>
  <c r="AJ11" i="2"/>
  <c r="AK12" i="2"/>
  <c r="AK10" i="2"/>
  <c r="AK9" i="2"/>
  <c r="AK6" i="2"/>
  <c r="AK4" i="2"/>
  <c r="AK3" i="2"/>
  <c r="AL12" i="2"/>
  <c r="AL10" i="2"/>
  <c r="AL9" i="2"/>
  <c r="AL6" i="2"/>
  <c r="AL4" i="2"/>
  <c r="AL3" i="2"/>
  <c r="AM12" i="2"/>
  <c r="AM10" i="2"/>
  <c r="AM9" i="2"/>
  <c r="AM6" i="2"/>
  <c r="AM7" i="2" s="1"/>
  <c r="AM4" i="2"/>
  <c r="AM3" i="2"/>
  <c r="AN12" i="2"/>
  <c r="AN10" i="2"/>
  <c r="AN9" i="2"/>
  <c r="AN6" i="2"/>
  <c r="AN7" i="2" s="1"/>
  <c r="AN4" i="2"/>
  <c r="AN3" i="2"/>
  <c r="AN14" i="2"/>
  <c r="AM14" i="2"/>
  <c r="AL14" i="2"/>
  <c r="AL15" i="2" s="1"/>
  <c r="AK14" i="2"/>
  <c r="AK15" i="2" s="1"/>
  <c r="AJ14" i="2"/>
  <c r="AJ15" i="2" s="1"/>
  <c r="AJ12" i="2"/>
  <c r="AJ10" i="2"/>
  <c r="AJ9" i="2"/>
  <c r="AJ6" i="2"/>
  <c r="AJ4" i="2"/>
  <c r="AJ3" i="2"/>
  <c r="AL7" i="2"/>
  <c r="AK7" i="2"/>
  <c r="AJ7" i="2"/>
  <c r="AC7" i="2"/>
  <c r="AB7" i="2"/>
  <c r="W8" i="2"/>
  <c r="Z7" i="2"/>
  <c r="Y7" i="2"/>
  <c r="X7" i="2"/>
  <c r="W7" i="2"/>
  <c r="V7" i="2"/>
  <c r="U7" i="2"/>
  <c r="T7" i="2"/>
  <c r="S7" i="2"/>
  <c r="R7" i="2"/>
  <c r="Q7" i="2"/>
  <c r="P7" i="2"/>
  <c r="O7" i="2"/>
  <c r="N7" i="2"/>
  <c r="M7" i="2"/>
  <c r="L7" i="2"/>
  <c r="K7" i="2"/>
  <c r="J7" i="2"/>
  <c r="J8" i="2" s="1"/>
  <c r="I7" i="2"/>
  <c r="H7" i="2"/>
  <c r="G7" i="2"/>
  <c r="F7" i="2"/>
  <c r="F8" i="2" s="1"/>
  <c r="E7" i="2"/>
  <c r="D7" i="2"/>
  <c r="C7" i="2"/>
  <c r="AA8" i="2"/>
  <c r="AA7" i="2"/>
  <c r="AD23" i="2"/>
  <c r="AC23" i="2"/>
  <c r="AA23" i="2"/>
  <c r="AD18" i="2"/>
  <c r="AA18" i="2"/>
  <c r="AA17" i="2"/>
  <c r="AA5" i="2"/>
  <c r="AA24" i="2" s="1"/>
  <c r="R23" i="2"/>
  <c r="Q23" i="2"/>
  <c r="P23" i="2"/>
  <c r="O23" i="2"/>
  <c r="N23" i="2"/>
  <c r="M23" i="2"/>
  <c r="L23" i="2"/>
  <c r="K23" i="2"/>
  <c r="J23" i="2"/>
  <c r="I23" i="2"/>
  <c r="H23" i="2"/>
  <c r="G23" i="2"/>
  <c r="R18" i="2"/>
  <c r="Q18" i="2"/>
  <c r="P18" i="2"/>
  <c r="O18" i="2"/>
  <c r="N18" i="2"/>
  <c r="M18" i="2"/>
  <c r="L18" i="2"/>
  <c r="K18" i="2"/>
  <c r="J18" i="2"/>
  <c r="I18" i="2"/>
  <c r="H18" i="2"/>
  <c r="G18" i="2"/>
  <c r="R17" i="2"/>
  <c r="Q17" i="2"/>
  <c r="P17" i="2"/>
  <c r="O17" i="2"/>
  <c r="N17" i="2"/>
  <c r="M17" i="2"/>
  <c r="L17" i="2"/>
  <c r="K17" i="2"/>
  <c r="J17" i="2"/>
  <c r="I17" i="2"/>
  <c r="H17" i="2"/>
  <c r="G17" i="2"/>
  <c r="N5" i="2"/>
  <c r="N19" i="2" s="1"/>
  <c r="M5" i="2"/>
  <c r="M24" i="2" s="1"/>
  <c r="L5" i="2"/>
  <c r="K5" i="2"/>
  <c r="J5" i="2"/>
  <c r="I5" i="2"/>
  <c r="I24" i="2" s="1"/>
  <c r="H5" i="2"/>
  <c r="H24" i="2" s="1"/>
  <c r="G5" i="2"/>
  <c r="F5" i="2"/>
  <c r="E5" i="2"/>
  <c r="E8" i="2" s="1"/>
  <c r="D5" i="2"/>
  <c r="D8" i="2" s="1"/>
  <c r="C5" i="2"/>
  <c r="C24" i="2" s="1"/>
  <c r="Z18" i="2"/>
  <c r="Y18" i="2"/>
  <c r="X18" i="2"/>
  <c r="W18" i="2"/>
  <c r="V18" i="2"/>
  <c r="U18" i="2"/>
  <c r="T18" i="2"/>
  <c r="S18" i="2"/>
  <c r="AQ6" i="2" l="1"/>
  <c r="AQ5" i="2"/>
  <c r="AD17" i="2"/>
  <c r="AD8" i="2"/>
  <c r="AD25" i="2" s="1"/>
  <c r="AC5" i="2"/>
  <c r="AC24" i="2" s="1"/>
  <c r="AC8" i="2"/>
  <c r="AC25" i="2" s="1"/>
  <c r="AB5" i="2"/>
  <c r="AB24" i="2" s="1"/>
  <c r="C8" i="2"/>
  <c r="G8" i="2"/>
  <c r="H8" i="2"/>
  <c r="L19" i="2"/>
  <c r="H19" i="2"/>
  <c r="I8" i="2"/>
  <c r="I25" i="2" s="1"/>
  <c r="J21" i="2"/>
  <c r="AJ5" i="2"/>
  <c r="AK5" i="2"/>
  <c r="AK8" i="2" s="1"/>
  <c r="K8" i="2"/>
  <c r="K25" i="2" s="1"/>
  <c r="L8" i="2"/>
  <c r="M8" i="2"/>
  <c r="AL5" i="2"/>
  <c r="AL8" i="2" s="1"/>
  <c r="N8" i="2"/>
  <c r="N25" i="2" s="1"/>
  <c r="N24" i="2"/>
  <c r="AM5" i="2"/>
  <c r="AM8" i="2" s="1"/>
  <c r="AN5" i="2"/>
  <c r="AN8" i="2" s="1"/>
  <c r="AJ8" i="2"/>
  <c r="J19" i="2"/>
  <c r="K19" i="2"/>
  <c r="G19" i="2"/>
  <c r="J24" i="2"/>
  <c r="M19" i="2"/>
  <c r="E25" i="2"/>
  <c r="F25" i="2"/>
  <c r="I20" i="2"/>
  <c r="D24" i="2"/>
  <c r="J20" i="2"/>
  <c r="E24" i="2"/>
  <c r="K20" i="2"/>
  <c r="F24" i="2"/>
  <c r="L20" i="2"/>
  <c r="G24" i="2"/>
  <c r="H20" i="2"/>
  <c r="M20" i="2"/>
  <c r="N20" i="2"/>
  <c r="G20" i="2"/>
  <c r="I19" i="2"/>
  <c r="G25" i="2"/>
  <c r="K24" i="2"/>
  <c r="J25" i="2"/>
  <c r="L24" i="2"/>
  <c r="S17" i="2"/>
  <c r="W17" i="2"/>
  <c r="V17" i="2"/>
  <c r="BA22" i="2"/>
  <c r="AQ7" i="2" l="1"/>
  <c r="AQ8" i="2" s="1"/>
  <c r="AQ11" i="2" s="1"/>
  <c r="AQ12" i="2" s="1"/>
  <c r="AQ13" i="2" s="1"/>
  <c r="AR5" i="2"/>
  <c r="AD26" i="2"/>
  <c r="AB8" i="2"/>
  <c r="AB11" i="2" s="1"/>
  <c r="L21" i="2"/>
  <c r="H25" i="2"/>
  <c r="I21" i="2"/>
  <c r="M21" i="2"/>
  <c r="K21" i="2"/>
  <c r="K26" i="2"/>
  <c r="L25" i="2"/>
  <c r="L26" i="2"/>
  <c r="M25" i="2"/>
  <c r="N13" i="2"/>
  <c r="N15" i="2" s="1"/>
  <c r="N21" i="2"/>
  <c r="K13" i="2"/>
  <c r="AA25" i="2"/>
  <c r="D25" i="2"/>
  <c r="H26" i="2"/>
  <c r="H13" i="2"/>
  <c r="G26" i="2"/>
  <c r="G13" i="2"/>
  <c r="C25" i="2"/>
  <c r="J26" i="2"/>
  <c r="J13" i="2"/>
  <c r="F26" i="2"/>
  <c r="F13" i="2"/>
  <c r="F15" i="2" s="1"/>
  <c r="H21" i="2"/>
  <c r="E26" i="2"/>
  <c r="E13" i="2"/>
  <c r="E15" i="2" s="1"/>
  <c r="G21" i="2"/>
  <c r="AN18" i="2"/>
  <c r="AO23" i="2"/>
  <c r="Y23" i="2"/>
  <c r="X23" i="2"/>
  <c r="W23" i="2"/>
  <c r="V23" i="2"/>
  <c r="U23" i="2"/>
  <c r="T23" i="2"/>
  <c r="S23" i="2"/>
  <c r="Z23" i="2"/>
  <c r="Y17" i="2"/>
  <c r="X17" i="2"/>
  <c r="U17" i="2"/>
  <c r="T17" i="2"/>
  <c r="Z17" i="2"/>
  <c r="Y5" i="2"/>
  <c r="Y8" i="2" s="1"/>
  <c r="X5" i="2"/>
  <c r="X8" i="2" s="1"/>
  <c r="W5" i="2"/>
  <c r="V5" i="2"/>
  <c r="U5" i="2"/>
  <c r="U8" i="2" s="1"/>
  <c r="T5" i="2"/>
  <c r="S5" i="2"/>
  <c r="R5" i="2"/>
  <c r="R8" i="2" s="1"/>
  <c r="Q5" i="2"/>
  <c r="Q8" i="2" s="1"/>
  <c r="P5" i="2"/>
  <c r="P8" i="2" s="1"/>
  <c r="O5" i="2"/>
  <c r="O8" i="2" s="1"/>
  <c r="AC20" i="2"/>
  <c r="AB20" i="2"/>
  <c r="AA20" i="2"/>
  <c r="R20" i="2"/>
  <c r="Q20" i="2"/>
  <c r="P20" i="2"/>
  <c r="O20" i="2"/>
  <c r="AD20" i="2"/>
  <c r="Z5" i="2"/>
  <c r="Z8" i="2" s="1"/>
  <c r="AR7" i="2" l="1"/>
  <c r="AR8" i="2"/>
  <c r="AR11" i="2" s="1"/>
  <c r="AR12" i="2" s="1"/>
  <c r="AR13" i="2" s="1"/>
  <c r="AS5" i="2"/>
  <c r="AT5" i="2"/>
  <c r="AD13" i="2"/>
  <c r="AD15" i="2" s="1"/>
  <c r="AC15" i="2"/>
  <c r="AB25" i="2"/>
  <c r="I13" i="2"/>
  <c r="I15" i="2" s="1"/>
  <c r="I26" i="2"/>
  <c r="L13" i="2"/>
  <c r="L15" i="2" s="1"/>
  <c r="M26" i="2"/>
  <c r="M13" i="2"/>
  <c r="N26" i="2"/>
  <c r="S24" i="2"/>
  <c r="S8" i="2"/>
  <c r="T24" i="2"/>
  <c r="T8" i="2"/>
  <c r="T13" i="2" s="1"/>
  <c r="V24" i="2"/>
  <c r="V8" i="2"/>
  <c r="V13" i="2" s="1"/>
  <c r="K22" i="2"/>
  <c r="K15" i="2"/>
  <c r="W24" i="2"/>
  <c r="AA19" i="2"/>
  <c r="Z24" i="2"/>
  <c r="AD19" i="2"/>
  <c r="X24" i="2"/>
  <c r="AB19" i="2"/>
  <c r="Y24" i="2"/>
  <c r="AC19" i="2"/>
  <c r="AA26" i="2"/>
  <c r="AA13" i="2"/>
  <c r="AB26" i="2"/>
  <c r="AB13" i="2"/>
  <c r="C26" i="2"/>
  <c r="C13" i="2"/>
  <c r="C15" i="2" s="1"/>
  <c r="G15" i="2"/>
  <c r="P24" i="2"/>
  <c r="P19" i="2"/>
  <c r="J15" i="2"/>
  <c r="J22" i="2"/>
  <c r="N22" i="2"/>
  <c r="H15" i="2"/>
  <c r="Q19" i="2"/>
  <c r="Q24" i="2"/>
  <c r="O24" i="2"/>
  <c r="O19" i="2"/>
  <c r="R24" i="2"/>
  <c r="R19" i="2"/>
  <c r="D26" i="2"/>
  <c r="D13" i="2"/>
  <c r="D15" i="2" s="1"/>
  <c r="AO18" i="2"/>
  <c r="AN23" i="2"/>
  <c r="AP23" i="2"/>
  <c r="AN17" i="2"/>
  <c r="AP17" i="2"/>
  <c r="S20" i="2"/>
  <c r="T20" i="2"/>
  <c r="U19" i="2"/>
  <c r="S19" i="2"/>
  <c r="U20" i="2"/>
  <c r="V20" i="2"/>
  <c r="W20" i="2"/>
  <c r="X20" i="2"/>
  <c r="Y20" i="2"/>
  <c r="Z20" i="2"/>
  <c r="V19" i="2"/>
  <c r="W19" i="2"/>
  <c r="X19" i="2"/>
  <c r="Y19" i="2"/>
  <c r="Z19" i="2"/>
  <c r="U24" i="2"/>
  <c r="T19" i="2"/>
  <c r="U13" i="2"/>
  <c r="AD21" i="2"/>
  <c r="AT19" i="2" l="1"/>
  <c r="AT24" i="2"/>
  <c r="AT7" i="2"/>
  <c r="AS7" i="2"/>
  <c r="AS8" i="2" s="1"/>
  <c r="AS11" i="2" s="1"/>
  <c r="AS12" i="2" s="1"/>
  <c r="AS13" i="2" s="1"/>
  <c r="AC26" i="2"/>
  <c r="I22" i="2"/>
  <c r="L22" i="2"/>
  <c r="M22" i="2"/>
  <c r="M15" i="2"/>
  <c r="G22" i="2"/>
  <c r="AC21" i="2"/>
  <c r="AA21" i="2"/>
  <c r="AB21" i="2"/>
  <c r="AB15" i="2"/>
  <c r="AA15" i="2"/>
  <c r="H22" i="2"/>
  <c r="O25" i="2"/>
  <c r="O21" i="2"/>
  <c r="R25" i="2"/>
  <c r="R21" i="2"/>
  <c r="Q25" i="2"/>
  <c r="Q21" i="2"/>
  <c r="P21" i="2"/>
  <c r="P25" i="2"/>
  <c r="AP18" i="2"/>
  <c r="S13" i="2"/>
  <c r="AP20" i="2"/>
  <c r="AQ23" i="2"/>
  <c r="C11" i="3"/>
  <c r="AN20" i="2"/>
  <c r="AO20" i="2"/>
  <c r="AO24" i="2"/>
  <c r="AP24" i="2"/>
  <c r="AP19" i="2"/>
  <c r="AN24" i="2"/>
  <c r="AN19" i="2"/>
  <c r="AQ17" i="2"/>
  <c r="V25" i="2"/>
  <c r="V21" i="2"/>
  <c r="U25" i="2"/>
  <c r="U21" i="2"/>
  <c r="T21" i="2"/>
  <c r="T25" i="2"/>
  <c r="W25" i="2"/>
  <c r="W21" i="2"/>
  <c r="S25" i="2"/>
  <c r="S21" i="2"/>
  <c r="X25" i="2"/>
  <c r="X21" i="2"/>
  <c r="Y25" i="2"/>
  <c r="Y21" i="2"/>
  <c r="Z21" i="2"/>
  <c r="Z25" i="2"/>
  <c r="C5" i="1" a="1"/>
  <c r="C5" i="1" s="1"/>
  <c r="BA25" i="2" s="1"/>
  <c r="AT8" i="2" l="1"/>
  <c r="AT11" i="2" s="1"/>
  <c r="AT12" i="2" s="1"/>
  <c r="AT20" i="2"/>
  <c r="P13" i="2"/>
  <c r="P26" i="2"/>
  <c r="O13" i="2"/>
  <c r="O22" i="2" s="1"/>
  <c r="O26" i="2"/>
  <c r="Q13" i="2"/>
  <c r="Q26" i="2"/>
  <c r="R13" i="2"/>
  <c r="R22" i="2" s="1"/>
  <c r="R26" i="2"/>
  <c r="AQ18" i="2"/>
  <c r="AP25" i="2"/>
  <c r="AQ20" i="2"/>
  <c r="AP21" i="2"/>
  <c r="AO25" i="2"/>
  <c r="AS20" i="2"/>
  <c r="AR23" i="2"/>
  <c r="AM15" i="2"/>
  <c r="AR17" i="2"/>
  <c r="AN25" i="2"/>
  <c r="AN21" i="2"/>
  <c r="AO21" i="2"/>
  <c r="AQ19" i="2"/>
  <c r="AQ24" i="2"/>
  <c r="AO26" i="2"/>
  <c r="C9" i="3" s="1"/>
  <c r="Z13" i="2"/>
  <c r="AD22" i="2" s="1"/>
  <c r="Z26" i="2"/>
  <c r="S26" i="2"/>
  <c r="W13" i="2"/>
  <c r="AA22" i="2" s="1"/>
  <c r="W26" i="2"/>
  <c r="Y13" i="2"/>
  <c r="AC22" i="2" s="1"/>
  <c r="Y26" i="2"/>
  <c r="T26" i="2"/>
  <c r="X13" i="2"/>
  <c r="AB22" i="2" s="1"/>
  <c r="X26" i="2"/>
  <c r="U26" i="2"/>
  <c r="V26" i="2"/>
  <c r="C7" i="1"/>
  <c r="C4" i="3" s="1"/>
  <c r="AT21" i="2" l="1"/>
  <c r="AT25" i="2"/>
  <c r="AT13" i="2"/>
  <c r="AT26" i="2"/>
  <c r="Q22" i="2"/>
  <c r="Q15" i="2"/>
  <c r="P22" i="2"/>
  <c r="P15" i="2"/>
  <c r="AR20" i="2"/>
  <c r="AR18" i="2"/>
  <c r="AS18" i="2"/>
  <c r="AP26" i="2"/>
  <c r="O15" i="2"/>
  <c r="AS23" i="2"/>
  <c r="AN26" i="2"/>
  <c r="AR24" i="2"/>
  <c r="AR19" i="2"/>
  <c r="AS17" i="2"/>
  <c r="Y15" i="2"/>
  <c r="Y22" i="2"/>
  <c r="Z15" i="2"/>
  <c r="Z22" i="2"/>
  <c r="U15" i="2"/>
  <c r="U22" i="2"/>
  <c r="T15" i="2"/>
  <c r="T22" i="2"/>
  <c r="W15" i="2"/>
  <c r="W22" i="2"/>
  <c r="S15" i="2"/>
  <c r="S22" i="2"/>
  <c r="V15" i="2"/>
  <c r="V22" i="2"/>
  <c r="R15" i="2"/>
  <c r="X15" i="2"/>
  <c r="X22" i="2"/>
  <c r="C5" i="3"/>
  <c r="C7" i="3" s="1"/>
  <c r="AT15" i="2" l="1"/>
  <c r="AT22" i="2"/>
  <c r="AN22" i="2"/>
  <c r="AN15" i="2"/>
  <c r="AQ21" i="2"/>
  <c r="AQ25" i="2"/>
  <c r="AQ26" i="2"/>
  <c r="AQ15" i="2"/>
  <c r="AP22" i="2"/>
  <c r="AS19" i="2"/>
  <c r="AS24" i="2"/>
  <c r="AO22" i="2"/>
  <c r="AR21" i="2"/>
  <c r="AR25" i="2"/>
  <c r="C6" i="3"/>
  <c r="AQ22" i="2" l="1"/>
  <c r="AS21" i="2"/>
  <c r="AS25" i="2"/>
  <c r="C18" i="3"/>
  <c r="BA20" i="2" s="1"/>
  <c r="AR26" i="2" l="1"/>
  <c r="AR22" i="2" l="1"/>
  <c r="AR15" i="2"/>
  <c r="AS26" i="2"/>
  <c r="AS15" i="2"/>
  <c r="AU13" i="2" l="1"/>
  <c r="AV13" i="2" s="1"/>
  <c r="AW13" i="2" s="1"/>
  <c r="AX13" i="2" s="1"/>
  <c r="AY13" i="2" s="1"/>
  <c r="AZ13" i="2" s="1"/>
  <c r="BA13" i="2" s="1"/>
  <c r="BB13" i="2" s="1"/>
  <c r="BC13" i="2" s="1"/>
  <c r="BD13" i="2" s="1"/>
  <c r="BE13" i="2" s="1"/>
  <c r="BF13" i="2" s="1"/>
  <c r="BG13" i="2" s="1"/>
  <c r="BH13" i="2" s="1"/>
  <c r="BI13" i="2" s="1"/>
  <c r="BJ13" i="2" s="1"/>
  <c r="BK13" i="2" s="1"/>
  <c r="BL13" i="2" s="1"/>
  <c r="BM13" i="2" s="1"/>
  <c r="BN13" i="2" s="1"/>
  <c r="BO13" i="2" s="1"/>
  <c r="BP13" i="2" s="1"/>
  <c r="BQ13" i="2" s="1"/>
  <c r="BR13" i="2" s="1"/>
  <c r="BS13" i="2" s="1"/>
  <c r="BT13" i="2" s="1"/>
  <c r="BU13" i="2" s="1"/>
  <c r="BV13" i="2" s="1"/>
  <c r="BW13" i="2" s="1"/>
  <c r="BX13" i="2" s="1"/>
  <c r="BY13" i="2" s="1"/>
  <c r="BZ13" i="2" s="1"/>
  <c r="CA13" i="2" s="1"/>
  <c r="CB13" i="2" s="1"/>
  <c r="CC13" i="2" s="1"/>
  <c r="CD13" i="2" s="1"/>
  <c r="CE13" i="2" s="1"/>
  <c r="CF13" i="2" s="1"/>
  <c r="CG13" i="2" s="1"/>
  <c r="CH13" i="2" s="1"/>
  <c r="CI13" i="2" s="1"/>
  <c r="CJ13" i="2" s="1"/>
  <c r="CK13" i="2" s="1"/>
  <c r="CL13" i="2" s="1"/>
  <c r="CM13" i="2" s="1"/>
  <c r="CN13" i="2" s="1"/>
  <c r="CO13" i="2" s="1"/>
  <c r="CP13" i="2" s="1"/>
  <c r="CQ13" i="2" s="1"/>
  <c r="CR13" i="2" s="1"/>
  <c r="CS13" i="2" s="1"/>
  <c r="CT13" i="2" s="1"/>
  <c r="CU13" i="2" s="1"/>
  <c r="CV13" i="2" s="1"/>
  <c r="CW13" i="2" s="1"/>
  <c r="CX13" i="2" s="1"/>
  <c r="CY13" i="2" s="1"/>
  <c r="CZ13" i="2" s="1"/>
  <c r="DA13" i="2" s="1"/>
  <c r="DB13" i="2" s="1"/>
  <c r="DC13" i="2" s="1"/>
  <c r="DD13" i="2" s="1"/>
  <c r="DE13" i="2" s="1"/>
  <c r="DF13" i="2" s="1"/>
  <c r="DG13" i="2" s="1"/>
  <c r="DH13" i="2" s="1"/>
  <c r="DI13" i="2" s="1"/>
  <c r="DJ13" i="2" s="1"/>
  <c r="DK13" i="2" s="1"/>
  <c r="DL13" i="2" s="1"/>
  <c r="DM13" i="2" s="1"/>
  <c r="DN13" i="2" s="1"/>
  <c r="DO13" i="2" s="1"/>
  <c r="DP13" i="2" s="1"/>
  <c r="DQ13" i="2" s="1"/>
  <c r="DR13" i="2" s="1"/>
  <c r="DS13" i="2" s="1"/>
  <c r="DT13" i="2" s="1"/>
  <c r="DU13" i="2" s="1"/>
  <c r="DV13" i="2" s="1"/>
  <c r="DW13" i="2" s="1"/>
  <c r="DX13" i="2" s="1"/>
  <c r="DY13" i="2" s="1"/>
  <c r="DZ13" i="2" s="1"/>
  <c r="EA13" i="2" s="1"/>
  <c r="EB13" i="2" s="1"/>
  <c r="EC13" i="2" s="1"/>
  <c r="ED13" i="2" s="1"/>
  <c r="EE13" i="2" s="1"/>
  <c r="EF13" i="2" s="1"/>
  <c r="EG13" i="2" s="1"/>
  <c r="EH13" i="2" s="1"/>
  <c r="EI13" i="2" s="1"/>
  <c r="EJ13" i="2" s="1"/>
  <c r="EK13" i="2" s="1"/>
  <c r="EL13" i="2" s="1"/>
  <c r="EM13" i="2" s="1"/>
  <c r="EN13" i="2" s="1"/>
  <c r="EO13" i="2" s="1"/>
  <c r="EP13" i="2" s="1"/>
  <c r="EQ13" i="2" s="1"/>
  <c r="ER13" i="2" s="1"/>
  <c r="ES13" i="2" s="1"/>
  <c r="ET13" i="2" s="1"/>
  <c r="EU13" i="2" s="1"/>
  <c r="EV13" i="2" s="1"/>
  <c r="EW13" i="2" s="1"/>
  <c r="EX13" i="2" s="1"/>
  <c r="EY13" i="2" s="1"/>
  <c r="EZ13" i="2" s="1"/>
  <c r="FA13" i="2" s="1"/>
  <c r="FB13" i="2" s="1"/>
  <c r="FC13" i="2" s="1"/>
  <c r="FD13" i="2" s="1"/>
  <c r="FE13" i="2" s="1"/>
  <c r="FF13" i="2" s="1"/>
  <c r="FG13" i="2" s="1"/>
  <c r="FH13" i="2" s="1"/>
  <c r="FI13" i="2" s="1"/>
  <c r="FJ13" i="2" s="1"/>
  <c r="FK13" i="2" s="1"/>
  <c r="FL13" i="2" s="1"/>
  <c r="FM13" i="2" s="1"/>
  <c r="FN13" i="2" s="1"/>
  <c r="FO13" i="2" s="1"/>
  <c r="FP13" i="2" s="1"/>
  <c r="FQ13" i="2" s="1"/>
  <c r="FR13" i="2" s="1"/>
  <c r="FS13" i="2" s="1"/>
  <c r="FT13" i="2" s="1"/>
  <c r="FU13" i="2" s="1"/>
  <c r="FV13" i="2" s="1"/>
  <c r="FW13" i="2" s="1"/>
  <c r="FX13" i="2" s="1"/>
  <c r="FY13" i="2" s="1"/>
  <c r="FZ13" i="2" s="1"/>
  <c r="GA13" i="2" s="1"/>
  <c r="GB13" i="2" s="1"/>
  <c r="GC13" i="2" s="1"/>
  <c r="GD13" i="2" s="1"/>
  <c r="GE13" i="2" s="1"/>
  <c r="GF13" i="2" s="1"/>
  <c r="GG13" i="2" s="1"/>
  <c r="GH13" i="2" s="1"/>
  <c r="GI13" i="2" s="1"/>
  <c r="GJ13" i="2" s="1"/>
  <c r="GK13" i="2" s="1"/>
  <c r="GL13" i="2" s="1"/>
  <c r="GM13" i="2" s="1"/>
  <c r="GN13" i="2" s="1"/>
  <c r="GO13" i="2" s="1"/>
  <c r="GP13" i="2" s="1"/>
  <c r="GQ13" i="2" s="1"/>
  <c r="GR13" i="2" s="1"/>
  <c r="GS13" i="2" s="1"/>
  <c r="GT13" i="2" s="1"/>
  <c r="GU13" i="2" s="1"/>
  <c r="GV13" i="2" s="1"/>
  <c r="GW13" i="2" s="1"/>
  <c r="GX13" i="2" s="1"/>
  <c r="GY13" i="2" s="1"/>
  <c r="GZ13" i="2" s="1"/>
  <c r="HA13" i="2" s="1"/>
  <c r="HB13" i="2" s="1"/>
  <c r="HC13" i="2" s="1"/>
  <c r="HD13" i="2" s="1"/>
  <c r="HE13" i="2" s="1"/>
  <c r="HF13" i="2" s="1"/>
  <c r="HG13" i="2" s="1"/>
  <c r="HH13" i="2" s="1"/>
  <c r="HI13" i="2" s="1"/>
  <c r="HJ13" i="2" s="1"/>
  <c r="HK13" i="2" s="1"/>
  <c r="HL13" i="2" s="1"/>
  <c r="HM13" i="2" s="1"/>
  <c r="HN13" i="2" s="1"/>
  <c r="HO13" i="2" s="1"/>
  <c r="HP13" i="2" s="1"/>
  <c r="HQ13" i="2" s="1"/>
  <c r="HR13" i="2" s="1"/>
  <c r="HS13" i="2" s="1"/>
  <c r="HT13" i="2" s="1"/>
  <c r="HU13" i="2" s="1"/>
  <c r="HV13" i="2" s="1"/>
  <c r="HW13" i="2" s="1"/>
  <c r="HX13" i="2" s="1"/>
  <c r="HY13" i="2" s="1"/>
  <c r="HZ13" i="2" s="1"/>
  <c r="IA13" i="2" s="1"/>
  <c r="IB13" i="2" s="1"/>
  <c r="IC13" i="2" s="1"/>
  <c r="ID13" i="2" s="1"/>
  <c r="IE13" i="2" s="1"/>
  <c r="IF13" i="2" s="1"/>
  <c r="IG13" i="2" s="1"/>
  <c r="IH13" i="2" s="1"/>
  <c r="II13" i="2" s="1"/>
  <c r="IJ13" i="2" s="1"/>
  <c r="IK13" i="2" s="1"/>
  <c r="IL13" i="2" s="1"/>
  <c r="IM13" i="2" s="1"/>
  <c r="IN13" i="2" s="1"/>
  <c r="IO13" i="2" s="1"/>
  <c r="IP13" i="2" s="1"/>
  <c r="IQ13" i="2" s="1"/>
  <c r="IR13" i="2" s="1"/>
  <c r="IS13" i="2" s="1"/>
  <c r="IT13" i="2" s="1"/>
  <c r="IU13" i="2" s="1"/>
  <c r="IV13" i="2" s="1"/>
  <c r="IW13" i="2" s="1"/>
  <c r="IX13" i="2" s="1"/>
  <c r="IY13" i="2" s="1"/>
  <c r="IZ13" i="2" s="1"/>
  <c r="JA13" i="2" s="1"/>
  <c r="JB13" i="2" s="1"/>
  <c r="JC13" i="2" s="1"/>
  <c r="JD13" i="2" s="1"/>
  <c r="JE13" i="2" s="1"/>
  <c r="JF13" i="2" s="1"/>
  <c r="JG13" i="2" s="1"/>
  <c r="JH13" i="2" s="1"/>
  <c r="JI13" i="2" s="1"/>
  <c r="JJ13" i="2" s="1"/>
  <c r="JK13" i="2" s="1"/>
  <c r="JL13" i="2" s="1"/>
  <c r="JM13" i="2" s="1"/>
  <c r="JN13" i="2" s="1"/>
  <c r="JO13" i="2" s="1"/>
  <c r="JP13" i="2" s="1"/>
  <c r="JQ13" i="2" s="1"/>
  <c r="JR13" i="2" s="1"/>
  <c r="JS13" i="2" s="1"/>
  <c r="JT13" i="2" s="1"/>
  <c r="JU13" i="2" s="1"/>
  <c r="JV13" i="2" s="1"/>
  <c r="JW13" i="2" s="1"/>
  <c r="JX13" i="2" s="1"/>
  <c r="JY13" i="2" s="1"/>
  <c r="JZ13" i="2" s="1"/>
  <c r="KA13" i="2" s="1"/>
  <c r="KB13" i="2" s="1"/>
  <c r="KC13" i="2" s="1"/>
  <c r="KD13" i="2" s="1"/>
  <c r="KE13" i="2" s="1"/>
  <c r="KF13" i="2" s="1"/>
  <c r="KG13" i="2" s="1"/>
  <c r="BA21" i="2" s="1"/>
  <c r="AS22" i="2"/>
  <c r="BA23" i="2" l="1"/>
  <c r="BA24" i="2" s="1"/>
  <c r="BA26"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<sst xmlns="http://schemas.openxmlformats.org/spreadsheetml/2006/main" count="89" uniqueCount="85">
  <si>
    <t>Company</t>
  </si>
  <si>
    <t>Source</t>
  </si>
  <si>
    <t>Price</t>
  </si>
  <si>
    <t>Shares</t>
  </si>
  <si>
    <t>2Q22</t>
  </si>
  <si>
    <t>Market Cap</t>
  </si>
  <si>
    <t>Cash</t>
  </si>
  <si>
    <t>Debt</t>
  </si>
  <si>
    <t>EV</t>
  </si>
  <si>
    <t>3Q22</t>
  </si>
  <si>
    <t>Opex</t>
  </si>
  <si>
    <t>Pretax Income</t>
  </si>
  <si>
    <t>Taxes</t>
  </si>
  <si>
    <t>Net Income</t>
  </si>
  <si>
    <t>Shares Outstanding</t>
  </si>
  <si>
    <t>EPS</t>
  </si>
  <si>
    <t>Cost of Revenue</t>
  </si>
  <si>
    <t>Gross Profit</t>
  </si>
  <si>
    <t>Operating Income</t>
  </si>
  <si>
    <t>1Q21</t>
  </si>
  <si>
    <t>2Q21</t>
  </si>
  <si>
    <t>3Q21</t>
  </si>
  <si>
    <t>4Q21</t>
  </si>
  <si>
    <t>1Q22</t>
  </si>
  <si>
    <t>4Q22</t>
  </si>
  <si>
    <t>Equity</t>
  </si>
  <si>
    <t>D+E</t>
  </si>
  <si>
    <t>Wdebt</t>
  </si>
  <si>
    <t>Wequity</t>
  </si>
  <si>
    <t>Tax rate</t>
  </si>
  <si>
    <t>Interest expense</t>
  </si>
  <si>
    <t>Cost of debt</t>
  </si>
  <si>
    <t>Risk-free rate</t>
  </si>
  <si>
    <t>Beta</t>
  </si>
  <si>
    <t>Market return</t>
  </si>
  <si>
    <t>Cost of equity</t>
  </si>
  <si>
    <t>WACC</t>
  </si>
  <si>
    <t>Revenue Y/Y</t>
  </si>
  <si>
    <t>GP Y/Y</t>
  </si>
  <si>
    <t>Opex Y/Y</t>
  </si>
  <si>
    <t>OI Y/Y</t>
  </si>
  <si>
    <t>Net Income Y/Y</t>
  </si>
  <si>
    <t>Shares Y/Y</t>
  </si>
  <si>
    <t>Gross Margin</t>
  </si>
  <si>
    <t>Operating Margin</t>
  </si>
  <si>
    <t>Tax Rate</t>
  </si>
  <si>
    <t>1Q23</t>
  </si>
  <si>
    <t>2Q23</t>
  </si>
  <si>
    <t>3Q23</t>
  </si>
  <si>
    <t>4Q23</t>
  </si>
  <si>
    <t>Interest Expense</t>
  </si>
  <si>
    <t>Maturity</t>
  </si>
  <si>
    <t>Discount</t>
  </si>
  <si>
    <t>NPV</t>
  </si>
  <si>
    <t>Net Cash</t>
  </si>
  <si>
    <t>Total Value</t>
  </si>
  <si>
    <t>Model Price</t>
  </si>
  <si>
    <t>Current Price</t>
  </si>
  <si>
    <t>Difference</t>
  </si>
  <si>
    <t>Total Revenue</t>
  </si>
  <si>
    <t>Cost of Revenue Y/Y</t>
  </si>
  <si>
    <t>se</t>
  </si>
  <si>
    <t>1Q24</t>
  </si>
  <si>
    <t>1Q18</t>
  </si>
  <si>
    <t>2Q18</t>
  </si>
  <si>
    <t>3Q18</t>
  </si>
  <si>
    <t>4Q18</t>
  </si>
  <si>
    <t>1Q19</t>
  </si>
  <si>
    <t>2Q19</t>
  </si>
  <si>
    <t>3Q19</t>
  </si>
  <si>
    <t>4Q19</t>
  </si>
  <si>
    <t>1Q20</t>
  </si>
  <si>
    <t>2Q20</t>
  </si>
  <si>
    <t>3Q20</t>
  </si>
  <si>
    <t>4Q20</t>
  </si>
  <si>
    <t>2Q24</t>
  </si>
  <si>
    <t>3Q24</t>
  </si>
  <si>
    <t>4Q24</t>
  </si>
  <si>
    <t>SG&amp;A</t>
  </si>
  <si>
    <t>Investment Income/(Expense) &amp; Other</t>
  </si>
  <si>
    <t>10K22</t>
  </si>
  <si>
    <t xml:space="preserve"> </t>
  </si>
  <si>
    <t>5yr t-bond</t>
  </si>
  <si>
    <t>koyfin 2/23/24</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</si>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</sst>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5" x14ac:knownFonts="1">
    <font>
      <sz val="11"/>
      <color theme="1"/>
      <name val="Calibri"/>
      <family val="2"/>
      <scheme val="minor"/>
    </font>
    <font>
      <sz val="11"/>
      <color theme="1"/>
      <name val="Arial"/>
      <family val="2"/>
    </font>
    <font>
      <b/>
      <sz val="11"/>
      <color theme="1"/>
      <name val="Arial"/>
      <family val="2"/>
    </font>
    <font>
      <sz val="11"/>
      <color theme="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3" fillId="0" borderId="0" applyFont="0" applyFill="0" applyBorder="0" applyAlignment="0" applyProtection="0"/>
  </cellStyleXfs>
  <cellXfs count="33">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164" fontId="1" fillId="0" borderId="0" xfId="0" applyNumberFormat="1" applyFont="1" applyAlignment="1">
      <alignment horizontal="right"/>
    </xf>
    <xf numFmtId="0" fontId="1" fillId="0" borderId="1" xfId="0" applyFont="1" applyBorder="1" applyAlignment="1">
      <alignment horizontal="right"/>
    </xf>
    <xf numFmtId="3" fontId="1" fillId="0" borderId="0" xfId="0" applyNumberFormat="1" applyFont="1" applyAlignment="1">
      <alignment horizontal="right"/>
    </xf>
    <xf numFmtId="0" fontId="1" fillId="0" borderId="4" xfId="0" applyFont="1" applyBorder="1" applyAlignment="1">
      <alignment horizontal="right"/>
    </xf>
    <xf numFmtId="0" fontId="1" fillId="0" borderId="5" xfId="0" applyFont="1" applyBorder="1"/>
    <xf numFmtId="3" fontId="1" fillId="0" borderId="6" xfId="0" applyNumberFormat="1" applyFont="1" applyBorder="1" applyAlignment="1">
      <alignment horizontal="right"/>
    </xf>
    <xf numFmtId="0" fontId="1" fillId="0" borderId="5" xfId="0" applyFont="1" applyBorder="1" applyAlignment="1">
      <alignment horizontal="right"/>
    </xf>
    <xf numFmtId="38" fontId="1" fillId="0" borderId="0" xfId="0" applyNumberFormat="1" applyFont="1"/>
    <xf numFmtId="4" fontId="1" fillId="0" borderId="0" xfId="0" applyNumberFormat="1" applyFont="1" applyAlignment="1">
      <alignment horizontal="right"/>
    </xf>
    <xf numFmtId="38" fontId="2" fillId="0" borderId="0" xfId="0" applyNumberFormat="1" applyFont="1"/>
    <xf numFmtId="3" fontId="2" fillId="0" borderId="0" xfId="0" applyNumberFormat="1" applyFont="1" applyAlignment="1">
      <alignment horizontal="right"/>
    </xf>
    <xf numFmtId="1" fontId="1" fillId="0" borderId="0" xfId="0" applyNumberFormat="1" applyFont="1" applyAlignment="1">
      <alignment horizontal="right"/>
    </xf>
    <xf numFmtId="0" fontId="1" fillId="0" borderId="0" xfId="0" applyFont="1"/>
    <xf numFmtId="3" fontId="1" fillId="0" borderId="0" xfId="0" applyNumberFormat="1" applyFont="1"/>
    <xf numFmtId="0" fontId="2" fillId="0" borderId="0" xfId="0" applyFont="1"/>
    <xf numFmtId="10" fontId="2" fillId="0" borderId="0" xfId="0" applyNumberFormat="1" applyFont="1"/>
    <xf numFmtId="10" fontId="1" fillId="0" borderId="0" xfId="0" applyNumberFormat="1" applyFont="1"/>
    <xf numFmtId="10" fontId="2" fillId="0" borderId="0" xfId="1" applyNumberFormat="1" applyFont="1"/>
    <xf numFmtId="9" fontId="1" fillId="0" borderId="0" xfId="0" applyNumberFormat="1" applyFont="1"/>
    <xf numFmtId="9" fontId="1" fillId="0" borderId="0" xfId="0" applyNumberFormat="1" applyFont="1" applyAlignment="1">
      <alignment horizontal="right"/>
    </xf>
    <xf numFmtId="3" fontId="2" fillId="0" borderId="0" xfId="0" applyNumberFormat="1" applyFont="1"/>
    <xf numFmtId="9" fontId="1" fillId="0" borderId="0" xfId="1" applyFont="1"/>
    <xf numFmtId="4" fontId="1" fillId="0" borderId="0" xfId="0" applyNumberFormat="1" applyFont="1"/>
    <xf numFmtId="9" fontId="2" fillId="0" borderId="0" xfId="0" applyNumberFormat="1" applyFont="1"/>
    <xf numFmtId="38"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right"/>
    </xf>
    <xf numFmtId="14" fontId="1" fillId="0" borderId="0" xfId="0" applyNumberFormat="1" applyFont="1"/>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29</xdr:col>
      <xdr:colOff>38735</xdr:colOff>
      <xdr:row>0</xdr:row>
      <xdr:rowOff>36830</xdr:rowOff>
    </xdr:from>
    <xdr:to>
      <xdr:col>29</xdr:col>
      <xdr:colOff>38735</xdr:colOff>
      <xdr:row>29</xdr:row>
      <xdr:rowOff>28575</xdr:rowOff>
    </xdr:to>
    <xdr:cxnSp macro="">
      <xdr:nvCxnSpPr>
        <xdr:cNvPr id="3" name="Straight Connector 2">
          <a:extLst>
            <a:ext uri="{FF2B5EF4-FFF2-40B4-BE49-F238E27FC236}">
              <a16:creationId xmlns:a16="http://schemas.microsoft.com/office/drawing/2014/main" id="{5ED4063F-4B9B-79BA-EFB1-BB1C3EA11BD3}"/>
            </a:ext>
          </a:extLst>
        </xdr:cNvPr>
        <xdr:cNvCxnSpPr/>
      </xdr:nvCxnSpPr>
      <xdr:spPr>
        <a:xfrm>
          <a:off x="21241385" y="36830"/>
          <a:ext cx="0" cy="49637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37465</xdr:colOff>
      <xdr:row>0</xdr:row>
      <xdr:rowOff>62865</xdr:rowOff>
    </xdr:from>
    <xdr:to>
      <xdr:col>41</xdr:col>
      <xdr:colOff>65308</xdr:colOff>
      <xdr:row>30</xdr:row>
      <xdr:rowOff>62865</xdr:rowOff>
    </xdr:to>
    <xdr:cxnSp macro="">
      <xdr:nvCxnSpPr>
        <xdr:cNvPr id="4" name="Straight Connector 3">
          <a:extLst>
            <a:ext uri="{FF2B5EF4-FFF2-40B4-BE49-F238E27FC236}">
              <a16:creationId xmlns:a16="http://schemas.microsoft.com/office/drawing/2014/main" id="{38F742D3-C10B-4D1F-8546-24AD1FA9FB34}"/>
            </a:ext>
          </a:extLst>
        </xdr:cNvPr>
        <xdr:cNvCxnSpPr/>
      </xdr:nvCxnSpPr>
      <xdr:spPr>
        <a:xfrm>
          <a:off x="27669490" y="62865"/>
          <a:ext cx="27843" cy="5143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20Dashboard.xlsx" TargetMode="External"/><Relationship Id="rId1" Type="http://schemas.openxmlformats.org/officeDocument/2006/relationships/externalLinkPath" Target="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Companies"/>
      <sheetName val="Screens"/>
    </sheetNames>
    <sheetDataSet>
      <sheetData sheetId="0">
        <row r="12">
          <cell r="C12">
            <v>4.2999999999999997E-2</v>
          </cell>
        </row>
      </sheetData>
      <sheetData sheetId="1"/>
      <sheetData sheetId="2"/>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https://www.bing.com/financeapi/forcetrigger?t=a1o9gh&amp;q=XNYS%3aBBY&amp;form=skydnc</v>
    <v>Learn more on Bing</v>
  </rv>
  <rv s="1">
    <v>en-US</v>
    <v>a1o9gh</v>
    <v>268435456</v>
    <v>1</v>
    <v>Powered by Refinitiv</v>
    <v>0</v>
    <v>Best Buy Co., Inc. (XNYS:BBY)</v>
    <v>2</v>
    <v>3</v>
    <v>Finance</v>
    <v>4</v>
    <v>85.4</v>
    <v>62.3001</v>
    <v>1.4938</v>
    <v>1.08</v>
    <v>9.1770000000000003E-4</v>
    <v>1.436E-2</v>
    <v>7.0000000000000007E-2</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76.959999999999994</v>
    <v>Specialty Retailers</v>
    <v>Stock</v>
    <v>45345.972778066403</v>
    <v>0</v>
    <v>75.265000000000001</v>
    <v>16430400000</v>
    <v>Best Buy Co., Inc.</v>
    <v>Best Buy Co., Inc.</v>
    <v>75.459999999999994</v>
    <v>12.9802</v>
    <v>75.209999999999994</v>
    <v>76.290000000000006</v>
    <v>76.349999999999994</v>
    <v>215396000</v>
    <v>BBY</v>
    <v>Best Buy Co., Inc. (XNYS:BBY)</v>
    <v>1896013</v>
    <v>2619971</v>
    <v>1966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24738-4970-4D8A-8D89-44099B77F3EC}">
  <dimension ref="B4:D10"/>
  <sheetViews>
    <sheetView workbookViewId="0">
      <selection activeCell="C11" sqref="C11"/>
    </sheetView>
  </sheetViews>
  <sheetFormatPr defaultRowHeight="14.4" x14ac:dyDescent="0.3"/>
  <cols>
    <col min="2" max="2" width="11" bestFit="1" customWidth="1"/>
    <col min="3" max="3" width="41.44140625" bestFit="1" customWidth="1"/>
    <col min="4" max="4" width="7.109375" bestFit="1" customWidth="1"/>
  </cols>
  <sheetData>
    <row r="4" spans="2:4" x14ac:dyDescent="0.3">
      <c r="B4" s="1" t="s">
        <v>0</v>
      </c>
      <c r="C4" s="2" t="e" vm="1">
        <v>#VALUE!</v>
      </c>
      <c r="D4" s="3" t="s">
        <v>1</v>
      </c>
    </row>
    <row r="5" spans="2:4" x14ac:dyDescent="0.3">
      <c r="B5" s="4" t="s">
        <v>2</v>
      </c>
      <c r="C5" s="5" cm="1">
        <f t="array" ref="C5">_FV(C4,"Price")</f>
        <v>76.290000000000006</v>
      </c>
      <c r="D5" s="6"/>
    </row>
    <row r="6" spans="2:4" x14ac:dyDescent="0.3">
      <c r="B6" s="4" t="s">
        <v>3</v>
      </c>
      <c r="C6" s="7">
        <v>218.3</v>
      </c>
      <c r="D6" s="8" t="s">
        <v>76</v>
      </c>
    </row>
    <row r="7" spans="2:4" x14ac:dyDescent="0.3">
      <c r="B7" s="4" t="s">
        <v>5</v>
      </c>
      <c r="C7" s="7">
        <f>C5*C6</f>
        <v>16654.107000000004</v>
      </c>
      <c r="D7" s="8"/>
    </row>
    <row r="8" spans="2:4" x14ac:dyDescent="0.3">
      <c r="B8" s="4" t="s">
        <v>6</v>
      </c>
      <c r="C8" s="7">
        <v>636</v>
      </c>
      <c r="D8" s="8" t="s">
        <v>76</v>
      </c>
    </row>
    <row r="9" spans="2:4" x14ac:dyDescent="0.3">
      <c r="B9" s="4" t="s">
        <v>7</v>
      </c>
      <c r="C9" s="7">
        <f>614+15+2270+1130</f>
        <v>4029</v>
      </c>
      <c r="D9" s="8" t="s">
        <v>76</v>
      </c>
    </row>
    <row r="10" spans="2:4" x14ac:dyDescent="0.3">
      <c r="B10" s="9" t="s">
        <v>8</v>
      </c>
      <c r="C10" s="10">
        <f>C7-C8+C9</f>
        <v>20047.107000000004</v>
      </c>
      <c r="D1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66471-B9AD-43C0-8A5A-94D417171582}">
  <dimension ref="A1:KG40"/>
  <sheetViews>
    <sheetView tabSelected="1" workbookViewId="0">
      <pane xSplit="2" ySplit="2" topLeftCell="AF3" activePane="bottomRight" state="frozen"/>
      <selection pane="topRight" activeCell="C1" sqref="C1"/>
      <selection pane="bottomLeft" activeCell="A3" sqref="A3"/>
      <selection pane="bottomRight" activeCell="AP3" sqref="AP3"/>
    </sheetView>
  </sheetViews>
  <sheetFormatPr defaultColWidth="8.77734375" defaultRowHeight="13.8" x14ac:dyDescent="0.25"/>
  <cols>
    <col min="1" max="1" width="8.77734375" style="12"/>
    <col min="2" max="2" width="36.33203125" style="12" bestFit="1" customWidth="1"/>
    <col min="3" max="4" width="9.88671875" style="12" bestFit="1" customWidth="1"/>
    <col min="5" max="5" width="11" style="12" bestFit="1" customWidth="1"/>
    <col min="6" max="8" width="9.21875" style="12" customWidth="1"/>
    <col min="9" max="9" width="9.88671875" style="12" bestFit="1" customWidth="1"/>
    <col min="10" max="12" width="9.21875" style="12" customWidth="1"/>
    <col min="13" max="13" width="9.88671875" style="12" bestFit="1" customWidth="1"/>
    <col min="14" max="14" width="9.21875" style="12" customWidth="1"/>
    <col min="15" max="15" width="9.109375" style="13" bestFit="1" customWidth="1"/>
    <col min="16" max="16" width="8.77734375" style="13"/>
    <col min="17" max="17" width="11" style="13" bestFit="1" customWidth="1"/>
    <col min="18" max="18" width="9.88671875" style="13" bestFit="1" customWidth="1"/>
    <col min="19" max="19" width="8.77734375" style="13"/>
    <col min="20" max="20" width="9.88671875" style="13" bestFit="1" customWidth="1"/>
    <col min="21" max="21" width="11" style="13" bestFit="1" customWidth="1"/>
    <col min="22" max="24" width="9.88671875" style="13" bestFit="1" customWidth="1"/>
    <col min="25" max="25" width="11" style="13" bestFit="1" customWidth="1"/>
    <col min="26" max="28" width="9.88671875" style="7" bestFit="1" customWidth="1"/>
    <col min="29" max="29" width="11" style="7" bestFit="1" customWidth="1"/>
    <col min="30" max="47" width="8.77734375" style="7"/>
    <col min="48" max="48" width="10.33203125" style="7" customWidth="1"/>
    <col min="49" max="51" width="8.77734375" style="7"/>
    <col min="52" max="52" width="13.21875" style="7" bestFit="1" customWidth="1"/>
    <col min="53" max="16384" width="8.77734375" style="7"/>
  </cols>
  <sheetData>
    <row r="1" spans="1:293" s="30" customFormat="1" x14ac:dyDescent="0.25">
      <c r="A1" s="17"/>
      <c r="B1" s="17"/>
      <c r="C1" s="32">
        <v>42854</v>
      </c>
      <c r="D1" s="32">
        <v>42945</v>
      </c>
      <c r="E1" s="32">
        <v>43036</v>
      </c>
      <c r="F1" s="32">
        <v>43134</v>
      </c>
      <c r="G1" s="32">
        <v>43225</v>
      </c>
      <c r="H1" s="32">
        <v>43316</v>
      </c>
      <c r="I1" s="32">
        <v>43407</v>
      </c>
      <c r="J1" s="32">
        <v>43498</v>
      </c>
      <c r="K1" s="32">
        <v>43589</v>
      </c>
      <c r="L1" s="32">
        <v>43680</v>
      </c>
      <c r="M1" s="32">
        <v>43771</v>
      </c>
      <c r="N1" s="32">
        <v>43831</v>
      </c>
      <c r="O1" s="31">
        <v>43953</v>
      </c>
      <c r="P1" s="31">
        <v>44044</v>
      </c>
      <c r="Q1" s="31">
        <v>44135</v>
      </c>
      <c r="R1" s="31">
        <v>44226</v>
      </c>
      <c r="S1" s="31">
        <v>44317</v>
      </c>
      <c r="T1" s="31">
        <v>44408</v>
      </c>
      <c r="U1" s="31">
        <v>44499</v>
      </c>
      <c r="V1" s="31">
        <v>44590</v>
      </c>
      <c r="W1" s="31">
        <v>44681</v>
      </c>
      <c r="X1" s="31">
        <v>44772</v>
      </c>
      <c r="Y1" s="31">
        <v>44863</v>
      </c>
      <c r="Z1" s="31">
        <v>44954</v>
      </c>
      <c r="AA1" s="31">
        <v>45045</v>
      </c>
      <c r="AB1" s="31">
        <v>45136</v>
      </c>
      <c r="AC1" s="31">
        <v>45227</v>
      </c>
    </row>
    <row r="2" spans="1:293" s="13" customFormat="1" x14ac:dyDescent="0.25">
      <c r="A2" s="12"/>
      <c r="B2" s="12"/>
      <c r="C2" s="29" t="s">
        <v>63</v>
      </c>
      <c r="D2" s="29" t="s">
        <v>64</v>
      </c>
      <c r="E2" s="29" t="s">
        <v>65</v>
      </c>
      <c r="F2" s="29" t="s">
        <v>66</v>
      </c>
      <c r="G2" s="29" t="s">
        <v>67</v>
      </c>
      <c r="H2" s="29" t="s">
        <v>68</v>
      </c>
      <c r="I2" s="29" t="s">
        <v>69</v>
      </c>
      <c r="J2" s="29" t="s">
        <v>70</v>
      </c>
      <c r="K2" s="29" t="s">
        <v>71</v>
      </c>
      <c r="L2" s="29" t="s">
        <v>72</v>
      </c>
      <c r="M2" s="29" t="s">
        <v>73</v>
      </c>
      <c r="N2" s="29" t="s">
        <v>74</v>
      </c>
      <c r="O2" s="13" t="s">
        <v>19</v>
      </c>
      <c r="P2" s="13" t="s">
        <v>20</v>
      </c>
      <c r="Q2" s="13" t="s">
        <v>21</v>
      </c>
      <c r="R2" s="13" t="s">
        <v>22</v>
      </c>
      <c r="S2" s="13" t="s">
        <v>23</v>
      </c>
      <c r="T2" s="13" t="s">
        <v>4</v>
      </c>
      <c r="U2" s="13" t="s">
        <v>9</v>
      </c>
      <c r="V2" s="13" t="s">
        <v>24</v>
      </c>
      <c r="W2" s="13" t="s">
        <v>46</v>
      </c>
      <c r="X2" s="13" t="s">
        <v>47</v>
      </c>
      <c r="Y2" s="13" t="s">
        <v>48</v>
      </c>
      <c r="Z2" s="13" t="s">
        <v>49</v>
      </c>
      <c r="AA2" s="29" t="s">
        <v>62</v>
      </c>
      <c r="AB2" s="29" t="s">
        <v>75</v>
      </c>
      <c r="AC2" s="29" t="s">
        <v>76</v>
      </c>
      <c r="AD2" s="29" t="s">
        <v>77</v>
      </c>
      <c r="AJ2" s="30">
        <v>2018</v>
      </c>
      <c r="AK2" s="30">
        <v>2019</v>
      </c>
      <c r="AL2" s="30">
        <v>2020</v>
      </c>
      <c r="AM2" s="16">
        <v>2021</v>
      </c>
      <c r="AN2" s="16">
        <v>2022</v>
      </c>
      <c r="AO2" s="16">
        <v>2023</v>
      </c>
      <c r="AP2" s="16">
        <v>2024</v>
      </c>
      <c r="AQ2" s="16">
        <v>2025</v>
      </c>
      <c r="AR2" s="16">
        <v>2026</v>
      </c>
      <c r="AS2" s="16">
        <v>2027</v>
      </c>
      <c r="AT2" s="16">
        <v>2028</v>
      </c>
    </row>
    <row r="3" spans="1:293" s="15" customFormat="1" x14ac:dyDescent="0.25">
      <c r="A3" s="14"/>
      <c r="B3" s="14" t="s">
        <v>59</v>
      </c>
      <c r="C3" s="25">
        <v>8528</v>
      </c>
      <c r="D3" s="25">
        <v>8940</v>
      </c>
      <c r="E3" s="25">
        <v>9320</v>
      </c>
      <c r="F3" s="25">
        <v>15363</v>
      </c>
      <c r="G3" s="25">
        <v>9109</v>
      </c>
      <c r="H3" s="25">
        <v>9379</v>
      </c>
      <c r="I3" s="25">
        <v>9590</v>
      </c>
      <c r="J3" s="25">
        <v>14801</v>
      </c>
      <c r="K3" s="25">
        <v>9142</v>
      </c>
      <c r="L3" s="25">
        <v>9536</v>
      </c>
      <c r="M3" s="25">
        <v>9764</v>
      </c>
      <c r="N3" s="25">
        <v>15196</v>
      </c>
      <c r="O3" s="15">
        <v>8562</v>
      </c>
      <c r="P3" s="15">
        <v>9910</v>
      </c>
      <c r="Q3" s="15">
        <v>11853</v>
      </c>
      <c r="R3" s="15">
        <v>16937</v>
      </c>
      <c r="S3" s="15">
        <v>11637</v>
      </c>
      <c r="T3" s="15">
        <v>11849</v>
      </c>
      <c r="U3" s="15">
        <v>11910</v>
      </c>
      <c r="V3" s="15">
        <v>16365</v>
      </c>
      <c r="W3" s="15">
        <v>10647</v>
      </c>
      <c r="X3" s="15">
        <v>10329</v>
      </c>
      <c r="Y3" s="15">
        <v>10587</v>
      </c>
      <c r="Z3" s="15">
        <v>14735</v>
      </c>
      <c r="AA3" s="15">
        <v>9467</v>
      </c>
      <c r="AB3" s="15">
        <v>9583</v>
      </c>
      <c r="AC3" s="15">
        <v>9756</v>
      </c>
      <c r="AD3" s="15">
        <f>Z3*1.03</f>
        <v>15177.050000000001</v>
      </c>
      <c r="AJ3" s="15">
        <f>SUM(C3:F3)</f>
        <v>42151</v>
      </c>
      <c r="AK3" s="15">
        <f>SUM(G3:J3)</f>
        <v>42879</v>
      </c>
      <c r="AL3" s="15">
        <f>SUM(K3:N3)</f>
        <v>43638</v>
      </c>
      <c r="AM3" s="15">
        <f>SUM(O3:R3)</f>
        <v>47262</v>
      </c>
      <c r="AN3" s="15">
        <f>SUM(S3:V3)</f>
        <v>51761</v>
      </c>
      <c r="AO3" s="15">
        <f>SUM(W3:Z3)</f>
        <v>46298</v>
      </c>
      <c r="AP3" s="15">
        <f>SUM(AA3:AD3)</f>
        <v>43983.05</v>
      </c>
      <c r="AQ3" s="15">
        <f>AP3*1.03</f>
        <v>45302.541500000007</v>
      </c>
      <c r="AR3" s="15">
        <f t="shared" ref="AR3:AT3" si="0">AQ3*1.03</f>
        <v>46661.61774500001</v>
      </c>
      <c r="AS3" s="15">
        <f t="shared" si="0"/>
        <v>48061.466277350009</v>
      </c>
      <c r="AT3" s="15">
        <f t="shared" si="0"/>
        <v>49503.310265670509</v>
      </c>
    </row>
    <row r="4" spans="1:293" x14ac:dyDescent="0.25">
      <c r="B4" s="12" t="s">
        <v>16</v>
      </c>
      <c r="C4" s="18">
        <v>6506</v>
      </c>
      <c r="D4" s="18">
        <v>6787</v>
      </c>
      <c r="E4" s="18">
        <v>7040</v>
      </c>
      <c r="F4" s="18">
        <v>11942</v>
      </c>
      <c r="G4" s="18">
        <v>6984</v>
      </c>
      <c r="H4" s="18">
        <v>7150</v>
      </c>
      <c r="I4" s="18">
        <v>7266</v>
      </c>
      <c r="J4" s="18">
        <v>11518</v>
      </c>
      <c r="K4" s="18">
        <v>6973</v>
      </c>
      <c r="L4" s="18">
        <v>7253</v>
      </c>
      <c r="M4" s="18">
        <v>7403</v>
      </c>
      <c r="N4" s="18">
        <v>11961</v>
      </c>
      <c r="O4" s="7">
        <v>6597</v>
      </c>
      <c r="P4" s="7">
        <v>7640</v>
      </c>
      <c r="Q4" s="7">
        <v>9058</v>
      </c>
      <c r="R4" s="7">
        <v>13394</v>
      </c>
      <c r="S4" s="7">
        <v>8922</v>
      </c>
      <c r="T4" s="7">
        <v>9039</v>
      </c>
      <c r="U4" s="7">
        <v>9108</v>
      </c>
      <c r="V4" s="7">
        <v>13052</v>
      </c>
      <c r="W4" s="7">
        <v>8294</v>
      </c>
      <c r="X4" s="7">
        <v>8042</v>
      </c>
      <c r="Y4" s="7">
        <v>8255</v>
      </c>
      <c r="Z4" s="7">
        <v>11795</v>
      </c>
      <c r="AA4" s="7">
        <v>7317</v>
      </c>
      <c r="AB4" s="7">
        <v>7363</v>
      </c>
      <c r="AC4" s="7">
        <v>7524</v>
      </c>
      <c r="AD4" s="7">
        <f>Z4*1.03</f>
        <v>12148.85</v>
      </c>
      <c r="AJ4" s="7">
        <f>SUM(C4:F4)</f>
        <v>32275</v>
      </c>
      <c r="AK4" s="7">
        <f>SUM(G4:J4)</f>
        <v>32918</v>
      </c>
      <c r="AL4" s="7">
        <f>SUM(K4:N4)</f>
        <v>33590</v>
      </c>
      <c r="AM4" s="7">
        <f>SUM(O4:R4)</f>
        <v>36689</v>
      </c>
      <c r="AN4" s="7">
        <f>SUM(S4:V4)</f>
        <v>40121</v>
      </c>
      <c r="AO4" s="7">
        <f>SUM(W4:Z4)</f>
        <v>36386</v>
      </c>
      <c r="AP4" s="7">
        <f>SUM(AA4:AD4)</f>
        <v>34352.85</v>
      </c>
      <c r="AQ4" s="7">
        <f>AP4*1.03</f>
        <v>35383.4355</v>
      </c>
      <c r="AR4" s="7">
        <f t="shared" ref="AR4:AT4" si="1">AQ4*1.03</f>
        <v>36444.938565000004</v>
      </c>
      <c r="AS4" s="7">
        <f t="shared" si="1"/>
        <v>37538.286721950004</v>
      </c>
      <c r="AT4" s="7">
        <f t="shared" si="1"/>
        <v>38664.435323608508</v>
      </c>
    </row>
    <row r="5" spans="1:293" s="15" customFormat="1" x14ac:dyDescent="0.25">
      <c r="A5" s="14"/>
      <c r="B5" s="14" t="s">
        <v>17</v>
      </c>
      <c r="C5" s="15">
        <f t="shared" ref="C5:N5" si="2">C3-C4</f>
        <v>2022</v>
      </c>
      <c r="D5" s="15">
        <f t="shared" si="2"/>
        <v>2153</v>
      </c>
      <c r="E5" s="15">
        <f t="shared" si="2"/>
        <v>2280</v>
      </c>
      <c r="F5" s="15">
        <f t="shared" si="2"/>
        <v>3421</v>
      </c>
      <c r="G5" s="15">
        <f t="shared" si="2"/>
        <v>2125</v>
      </c>
      <c r="H5" s="15">
        <f t="shared" si="2"/>
        <v>2229</v>
      </c>
      <c r="I5" s="15">
        <f t="shared" si="2"/>
        <v>2324</v>
      </c>
      <c r="J5" s="15">
        <f t="shared" si="2"/>
        <v>3283</v>
      </c>
      <c r="K5" s="15">
        <f t="shared" si="2"/>
        <v>2169</v>
      </c>
      <c r="L5" s="15">
        <f t="shared" si="2"/>
        <v>2283</v>
      </c>
      <c r="M5" s="15">
        <f t="shared" si="2"/>
        <v>2361</v>
      </c>
      <c r="N5" s="15">
        <f t="shared" si="2"/>
        <v>3235</v>
      </c>
      <c r="O5" s="15">
        <f t="shared" ref="O5:Y5" si="3">O3-O4</f>
        <v>1965</v>
      </c>
      <c r="P5" s="15">
        <f t="shared" si="3"/>
        <v>2270</v>
      </c>
      <c r="Q5" s="15">
        <f t="shared" si="3"/>
        <v>2795</v>
      </c>
      <c r="R5" s="15">
        <f t="shared" si="3"/>
        <v>3543</v>
      </c>
      <c r="S5" s="15">
        <f t="shared" si="3"/>
        <v>2715</v>
      </c>
      <c r="T5" s="15">
        <f t="shared" si="3"/>
        <v>2810</v>
      </c>
      <c r="U5" s="15">
        <f t="shared" si="3"/>
        <v>2802</v>
      </c>
      <c r="V5" s="15">
        <f t="shared" si="3"/>
        <v>3313</v>
      </c>
      <c r="W5" s="15">
        <f t="shared" si="3"/>
        <v>2353</v>
      </c>
      <c r="X5" s="15">
        <f t="shared" si="3"/>
        <v>2287</v>
      </c>
      <c r="Y5" s="15">
        <f t="shared" si="3"/>
        <v>2332</v>
      </c>
      <c r="Z5" s="15">
        <f>Z3-Z4</f>
        <v>2940</v>
      </c>
      <c r="AA5" s="15">
        <f t="shared" ref="AA5:AD5" si="4">AA3-AA4</f>
        <v>2150</v>
      </c>
      <c r="AB5" s="15">
        <f t="shared" si="4"/>
        <v>2220</v>
      </c>
      <c r="AC5" s="15">
        <f t="shared" si="4"/>
        <v>2232</v>
      </c>
      <c r="AD5" s="15">
        <f t="shared" si="4"/>
        <v>3028.2000000000007</v>
      </c>
      <c r="AJ5" s="15">
        <f t="shared" ref="AJ5:AT5" si="5">AJ3-AJ4</f>
        <v>9876</v>
      </c>
      <c r="AK5" s="15">
        <f t="shared" si="5"/>
        <v>9961</v>
      </c>
      <c r="AL5" s="15">
        <f t="shared" si="5"/>
        <v>10048</v>
      </c>
      <c r="AM5" s="15">
        <f>AM3-AM4</f>
        <v>10573</v>
      </c>
      <c r="AN5" s="15">
        <f>AN3-AN4</f>
        <v>11640</v>
      </c>
      <c r="AO5" s="15">
        <f>AO3-AO4</f>
        <v>9912</v>
      </c>
      <c r="AP5" s="15">
        <f>AP3-AP4</f>
        <v>9630.2000000000044</v>
      </c>
      <c r="AQ5" s="15">
        <f t="shared" si="5"/>
        <v>9919.106000000007</v>
      </c>
      <c r="AR5" s="15">
        <f t="shared" si="5"/>
        <v>10216.679180000006</v>
      </c>
      <c r="AS5" s="15">
        <f t="shared" si="5"/>
        <v>10523.179555400005</v>
      </c>
      <c r="AT5" s="15">
        <f t="shared" si="5"/>
        <v>10838.874942062001</v>
      </c>
    </row>
    <row r="6" spans="1:293" x14ac:dyDescent="0.25">
      <c r="B6" s="12" t="s">
        <v>78</v>
      </c>
      <c r="C6" s="18">
        <v>1722</v>
      </c>
      <c r="D6" s="18">
        <v>1830</v>
      </c>
      <c r="E6" s="18">
        <v>1932</v>
      </c>
      <c r="F6" s="18">
        <v>2539</v>
      </c>
      <c r="G6" s="18">
        <v>1830</v>
      </c>
      <c r="H6" s="18">
        <v>1877</v>
      </c>
      <c r="I6" s="18">
        <v>2002</v>
      </c>
      <c r="J6" s="18">
        <v>2306</v>
      </c>
      <c r="K6" s="18">
        <v>1835</v>
      </c>
      <c r="L6" s="18">
        <v>1922</v>
      </c>
      <c r="M6" s="18">
        <v>1973</v>
      </c>
      <c r="N6" s="18">
        <v>2268</v>
      </c>
      <c r="O6" s="7">
        <v>1735</v>
      </c>
      <c r="P6" s="7">
        <v>1702</v>
      </c>
      <c r="Q6" s="7">
        <v>2123</v>
      </c>
      <c r="R6" s="7">
        <v>2368</v>
      </c>
      <c r="S6" s="7">
        <v>1988</v>
      </c>
      <c r="T6" s="7">
        <v>2009</v>
      </c>
      <c r="U6" s="7">
        <v>2133</v>
      </c>
      <c r="V6" s="7">
        <v>2505</v>
      </c>
      <c r="W6" s="7">
        <v>1890</v>
      </c>
      <c r="X6" s="7">
        <v>1882</v>
      </c>
      <c r="Y6" s="7">
        <v>1941</v>
      </c>
      <c r="Z6" s="7">
        <v>2257</v>
      </c>
      <c r="AA6" s="7">
        <v>1848</v>
      </c>
      <c r="AB6" s="7">
        <v>1879</v>
      </c>
      <c r="AC6" s="7">
        <v>1878</v>
      </c>
      <c r="AD6" s="7">
        <f>Z6*1.03</f>
        <v>2324.71</v>
      </c>
      <c r="AJ6" s="7">
        <f>SUM(C6:F6)</f>
        <v>8023</v>
      </c>
      <c r="AK6" s="7">
        <f>SUM(G6:J6)</f>
        <v>8015</v>
      </c>
      <c r="AL6" s="7">
        <f>SUM(K6:N6)</f>
        <v>7998</v>
      </c>
      <c r="AM6" s="7">
        <f>SUM(O6:R6)</f>
        <v>7928</v>
      </c>
      <c r="AN6" s="7">
        <f>SUM(S6:V6)</f>
        <v>8635</v>
      </c>
      <c r="AO6" s="7">
        <f>SUM(W6:Z6)</f>
        <v>7970</v>
      </c>
      <c r="AP6" s="7">
        <f>SUM(AA6:AD6)</f>
        <v>7929.71</v>
      </c>
      <c r="AQ6" s="7">
        <f>AP6*1.03</f>
        <v>8167.6013000000003</v>
      </c>
      <c r="AR6" s="7">
        <f t="shared" ref="AR6:AT6" si="6">AQ6*1.03</f>
        <v>8412.629339000001</v>
      </c>
      <c r="AS6" s="7">
        <f t="shared" si="6"/>
        <v>8665.0082191700021</v>
      </c>
      <c r="AT6" s="7">
        <f t="shared" si="6"/>
        <v>8924.9584657451032</v>
      </c>
    </row>
    <row r="7" spans="1:293" s="15" customFormat="1" x14ac:dyDescent="0.25">
      <c r="A7" s="14"/>
      <c r="B7" s="14" t="s">
        <v>10</v>
      </c>
      <c r="C7" s="15">
        <f t="shared" ref="C7:Z7" si="7">C6</f>
        <v>1722</v>
      </c>
      <c r="D7" s="15">
        <f t="shared" si="7"/>
        <v>1830</v>
      </c>
      <c r="E7" s="15">
        <f t="shared" si="7"/>
        <v>1932</v>
      </c>
      <c r="F7" s="15">
        <f t="shared" si="7"/>
        <v>2539</v>
      </c>
      <c r="G7" s="15">
        <f t="shared" si="7"/>
        <v>1830</v>
      </c>
      <c r="H7" s="15">
        <f t="shared" si="7"/>
        <v>1877</v>
      </c>
      <c r="I7" s="15">
        <f t="shared" si="7"/>
        <v>2002</v>
      </c>
      <c r="J7" s="15">
        <f t="shared" si="7"/>
        <v>2306</v>
      </c>
      <c r="K7" s="15">
        <f t="shared" si="7"/>
        <v>1835</v>
      </c>
      <c r="L7" s="15">
        <f t="shared" si="7"/>
        <v>1922</v>
      </c>
      <c r="M7" s="15">
        <f t="shared" si="7"/>
        <v>1973</v>
      </c>
      <c r="N7" s="15">
        <f t="shared" si="7"/>
        <v>2268</v>
      </c>
      <c r="O7" s="15">
        <f t="shared" si="7"/>
        <v>1735</v>
      </c>
      <c r="P7" s="15">
        <f t="shared" si="7"/>
        <v>1702</v>
      </c>
      <c r="Q7" s="15">
        <f t="shared" si="7"/>
        <v>2123</v>
      </c>
      <c r="R7" s="15">
        <f t="shared" si="7"/>
        <v>2368</v>
      </c>
      <c r="S7" s="15">
        <f t="shared" si="7"/>
        <v>1988</v>
      </c>
      <c r="T7" s="15">
        <f t="shared" si="7"/>
        <v>2009</v>
      </c>
      <c r="U7" s="15">
        <f t="shared" si="7"/>
        <v>2133</v>
      </c>
      <c r="V7" s="15">
        <f t="shared" si="7"/>
        <v>2505</v>
      </c>
      <c r="W7" s="15">
        <f t="shared" si="7"/>
        <v>1890</v>
      </c>
      <c r="X7" s="15">
        <f t="shared" si="7"/>
        <v>1882</v>
      </c>
      <c r="Y7" s="15">
        <f t="shared" si="7"/>
        <v>1941</v>
      </c>
      <c r="Z7" s="15">
        <f t="shared" si="7"/>
        <v>2257</v>
      </c>
      <c r="AA7" s="15">
        <f>AA6</f>
        <v>1848</v>
      </c>
      <c r="AB7" s="15">
        <f t="shared" ref="AB7:AD7" si="8">AB6</f>
        <v>1879</v>
      </c>
      <c r="AC7" s="15">
        <f t="shared" si="8"/>
        <v>1878</v>
      </c>
      <c r="AD7" s="15">
        <f t="shared" si="8"/>
        <v>2324.71</v>
      </c>
      <c r="AJ7" s="15">
        <f t="shared" ref="AJ7" si="9">AJ6</f>
        <v>8023</v>
      </c>
      <c r="AK7" s="15">
        <f t="shared" ref="AK7" si="10">AK6</f>
        <v>8015</v>
      </c>
      <c r="AL7" s="15">
        <f t="shared" ref="AL7" si="11">AL6</f>
        <v>7998</v>
      </c>
      <c r="AM7" s="15">
        <f t="shared" ref="AM7" si="12">AM6</f>
        <v>7928</v>
      </c>
      <c r="AN7" s="15">
        <f t="shared" ref="AN7" si="13">AN6</f>
        <v>8635</v>
      </c>
      <c r="AO7" s="15">
        <f>AO6</f>
        <v>7970</v>
      </c>
      <c r="AP7" s="15">
        <f>AP6</f>
        <v>7929.71</v>
      </c>
      <c r="AQ7" s="15">
        <f t="shared" ref="AQ7" si="14">AQ6</f>
        <v>8167.6013000000003</v>
      </c>
      <c r="AR7" s="15">
        <f t="shared" ref="AR7" si="15">AR6</f>
        <v>8412.629339000001</v>
      </c>
      <c r="AS7" s="15">
        <f t="shared" ref="AS7" si="16">AS6</f>
        <v>8665.0082191700021</v>
      </c>
      <c r="AT7" s="15">
        <f t="shared" ref="AT7" si="17">AT6</f>
        <v>8924.9584657451032</v>
      </c>
    </row>
    <row r="8" spans="1:293" s="15" customFormat="1" x14ac:dyDescent="0.25">
      <c r="A8" s="14"/>
      <c r="B8" s="14" t="s">
        <v>18</v>
      </c>
      <c r="C8" s="15">
        <f t="shared" ref="C8:Z8" si="18">C5-C7</f>
        <v>300</v>
      </c>
      <c r="D8" s="15">
        <f t="shared" si="18"/>
        <v>323</v>
      </c>
      <c r="E8" s="15">
        <f t="shared" si="18"/>
        <v>348</v>
      </c>
      <c r="F8" s="15">
        <f t="shared" si="18"/>
        <v>882</v>
      </c>
      <c r="G8" s="15">
        <f t="shared" si="18"/>
        <v>295</v>
      </c>
      <c r="H8" s="15">
        <f t="shared" si="18"/>
        <v>352</v>
      </c>
      <c r="I8" s="15">
        <f t="shared" si="18"/>
        <v>322</v>
      </c>
      <c r="J8" s="15">
        <f t="shared" si="18"/>
        <v>977</v>
      </c>
      <c r="K8" s="15">
        <f t="shared" si="18"/>
        <v>334</v>
      </c>
      <c r="L8" s="15">
        <f t="shared" si="18"/>
        <v>361</v>
      </c>
      <c r="M8" s="15">
        <f t="shared" si="18"/>
        <v>388</v>
      </c>
      <c r="N8" s="15">
        <f t="shared" si="18"/>
        <v>967</v>
      </c>
      <c r="O8" s="15">
        <f t="shared" si="18"/>
        <v>230</v>
      </c>
      <c r="P8" s="15">
        <f t="shared" si="18"/>
        <v>568</v>
      </c>
      <c r="Q8" s="15">
        <f t="shared" si="18"/>
        <v>672</v>
      </c>
      <c r="R8" s="15">
        <f t="shared" si="18"/>
        <v>1175</v>
      </c>
      <c r="S8" s="15">
        <f t="shared" si="18"/>
        <v>727</v>
      </c>
      <c r="T8" s="15">
        <f t="shared" si="18"/>
        <v>801</v>
      </c>
      <c r="U8" s="15">
        <f t="shared" si="18"/>
        <v>669</v>
      </c>
      <c r="V8" s="15">
        <f t="shared" si="18"/>
        <v>808</v>
      </c>
      <c r="W8" s="15">
        <f t="shared" si="18"/>
        <v>463</v>
      </c>
      <c r="X8" s="15">
        <f t="shared" si="18"/>
        <v>405</v>
      </c>
      <c r="Y8" s="15">
        <f t="shared" si="18"/>
        <v>391</v>
      </c>
      <c r="Z8" s="15">
        <f t="shared" si="18"/>
        <v>683</v>
      </c>
      <c r="AA8" s="15">
        <f>AA5-AA7</f>
        <v>302</v>
      </c>
      <c r="AB8" s="15">
        <f t="shared" ref="AB8:AD8" si="19">AB5-AB7</f>
        <v>341</v>
      </c>
      <c r="AC8" s="15">
        <f t="shared" si="19"/>
        <v>354</v>
      </c>
      <c r="AD8" s="15">
        <f t="shared" si="19"/>
        <v>703.49000000000069</v>
      </c>
      <c r="AJ8" s="15">
        <f t="shared" ref="AJ8" si="20">AJ5-AJ7</f>
        <v>1853</v>
      </c>
      <c r="AK8" s="15">
        <f t="shared" ref="AK8" si="21">AK5-AK7</f>
        <v>1946</v>
      </c>
      <c r="AL8" s="15">
        <f t="shared" ref="AL8" si="22">AL5-AL7</f>
        <v>2050</v>
      </c>
      <c r="AM8" s="15">
        <f t="shared" ref="AM8" si="23">AM5-AM7</f>
        <v>2645</v>
      </c>
      <c r="AN8" s="15">
        <f t="shared" ref="AN8" si="24">AN5-AN7</f>
        <v>3005</v>
      </c>
      <c r="AO8" s="15">
        <f>AO5-AO7</f>
        <v>1942</v>
      </c>
      <c r="AP8" s="15">
        <f>AP5-AP7</f>
        <v>1700.4900000000043</v>
      </c>
      <c r="AQ8" s="15">
        <f t="shared" ref="AQ8" si="25">AQ5-AQ7</f>
        <v>1751.5047000000068</v>
      </c>
      <c r="AR8" s="15">
        <f t="shared" ref="AR8" si="26">AR5-AR7</f>
        <v>1804.0498410000055</v>
      </c>
      <c r="AS8" s="15">
        <f t="shared" ref="AS8" si="27">AS5-AS7</f>
        <v>1858.1713362300034</v>
      </c>
      <c r="AT8" s="15">
        <f t="shared" ref="AT8" si="28">AT5-AT7</f>
        <v>1913.9164763168974</v>
      </c>
    </row>
    <row r="9" spans="1:293" x14ac:dyDescent="0.25">
      <c r="B9" s="12" t="s">
        <v>79</v>
      </c>
      <c r="C9" s="18">
        <v>11</v>
      </c>
      <c r="D9" s="18">
        <v>7</v>
      </c>
      <c r="E9" s="18">
        <v>12</v>
      </c>
      <c r="F9" s="18">
        <v>18</v>
      </c>
      <c r="G9" s="18">
        <v>11</v>
      </c>
      <c r="H9" s="18">
        <v>13</v>
      </c>
      <c r="I9" s="18">
        <v>11</v>
      </c>
      <c r="J9" s="18">
        <v>14</v>
      </c>
      <c r="K9" s="18">
        <v>14</v>
      </c>
      <c r="L9" s="18">
        <v>10</v>
      </c>
      <c r="M9" s="18">
        <v>9</v>
      </c>
      <c r="N9" s="18">
        <v>14</v>
      </c>
      <c r="O9" s="7">
        <v>6</v>
      </c>
      <c r="P9" s="7">
        <v>8</v>
      </c>
      <c r="Q9" s="7">
        <v>5</v>
      </c>
      <c r="R9" s="7">
        <v>18</v>
      </c>
      <c r="S9" s="7">
        <v>3</v>
      </c>
      <c r="T9" s="7">
        <v>3</v>
      </c>
      <c r="U9" s="7">
        <v>1</v>
      </c>
      <c r="V9" s="7">
        <v>3</v>
      </c>
      <c r="W9" s="7">
        <v>-5</v>
      </c>
      <c r="X9" s="7">
        <v>3</v>
      </c>
      <c r="Y9" s="7">
        <v>4</v>
      </c>
      <c r="Z9" s="7">
        <v>26</v>
      </c>
      <c r="AA9" s="7">
        <v>21</v>
      </c>
      <c r="AB9" s="7">
        <v>12</v>
      </c>
      <c r="AC9" s="7">
        <v>8</v>
      </c>
      <c r="AD9" s="7">
        <f t="shared" ref="AD9:AD10" si="29">Z9</f>
        <v>26</v>
      </c>
      <c r="AJ9" s="7">
        <f t="shared" ref="AJ9:AJ10" si="30">SUM(C9:F9)</f>
        <v>48</v>
      </c>
      <c r="AK9" s="7">
        <f t="shared" ref="AK9:AK10" si="31">SUM(G9:J9)</f>
        <v>49</v>
      </c>
      <c r="AL9" s="7">
        <f t="shared" ref="AL9:AL10" si="32">SUM(K9:N9)</f>
        <v>47</v>
      </c>
      <c r="AM9" s="7">
        <f t="shared" ref="AM9:AM10" si="33">SUM(O9:R9)</f>
        <v>37</v>
      </c>
      <c r="AN9" s="7">
        <f t="shared" ref="AN9:AN10" si="34">SUM(S9:V9)</f>
        <v>10</v>
      </c>
      <c r="AO9" s="7">
        <f>SUM(W9:Z9)</f>
        <v>28</v>
      </c>
      <c r="AP9" s="7">
        <f>SUM(AA9:AD9)</f>
        <v>67</v>
      </c>
      <c r="AQ9" s="7">
        <f t="shared" ref="AQ9:AQ10" si="35">AP9*1.03</f>
        <v>69.010000000000005</v>
      </c>
      <c r="AR9" s="7">
        <f t="shared" ref="AR9:AT9" si="36">AQ9*1.01</f>
        <v>69.700100000000006</v>
      </c>
      <c r="AS9" s="7">
        <f t="shared" si="36"/>
        <v>70.397101000000006</v>
      </c>
      <c r="AT9" s="7">
        <f t="shared" si="36"/>
        <v>71.10107201000001</v>
      </c>
    </row>
    <row r="10" spans="1:293" x14ac:dyDescent="0.25">
      <c r="B10" s="12" t="s">
        <v>50</v>
      </c>
      <c r="C10" s="18">
        <v>19</v>
      </c>
      <c r="D10" s="18">
        <v>18</v>
      </c>
      <c r="E10" s="18">
        <v>20</v>
      </c>
      <c r="F10" s="18">
        <v>18</v>
      </c>
      <c r="G10" s="18">
        <v>19</v>
      </c>
      <c r="H10" s="18">
        <v>19</v>
      </c>
      <c r="I10" s="18">
        <v>15</v>
      </c>
      <c r="J10" s="18">
        <v>20</v>
      </c>
      <c r="K10" s="18">
        <v>18</v>
      </c>
      <c r="L10" s="18">
        <v>16</v>
      </c>
      <c r="M10" s="18">
        <v>16</v>
      </c>
      <c r="N10" s="18">
        <v>14</v>
      </c>
      <c r="O10" s="7">
        <v>17</v>
      </c>
      <c r="P10" s="7">
        <v>15</v>
      </c>
      <c r="Q10" s="7">
        <v>11</v>
      </c>
      <c r="R10" s="7">
        <v>9</v>
      </c>
      <c r="S10" s="7">
        <v>6</v>
      </c>
      <c r="T10" s="7">
        <v>6</v>
      </c>
      <c r="U10" s="7">
        <v>7</v>
      </c>
      <c r="V10" s="7">
        <v>6</v>
      </c>
      <c r="W10" s="7">
        <v>6</v>
      </c>
      <c r="X10" s="7">
        <v>7</v>
      </c>
      <c r="Y10" s="7">
        <v>10</v>
      </c>
      <c r="Z10" s="7">
        <v>12</v>
      </c>
      <c r="AA10" s="7">
        <v>12</v>
      </c>
      <c r="AB10" s="7">
        <v>12</v>
      </c>
      <c r="AC10" s="7">
        <v>14</v>
      </c>
      <c r="AD10" s="7">
        <f t="shared" si="29"/>
        <v>12</v>
      </c>
      <c r="AJ10" s="7">
        <f t="shared" si="30"/>
        <v>75</v>
      </c>
      <c r="AK10" s="7">
        <f t="shared" si="31"/>
        <v>73</v>
      </c>
      <c r="AL10" s="7">
        <f t="shared" si="32"/>
        <v>64</v>
      </c>
      <c r="AM10" s="7">
        <f t="shared" si="33"/>
        <v>52</v>
      </c>
      <c r="AN10" s="7">
        <f t="shared" si="34"/>
        <v>25</v>
      </c>
      <c r="AO10" s="7">
        <f>SUM(W10:Z10)</f>
        <v>35</v>
      </c>
      <c r="AP10" s="7">
        <f>SUM(AA10:AD10)</f>
        <v>50</v>
      </c>
      <c r="AQ10" s="7">
        <f t="shared" si="35"/>
        <v>51.5</v>
      </c>
      <c r="AR10" s="7">
        <f t="shared" ref="AR10:AT10" si="37">AQ10*1.01</f>
        <v>52.015000000000001</v>
      </c>
      <c r="AS10" s="7">
        <f t="shared" si="37"/>
        <v>52.535150000000002</v>
      </c>
      <c r="AT10" s="7">
        <f t="shared" si="37"/>
        <v>53.060501500000001</v>
      </c>
    </row>
    <row r="11" spans="1:293" x14ac:dyDescent="0.25">
      <c r="B11" s="12" t="s">
        <v>11</v>
      </c>
      <c r="C11" s="7">
        <f t="shared" ref="C11:AB11" si="38">C8+C9-C10</f>
        <v>292</v>
      </c>
      <c r="D11" s="7">
        <f t="shared" si="38"/>
        <v>312</v>
      </c>
      <c r="E11" s="7">
        <f t="shared" si="38"/>
        <v>340</v>
      </c>
      <c r="F11" s="7">
        <f t="shared" si="38"/>
        <v>882</v>
      </c>
      <c r="G11" s="7">
        <f t="shared" si="38"/>
        <v>287</v>
      </c>
      <c r="H11" s="7">
        <f t="shared" si="38"/>
        <v>346</v>
      </c>
      <c r="I11" s="7">
        <f t="shared" si="38"/>
        <v>318</v>
      </c>
      <c r="J11" s="7">
        <f t="shared" si="38"/>
        <v>971</v>
      </c>
      <c r="K11" s="7">
        <f t="shared" si="38"/>
        <v>330</v>
      </c>
      <c r="L11" s="7">
        <f t="shared" si="38"/>
        <v>355</v>
      </c>
      <c r="M11" s="7">
        <f t="shared" si="38"/>
        <v>381</v>
      </c>
      <c r="N11" s="7">
        <f t="shared" si="38"/>
        <v>967</v>
      </c>
      <c r="O11" s="7">
        <f t="shared" si="38"/>
        <v>219</v>
      </c>
      <c r="P11" s="7">
        <f t="shared" si="38"/>
        <v>561</v>
      </c>
      <c r="Q11" s="7">
        <f t="shared" si="38"/>
        <v>666</v>
      </c>
      <c r="R11" s="7">
        <f t="shared" si="38"/>
        <v>1184</v>
      </c>
      <c r="S11" s="7">
        <f t="shared" si="38"/>
        <v>724</v>
      </c>
      <c r="T11" s="7">
        <f t="shared" si="38"/>
        <v>798</v>
      </c>
      <c r="U11" s="7">
        <f t="shared" si="38"/>
        <v>663</v>
      </c>
      <c r="V11" s="7">
        <f t="shared" si="38"/>
        <v>805</v>
      </c>
      <c r="W11" s="7">
        <f>W8+W9-W10</f>
        <v>452</v>
      </c>
      <c r="X11" s="7">
        <f t="shared" si="38"/>
        <v>401</v>
      </c>
      <c r="Y11" s="7">
        <f t="shared" si="38"/>
        <v>385</v>
      </c>
      <c r="Z11" s="7">
        <f t="shared" si="38"/>
        <v>697</v>
      </c>
      <c r="AA11" s="7">
        <f t="shared" si="38"/>
        <v>311</v>
      </c>
      <c r="AB11" s="7">
        <f t="shared" si="38"/>
        <v>341</v>
      </c>
      <c r="AC11" s="7">
        <f>AC8+AC9-AC10</f>
        <v>348</v>
      </c>
      <c r="AD11" s="7">
        <f t="shared" ref="AD11" si="39">AD8+AD9-AD10</f>
        <v>717.49000000000069</v>
      </c>
      <c r="AJ11" s="7">
        <f t="shared" ref="AJ11:AT11" si="40">AJ8-AJ9-AJ10</f>
        <v>1730</v>
      </c>
      <c r="AK11" s="7">
        <f t="shared" si="40"/>
        <v>1824</v>
      </c>
      <c r="AL11" s="7">
        <f t="shared" si="40"/>
        <v>1939</v>
      </c>
      <c r="AM11" s="7">
        <f t="shared" si="40"/>
        <v>2556</v>
      </c>
      <c r="AN11" s="7">
        <f t="shared" si="40"/>
        <v>2970</v>
      </c>
      <c r="AO11" s="7">
        <f>AO8-AO9-AO10</f>
        <v>1879</v>
      </c>
      <c r="AP11" s="7">
        <f>AP8-AP9-AP10</f>
        <v>1583.4900000000043</v>
      </c>
      <c r="AQ11" s="7">
        <f t="shared" si="40"/>
        <v>1630.9947000000068</v>
      </c>
      <c r="AR11" s="7">
        <f t="shared" si="40"/>
        <v>1682.3347410000054</v>
      </c>
      <c r="AS11" s="7">
        <f t="shared" si="40"/>
        <v>1735.2390852300034</v>
      </c>
      <c r="AT11" s="7">
        <f t="shared" si="40"/>
        <v>1789.7549028068972</v>
      </c>
    </row>
    <row r="12" spans="1:293" x14ac:dyDescent="0.25">
      <c r="B12" s="12" t="s">
        <v>12</v>
      </c>
      <c r="C12" s="18">
        <v>104</v>
      </c>
      <c r="D12" s="18">
        <v>101</v>
      </c>
      <c r="E12" s="18">
        <v>104</v>
      </c>
      <c r="F12" s="18">
        <v>509</v>
      </c>
      <c r="G12" s="18">
        <v>49</v>
      </c>
      <c r="H12" s="18">
        <v>85</v>
      </c>
      <c r="I12" s="18">
        <v>53</v>
      </c>
      <c r="J12" s="18">
        <v>237</v>
      </c>
      <c r="K12" s="18">
        <v>65</v>
      </c>
      <c r="L12" s="18">
        <v>69</v>
      </c>
      <c r="M12" s="18">
        <v>96</v>
      </c>
      <c r="N12" s="18">
        <v>222</v>
      </c>
      <c r="O12" s="7">
        <v>59</v>
      </c>
      <c r="P12" s="7">
        <v>129</v>
      </c>
      <c r="Q12" s="7">
        <v>164</v>
      </c>
      <c r="R12" s="7">
        <v>227</v>
      </c>
      <c r="S12" s="7">
        <v>172</v>
      </c>
      <c r="T12" s="7">
        <v>64</v>
      </c>
      <c r="U12" s="7">
        <v>166</v>
      </c>
      <c r="V12" s="7">
        <v>172</v>
      </c>
      <c r="W12" s="7">
        <v>110</v>
      </c>
      <c r="X12" s="7">
        <v>58</v>
      </c>
      <c r="Y12" s="7">
        <v>84</v>
      </c>
      <c r="Z12" s="7">
        <v>118</v>
      </c>
      <c r="AA12" s="7">
        <v>75</v>
      </c>
      <c r="AB12" s="7">
        <v>96</v>
      </c>
      <c r="AC12" s="7">
        <v>86</v>
      </c>
      <c r="AD12" s="7">
        <f t="shared" ref="AC12:AD12" si="41">0.24*AD11</f>
        <v>172.19760000000016</v>
      </c>
      <c r="AJ12" s="15">
        <f>SUM(C12:F12)</f>
        <v>818</v>
      </c>
      <c r="AK12" s="15">
        <f>SUM(G12:J12)</f>
        <v>424</v>
      </c>
      <c r="AL12" s="15">
        <f>SUM(K12:N12)</f>
        <v>452</v>
      </c>
      <c r="AM12" s="15">
        <f>SUM(O12:R12)</f>
        <v>579</v>
      </c>
      <c r="AN12" s="7">
        <f>SUM(S12:V12)</f>
        <v>574</v>
      </c>
      <c r="AO12" s="7">
        <f>SUM(W12:Z12)</f>
        <v>370</v>
      </c>
      <c r="AP12" s="7">
        <f>SUM(AA12:AD12)</f>
        <v>429.19760000000019</v>
      </c>
      <c r="AQ12" s="7">
        <f>0.25*AQ11</f>
        <v>407.7486750000017</v>
      </c>
      <c r="AR12" s="7">
        <f t="shared" ref="AR12:AT12" si="42">0.25*AR11</f>
        <v>420.58368525000134</v>
      </c>
      <c r="AS12" s="7">
        <f t="shared" si="42"/>
        <v>433.80977130750085</v>
      </c>
      <c r="AT12" s="7">
        <f t="shared" si="42"/>
        <v>447.43872570172431</v>
      </c>
    </row>
    <row r="13" spans="1:293" s="15" customFormat="1" x14ac:dyDescent="0.25">
      <c r="A13" s="14"/>
      <c r="B13" s="14" t="s">
        <v>13</v>
      </c>
      <c r="C13" s="15">
        <f t="shared" ref="C13:N13" si="43">C11-C12</f>
        <v>188</v>
      </c>
      <c r="D13" s="15">
        <f t="shared" si="43"/>
        <v>211</v>
      </c>
      <c r="E13" s="15">
        <f t="shared" si="43"/>
        <v>236</v>
      </c>
      <c r="F13" s="15">
        <f t="shared" si="43"/>
        <v>373</v>
      </c>
      <c r="G13" s="15">
        <f t="shared" si="43"/>
        <v>238</v>
      </c>
      <c r="H13" s="15">
        <f t="shared" si="43"/>
        <v>261</v>
      </c>
      <c r="I13" s="15">
        <f t="shared" si="43"/>
        <v>265</v>
      </c>
      <c r="J13" s="15">
        <f t="shared" si="43"/>
        <v>734</v>
      </c>
      <c r="K13" s="15">
        <f t="shared" si="43"/>
        <v>265</v>
      </c>
      <c r="L13" s="15">
        <f t="shared" si="43"/>
        <v>286</v>
      </c>
      <c r="M13" s="15">
        <f t="shared" si="43"/>
        <v>285</v>
      </c>
      <c r="N13" s="15">
        <f t="shared" si="43"/>
        <v>745</v>
      </c>
      <c r="O13" s="15">
        <f t="shared" ref="O13:V13" si="44">O11-O12</f>
        <v>160</v>
      </c>
      <c r="P13" s="15">
        <f t="shared" si="44"/>
        <v>432</v>
      </c>
      <c r="Q13" s="15">
        <f t="shared" si="44"/>
        <v>502</v>
      </c>
      <c r="R13" s="15">
        <f t="shared" si="44"/>
        <v>957</v>
      </c>
      <c r="S13" s="15">
        <f t="shared" si="44"/>
        <v>552</v>
      </c>
      <c r="T13" s="15">
        <f t="shared" si="44"/>
        <v>734</v>
      </c>
      <c r="U13" s="15">
        <f t="shared" si="44"/>
        <v>497</v>
      </c>
      <c r="V13" s="15">
        <f t="shared" si="44"/>
        <v>633</v>
      </c>
      <c r="W13" s="15">
        <f t="shared" ref="W13:Y13" si="45">W11-W12</f>
        <v>342</v>
      </c>
      <c r="X13" s="15">
        <f t="shared" si="45"/>
        <v>343</v>
      </c>
      <c r="Y13" s="15">
        <f t="shared" si="45"/>
        <v>301</v>
      </c>
      <c r="Z13" s="15">
        <f>Z11-Z12</f>
        <v>579</v>
      </c>
      <c r="AA13" s="15">
        <f t="shared" ref="AA13:AD13" si="46">AA11-AA12</f>
        <v>236</v>
      </c>
      <c r="AB13" s="15">
        <f t="shared" si="46"/>
        <v>245</v>
      </c>
      <c r="AC13" s="15">
        <f>AC11-AC12</f>
        <v>262</v>
      </c>
      <c r="AD13" s="15">
        <f t="shared" si="46"/>
        <v>545.2924000000005</v>
      </c>
      <c r="AJ13" s="15">
        <f t="shared" ref="AJ13:AT13" si="47">AJ11-AJ12</f>
        <v>912</v>
      </c>
      <c r="AK13" s="15">
        <f t="shared" si="47"/>
        <v>1400</v>
      </c>
      <c r="AL13" s="15">
        <f t="shared" si="47"/>
        <v>1487</v>
      </c>
      <c r="AM13" s="15">
        <f t="shared" si="47"/>
        <v>1977</v>
      </c>
      <c r="AN13" s="15">
        <f t="shared" si="47"/>
        <v>2396</v>
      </c>
      <c r="AO13" s="15">
        <f>AO11-AO12</f>
        <v>1509</v>
      </c>
      <c r="AP13" s="15">
        <f>AP11-AP12</f>
        <v>1154.2924000000041</v>
      </c>
      <c r="AQ13" s="15">
        <f t="shared" si="47"/>
        <v>1223.2460250000051</v>
      </c>
      <c r="AR13" s="15">
        <f t="shared" si="47"/>
        <v>1261.7510557500041</v>
      </c>
      <c r="AS13" s="15">
        <f t="shared" si="47"/>
        <v>1301.4293139225026</v>
      </c>
      <c r="AT13" s="15">
        <f t="shared" si="47"/>
        <v>1342.316177105173</v>
      </c>
      <c r="AU13" s="15">
        <f>AS13*(1+$BA$19)</f>
        <v>1288.4150207832777</v>
      </c>
      <c r="AV13" s="15">
        <f>AU13*(1+$BA$19)</f>
        <v>1275.5308705754449</v>
      </c>
      <c r="AW13" s="15">
        <f>AV13*(1+$BA$19)</f>
        <v>1262.7755618696904</v>
      </c>
      <c r="AX13" s="15">
        <f>AW13*(1+$BA$19)</f>
        <v>1250.1478062509934</v>
      </c>
      <c r="AY13" s="15">
        <f>AX13*(1+$BA$19)</f>
        <v>1237.6463281884835</v>
      </c>
      <c r="AZ13" s="15">
        <f>AY13*(1+$BA$19)</f>
        <v>1225.2698649065987</v>
      </c>
      <c r="BA13" s="15">
        <f>AZ13*(1+$BA$19)</f>
        <v>1213.0171662575328</v>
      </c>
      <c r="BB13" s="15">
        <f>BA13*(1+$BA$19)</f>
        <v>1200.8869945949575</v>
      </c>
      <c r="BC13" s="15">
        <f>BB13*(1+$BA$19)</f>
        <v>1188.878124649008</v>
      </c>
      <c r="BD13" s="15">
        <f>BC13*(1+$BA$19)</f>
        <v>1176.989343402518</v>
      </c>
      <c r="BE13" s="15">
        <f>BD13*(1+$BA$19)</f>
        <v>1165.2194499684929</v>
      </c>
      <c r="BF13" s="15">
        <f>BE13*(1+$BA$19)</f>
        <v>1153.5672554688078</v>
      </c>
      <c r="BG13" s="15">
        <f>BF13*(1+$BA$19)</f>
        <v>1142.0315829141198</v>
      </c>
      <c r="BH13" s="15">
        <f>BG13*(1+$BA$19)</f>
        <v>1130.6112670849786</v>
      </c>
      <c r="BI13" s="15">
        <f>BH13*(1+$BA$19)</f>
        <v>1119.3051544141288</v>
      </c>
      <c r="BJ13" s="15">
        <f>BI13*(1+$BA$19)</f>
        <v>1108.1121028699874</v>
      </c>
      <c r="BK13" s="15">
        <f>BJ13*(1+$BA$19)</f>
        <v>1097.0309818412875</v>
      </c>
      <c r="BL13" s="15">
        <f>BK13*(1+$BA$19)</f>
        <v>1086.0606720228745</v>
      </c>
      <c r="BM13" s="15">
        <f>BL13*(1+$BA$19)</f>
        <v>1075.2000653026457</v>
      </c>
      <c r="BN13" s="15">
        <f>BM13*(1+$BA$19)</f>
        <v>1064.4480646496193</v>
      </c>
      <c r="BO13" s="15">
        <f>BN13*(1+$BA$19)</f>
        <v>1053.803584003123</v>
      </c>
      <c r="BP13" s="15">
        <f>BO13*(1+$BA$19)</f>
        <v>1043.2655481630918</v>
      </c>
      <c r="BQ13" s="15">
        <f>BP13*(1+$BA$19)</f>
        <v>1032.8328926814609</v>
      </c>
      <c r="BR13" s="15">
        <f>BQ13*(1+$BA$19)</f>
        <v>1022.5045637546463</v>
      </c>
      <c r="BS13" s="15">
        <f>BR13*(1+$BA$19)</f>
        <v>1012.2795181170998</v>
      </c>
      <c r="BT13" s="15">
        <f>BS13*(1+$BA$19)</f>
        <v>1002.1567229359288</v>
      </c>
      <c r="BU13" s="15">
        <f>BT13*(1+$BA$19)</f>
        <v>992.13515570656944</v>
      </c>
      <c r="BV13" s="15">
        <f>BU13*(1+$BA$19)</f>
        <v>982.21380414950374</v>
      </c>
      <c r="BW13" s="15">
        <f>BV13*(1+$BA$19)</f>
        <v>972.39166610800874</v>
      </c>
      <c r="BX13" s="15">
        <f>BW13*(1+$BA$19)</f>
        <v>962.66774944692861</v>
      </c>
      <c r="BY13" s="15">
        <f>BX13*(1+$BA$19)</f>
        <v>953.04107195245933</v>
      </c>
      <c r="BZ13" s="15">
        <f>BY13*(1+$BA$19)</f>
        <v>943.51066123293469</v>
      </c>
      <c r="CA13" s="15">
        <f>BZ13*(1+$BA$19)</f>
        <v>934.07555462060532</v>
      </c>
      <c r="CB13" s="15">
        <f>CA13*(1+$BA$19)</f>
        <v>924.73479907439923</v>
      </c>
      <c r="CC13" s="15">
        <f>CB13*(1+$BA$19)</f>
        <v>915.48745108365529</v>
      </c>
      <c r="CD13" s="15">
        <f>CC13*(1+$BA$19)</f>
        <v>906.33257657281877</v>
      </c>
      <c r="CE13" s="15">
        <f>CD13*(1+$BA$19)</f>
        <v>897.26925080709054</v>
      </c>
      <c r="CF13" s="15">
        <f>CE13*(1+$BA$19)</f>
        <v>888.29655829901958</v>
      </c>
      <c r="CG13" s="15">
        <f>CF13*(1+$BA$19)</f>
        <v>879.41359271602937</v>
      </c>
      <c r="CH13" s="15">
        <f>CG13*(1+$BA$19)</f>
        <v>870.61945678886912</v>
      </c>
      <c r="CI13" s="15">
        <f>CH13*(1+$BA$19)</f>
        <v>861.91326222098041</v>
      </c>
      <c r="CJ13" s="15">
        <f>CI13*(1+$BA$19)</f>
        <v>853.29412959877061</v>
      </c>
      <c r="CK13" s="15">
        <f>CJ13*(1+$BA$19)</f>
        <v>844.7611883027829</v>
      </c>
      <c r="CL13" s="15">
        <f>CK13*(1+$BA$19)</f>
        <v>836.31357641975501</v>
      </c>
      <c r="CM13" s="15">
        <f>CL13*(1+$BA$19)</f>
        <v>827.95044065555749</v>
      </c>
      <c r="CN13" s="15">
        <f>CM13*(1+$BA$19)</f>
        <v>819.6709362490019</v>
      </c>
      <c r="CO13" s="15">
        <f>CN13*(1+$BA$19)</f>
        <v>811.47422688651181</v>
      </c>
      <c r="CP13" s="15">
        <f>CO13*(1+$BA$19)</f>
        <v>803.35948461764667</v>
      </c>
      <c r="CQ13" s="15">
        <f>CP13*(1+$BA$19)</f>
        <v>795.3258897714702</v>
      </c>
      <c r="CR13" s="15">
        <f>CQ13*(1+$BA$19)</f>
        <v>787.3726308737555</v>
      </c>
      <c r="CS13" s="15">
        <f>CR13*(1+$BA$19)</f>
        <v>779.49890456501794</v>
      </c>
      <c r="CT13" s="15">
        <f>CS13*(1+$BA$19)</f>
        <v>771.7039155193678</v>
      </c>
      <c r="CU13" s="15">
        <f>CT13*(1+$BA$19)</f>
        <v>763.98687636417412</v>
      </c>
      <c r="CV13" s="15">
        <f>CU13*(1+$BA$19)</f>
        <v>756.34700760053238</v>
      </c>
      <c r="CW13" s="15">
        <f>CV13*(1+$BA$19)</f>
        <v>748.78353752452711</v>
      </c>
      <c r="CX13" s="15">
        <f>CW13*(1+$BA$19)</f>
        <v>741.29570214928185</v>
      </c>
      <c r="CY13" s="15">
        <f>CX13*(1+$BA$19)</f>
        <v>733.88274512778901</v>
      </c>
      <c r="CZ13" s="15">
        <f>CY13*(1+$BA$19)</f>
        <v>726.54391767651111</v>
      </c>
      <c r="DA13" s="15">
        <f>CZ13*(1+$BA$19)</f>
        <v>719.27847849974603</v>
      </c>
      <c r="DB13" s="15">
        <f>DA13*(1+$BA$19)</f>
        <v>712.08569371474857</v>
      </c>
      <c r="DC13" s="15">
        <f>DB13*(1+$BA$19)</f>
        <v>704.96483677760114</v>
      </c>
      <c r="DD13" s="15">
        <f>DC13*(1+$BA$19)</f>
        <v>697.91518840982508</v>
      </c>
      <c r="DE13" s="15">
        <f>DD13*(1+$BA$19)</f>
        <v>690.93603652572688</v>
      </c>
      <c r="DF13" s="15">
        <f>DE13*(1+$BA$19)</f>
        <v>684.02667616046961</v>
      </c>
      <c r="DG13" s="15">
        <f>DF13*(1+$BA$19)</f>
        <v>677.18640939886495</v>
      </c>
      <c r="DH13" s="15">
        <f>DG13*(1+$BA$19)</f>
        <v>670.41454530487624</v>
      </c>
      <c r="DI13" s="15">
        <f>DH13*(1+$BA$19)</f>
        <v>663.71039985182745</v>
      </c>
      <c r="DJ13" s="15">
        <f>DI13*(1+$BA$19)</f>
        <v>657.07329585330922</v>
      </c>
      <c r="DK13" s="15">
        <f>DJ13*(1+$BA$19)</f>
        <v>650.50256289477613</v>
      </c>
      <c r="DL13" s="15">
        <f>DK13*(1+$BA$19)</f>
        <v>643.99753726582833</v>
      </c>
      <c r="DM13" s="15">
        <f>DL13*(1+$BA$19)</f>
        <v>637.55756189317003</v>
      </c>
      <c r="DN13" s="15">
        <f>DM13*(1+$BA$19)</f>
        <v>631.18198627423828</v>
      </c>
      <c r="DO13" s="15">
        <f>DN13*(1+$BA$19)</f>
        <v>624.87016641149592</v>
      </c>
      <c r="DP13" s="15">
        <f>DO13*(1+$BA$19)</f>
        <v>618.62146474738097</v>
      </c>
      <c r="DQ13" s="15">
        <f>DP13*(1+$BA$19)</f>
        <v>612.43525009990719</v>
      </c>
      <c r="DR13" s="15">
        <f>DQ13*(1+$BA$19)</f>
        <v>606.31089759890813</v>
      </c>
      <c r="DS13" s="15">
        <f>DR13*(1+$BA$19)</f>
        <v>600.24778862291907</v>
      </c>
      <c r="DT13" s="15">
        <f>DS13*(1+$BA$19)</f>
        <v>594.24531073668993</v>
      </c>
      <c r="DU13" s="15">
        <f>DT13*(1+$BA$19)</f>
        <v>588.30285762932306</v>
      </c>
      <c r="DV13" s="15">
        <f>DU13*(1+$BA$19)</f>
        <v>582.41982905302984</v>
      </c>
      <c r="DW13" s="15">
        <f>DV13*(1+$BA$19)</f>
        <v>576.59563076249958</v>
      </c>
      <c r="DX13" s="15">
        <f>DW13*(1+$BA$19)</f>
        <v>570.82967445487463</v>
      </c>
      <c r="DY13" s="15">
        <f>DX13*(1+$BA$19)</f>
        <v>565.12137771032587</v>
      </c>
      <c r="DZ13" s="15">
        <f>DY13*(1+$BA$19)</f>
        <v>559.47016393322258</v>
      </c>
      <c r="EA13" s="15">
        <f>DZ13*(1+$BA$19)</f>
        <v>553.87546229389034</v>
      </c>
      <c r="EB13" s="15">
        <f>EA13*(1+$BA$19)</f>
        <v>548.33670767095145</v>
      </c>
      <c r="EC13" s="15">
        <f>EB13*(1+$BA$19)</f>
        <v>542.8533405942419</v>
      </c>
      <c r="ED13" s="15">
        <f>EC13*(1+$BA$19)</f>
        <v>537.4248071882995</v>
      </c>
      <c r="EE13" s="15">
        <f>ED13*(1+$BA$19)</f>
        <v>532.05055911641648</v>
      </c>
      <c r="EF13" s="15">
        <f>EE13*(1+$BA$19)</f>
        <v>526.73005352525229</v>
      </c>
      <c r="EG13" s="15">
        <f>EF13*(1+$BA$19)</f>
        <v>521.46275298999979</v>
      </c>
      <c r="EH13" s="15">
        <f>EG13*(1+$BA$19)</f>
        <v>516.2481254600998</v>
      </c>
      <c r="EI13" s="15">
        <f>EH13*(1+$BA$19)</f>
        <v>511.0856442054988</v>
      </c>
      <c r="EJ13" s="15">
        <f>EI13*(1+$BA$19)</f>
        <v>505.97478776344383</v>
      </c>
      <c r="EK13" s="15">
        <f>EJ13*(1+$BA$19)</f>
        <v>500.91503988580939</v>
      </c>
      <c r="EL13" s="15">
        <f>EK13*(1+$BA$19)</f>
        <v>495.90588948695131</v>
      </c>
      <c r="EM13" s="15">
        <f>EL13*(1+$BA$19)</f>
        <v>490.94683059208177</v>
      </c>
      <c r="EN13" s="15">
        <f>EM13*(1+$BA$19)</f>
        <v>486.03736228616094</v>
      </c>
      <c r="EO13" s="15">
        <f>EN13*(1+$BA$19)</f>
        <v>481.17698866329931</v>
      </c>
      <c r="EP13" s="15">
        <f>EO13*(1+$BA$19)</f>
        <v>476.36521877666632</v>
      </c>
      <c r="EQ13" s="15">
        <f>EP13*(1+$BA$19)</f>
        <v>471.60156658889963</v>
      </c>
      <c r="ER13" s="15">
        <f>EQ13*(1+$BA$19)</f>
        <v>466.88555092301061</v>
      </c>
      <c r="ES13" s="15">
        <f>ER13*(1+$BA$19)</f>
        <v>462.21669541378049</v>
      </c>
      <c r="ET13" s="15">
        <f>ES13*(1+$BA$19)</f>
        <v>457.59452845964267</v>
      </c>
      <c r="EU13" s="15">
        <f>ET13*(1+$BA$19)</f>
        <v>453.01858317504622</v>
      </c>
      <c r="EV13" s="15">
        <f>EU13*(1+$BA$19)</f>
        <v>448.48839734329573</v>
      </c>
      <c r="EW13" s="15">
        <f>EV13*(1+$BA$19)</f>
        <v>444.00351336986279</v>
      </c>
      <c r="EX13" s="15">
        <f>EW13*(1+$BA$19)</f>
        <v>439.56347823616414</v>
      </c>
      <c r="EY13" s="15">
        <f>EX13*(1+$BA$19)</f>
        <v>435.1678434538025</v>
      </c>
      <c r="EZ13" s="15">
        <f>EY13*(1+$BA$19)</f>
        <v>430.81616501926447</v>
      </c>
      <c r="FA13" s="15">
        <f>EZ13*(1+$BA$19)</f>
        <v>426.50800336907184</v>
      </c>
      <c r="FB13" s="15">
        <f>FA13*(1+$BA$19)</f>
        <v>422.24292333538114</v>
      </c>
      <c r="FC13" s="15">
        <f>FB13*(1+$BA$19)</f>
        <v>418.02049410202733</v>
      </c>
      <c r="FD13" s="15">
        <f>FC13*(1+$BA$19)</f>
        <v>413.84028916100704</v>
      </c>
      <c r="FE13" s="15">
        <f>FD13*(1+$BA$19)</f>
        <v>409.70188626939694</v>
      </c>
      <c r="FF13" s="15">
        <f>FE13*(1+$BA$19)</f>
        <v>405.60486740670297</v>
      </c>
      <c r="FG13" s="15">
        <f>FF13*(1+$BA$19)</f>
        <v>401.54881873263594</v>
      </c>
      <c r="FH13" s="15">
        <f>FG13*(1+$BA$19)</f>
        <v>397.53333054530958</v>
      </c>
      <c r="FI13" s="15">
        <f>FH13*(1+$BA$19)</f>
        <v>393.55799723985649</v>
      </c>
      <c r="FJ13" s="15">
        <f>FI13*(1+$BA$19)</f>
        <v>389.62241726745793</v>
      </c>
      <c r="FK13" s="15">
        <f>FJ13*(1+$BA$19)</f>
        <v>385.72619309478335</v>
      </c>
      <c r="FL13" s="15">
        <f>FK13*(1+$BA$19)</f>
        <v>381.8689311638355</v>
      </c>
      <c r="FM13" s="15">
        <f>FL13*(1+$BA$19)</f>
        <v>378.05024185219713</v>
      </c>
      <c r="FN13" s="15">
        <f>FM13*(1+$BA$19)</f>
        <v>374.26973943367517</v>
      </c>
      <c r="FO13" s="15">
        <f>FN13*(1+$BA$19)</f>
        <v>370.52704203933843</v>
      </c>
      <c r="FP13" s="15">
        <f>FO13*(1+$BA$19)</f>
        <v>366.82177161894504</v>
      </c>
      <c r="FQ13" s="15">
        <f>FP13*(1+$BA$19)</f>
        <v>363.15355390275556</v>
      </c>
      <c r="FR13" s="15">
        <f>FQ13*(1+$BA$19)</f>
        <v>359.52201836372802</v>
      </c>
      <c r="FS13" s="15">
        <f>FR13*(1+$BA$19)</f>
        <v>355.92679818009071</v>
      </c>
      <c r="FT13" s="15">
        <f>FS13*(1+$BA$19)</f>
        <v>352.36753019828978</v>
      </c>
      <c r="FU13" s="15">
        <f>FT13*(1+$BA$19)</f>
        <v>348.84385489630688</v>
      </c>
      <c r="FV13" s="15">
        <f>FU13*(1+$BA$19)</f>
        <v>345.35541634734381</v>
      </c>
      <c r="FW13" s="15">
        <f>FV13*(1+$BA$19)</f>
        <v>341.90186218387038</v>
      </c>
      <c r="FX13" s="15">
        <f>FW13*(1+$BA$19)</f>
        <v>338.48284356203169</v>
      </c>
      <c r="FY13" s="15">
        <f>FX13*(1+$BA$19)</f>
        <v>335.09801512641138</v>
      </c>
      <c r="FZ13" s="15">
        <f>FY13*(1+$BA$19)</f>
        <v>331.74703497514724</v>
      </c>
      <c r="GA13" s="15">
        <f>FZ13*(1+$BA$19)</f>
        <v>328.42956462539576</v>
      </c>
      <c r="GB13" s="15">
        <f>GA13*(1+$BA$19)</f>
        <v>325.1452689791418</v>
      </c>
      <c r="GC13" s="15">
        <f>GB13*(1+$BA$19)</f>
        <v>321.89381628935035</v>
      </c>
      <c r="GD13" s="15">
        <f>GC13*(1+$BA$19)</f>
        <v>318.67487812645686</v>
      </c>
      <c r="GE13" s="15">
        <f>GD13*(1+$BA$19)</f>
        <v>315.48812934519231</v>
      </c>
      <c r="GF13" s="15">
        <f>GE13*(1+$BA$19)</f>
        <v>312.33324805174038</v>
      </c>
      <c r="GG13" s="15">
        <f>GF13*(1+$BA$19)</f>
        <v>309.20991557122295</v>
      </c>
      <c r="GH13" s="15">
        <f>GG13*(1+$BA$19)</f>
        <v>306.11781641551073</v>
      </c>
      <c r="GI13" s="15">
        <f>GH13*(1+$BA$19)</f>
        <v>303.05663825135559</v>
      </c>
      <c r="GJ13" s="15">
        <f>GI13*(1+$BA$19)</f>
        <v>300.02607186884205</v>
      </c>
      <c r="GK13" s="15">
        <f>GJ13*(1+$BA$19)</f>
        <v>297.02581115015363</v>
      </c>
      <c r="GL13" s="15">
        <f>GK13*(1+$BA$19)</f>
        <v>294.05555303865208</v>
      </c>
      <c r="GM13" s="15">
        <f>GL13*(1+$BA$19)</f>
        <v>291.11499750826556</v>
      </c>
      <c r="GN13" s="15">
        <f>GM13*(1+$BA$19)</f>
        <v>288.20384753318291</v>
      </c>
      <c r="GO13" s="15">
        <f>GN13*(1+$BA$19)</f>
        <v>285.32180905785106</v>
      </c>
      <c r="GP13" s="15">
        <f>GO13*(1+$BA$19)</f>
        <v>282.46859096727252</v>
      </c>
      <c r="GQ13" s="15">
        <f>GP13*(1+$BA$19)</f>
        <v>279.6439050575998</v>
      </c>
      <c r="GR13" s="15">
        <f>GQ13*(1+$BA$19)</f>
        <v>276.8474660070238</v>
      </c>
      <c r="GS13" s="15">
        <f>GR13*(1+$BA$19)</f>
        <v>274.07899134695356</v>
      </c>
      <c r="GT13" s="15">
        <f>GS13*(1+$BA$19)</f>
        <v>271.33820143348402</v>
      </c>
      <c r="GU13" s="15">
        <f>GT13*(1+$BA$19)</f>
        <v>268.62481941914916</v>
      </c>
      <c r="GV13" s="15">
        <f>GU13*(1+$BA$19)</f>
        <v>265.93857122495768</v>
      </c>
      <c r="GW13" s="15">
        <f>GV13*(1+$BA$19)</f>
        <v>263.27918551270812</v>
      </c>
      <c r="GX13" s="15">
        <f>GW13*(1+$BA$19)</f>
        <v>260.64639365758103</v>
      </c>
      <c r="GY13" s="15">
        <f>GX13*(1+$BA$19)</f>
        <v>258.03992972100519</v>
      </c>
      <c r="GZ13" s="15">
        <f>GY13*(1+$BA$19)</f>
        <v>255.45953042379514</v>
      </c>
      <c r="HA13" s="15">
        <f>GZ13*(1+$BA$19)</f>
        <v>252.90493511955719</v>
      </c>
      <c r="HB13" s="15">
        <f>HA13*(1+$BA$19)</f>
        <v>250.37588576836163</v>
      </c>
      <c r="HC13" s="15">
        <f>HB13*(1+$BA$19)</f>
        <v>247.87212691067802</v>
      </c>
      <c r="HD13" s="15">
        <f>HC13*(1+$BA$19)</f>
        <v>245.39340564157123</v>
      </c>
      <c r="HE13" s="15">
        <f>HD13*(1+$BA$19)</f>
        <v>242.93947158515553</v>
      </c>
      <c r="HF13" s="15">
        <f>HE13*(1+$BA$19)</f>
        <v>240.51007686930399</v>
      </c>
      <c r="HG13" s="15">
        <f>HF13*(1+$BA$19)</f>
        <v>238.10497610061094</v>
      </c>
      <c r="HH13" s="15">
        <f>HG13*(1+$BA$19)</f>
        <v>235.72392633960482</v>
      </c>
      <c r="HI13" s="15">
        <f>HH13*(1+$BA$19)</f>
        <v>233.36668707620876</v>
      </c>
      <c r="HJ13" s="15">
        <f>HI13*(1+$BA$19)</f>
        <v>231.03302020544666</v>
      </c>
      <c r="HK13" s="15">
        <f>HJ13*(1+$BA$19)</f>
        <v>228.72269000339219</v>
      </c>
      <c r="HL13" s="15">
        <f>HK13*(1+$BA$19)</f>
        <v>226.43546310335827</v>
      </c>
      <c r="HM13" s="15">
        <f>HL13*(1+$BA$19)</f>
        <v>224.17110847232468</v>
      </c>
      <c r="HN13" s="15">
        <f>HM13*(1+$BA$19)</f>
        <v>221.92939738760143</v>
      </c>
      <c r="HO13" s="15">
        <f>HN13*(1+$BA$19)</f>
        <v>219.71010341372542</v>
      </c>
      <c r="HP13" s="15">
        <f>HO13*(1+$BA$19)</f>
        <v>217.51300237958816</v>
      </c>
      <c r="HQ13" s="15">
        <f>HP13*(1+$BA$19)</f>
        <v>215.33787235579229</v>
      </c>
      <c r="HR13" s="15">
        <f>HQ13*(1+$BA$19)</f>
        <v>213.18449363223436</v>
      </c>
      <c r="HS13" s="15">
        <f>HR13*(1+$BA$19)</f>
        <v>211.05264869591201</v>
      </c>
      <c r="HT13" s="15">
        <f>HS13*(1+$BA$19)</f>
        <v>208.9421222089529</v>
      </c>
      <c r="HU13" s="15">
        <f>HT13*(1+$BA$19)</f>
        <v>206.85270098686337</v>
      </c>
      <c r="HV13" s="15">
        <f>HU13*(1+$BA$19)</f>
        <v>204.78417397699474</v>
      </c>
      <c r="HW13" s="15">
        <f>HV13*(1+$BA$19)</f>
        <v>202.73633223722479</v>
      </c>
      <c r="HX13" s="15">
        <f>HW13*(1+$BA$19)</f>
        <v>200.70896891485253</v>
      </c>
      <c r="HY13" s="15">
        <f>HX13*(1+$BA$19)</f>
        <v>198.701879225704</v>
      </c>
      <c r="HZ13" s="15">
        <f>HY13*(1+$BA$19)</f>
        <v>196.71486043344697</v>
      </c>
      <c r="IA13" s="15">
        <f>HZ13*(1+$BA$19)</f>
        <v>194.74771182911249</v>
      </c>
      <c r="IB13" s="15">
        <f>IA13*(1+$BA$19)</f>
        <v>192.80023471082137</v>
      </c>
      <c r="IC13" s="15">
        <f>IB13*(1+$BA$19)</f>
        <v>190.87223236371315</v>
      </c>
      <c r="ID13" s="15">
        <f>IC13*(1+$BA$19)</f>
        <v>188.96351004007602</v>
      </c>
      <c r="IE13" s="15">
        <f>ID13*(1+$BA$19)</f>
        <v>187.07387493967525</v>
      </c>
      <c r="IF13" s="15">
        <f>IE13*(1+$BA$19)</f>
        <v>185.20313619027849</v>
      </c>
      <c r="IG13" s="15">
        <f>IF13*(1+$BA$19)</f>
        <v>183.3511048283757</v>
      </c>
      <c r="IH13" s="15">
        <f>IG13*(1+$BA$19)</f>
        <v>181.51759378009194</v>
      </c>
      <c r="II13" s="15">
        <f>IH13*(1+$BA$19)</f>
        <v>179.70241784229103</v>
      </c>
      <c r="IJ13" s="15">
        <f>II13*(1+$BA$19)</f>
        <v>177.90539366386813</v>
      </c>
      <c r="IK13" s="15">
        <f>IJ13*(1+$BA$19)</f>
        <v>176.12633972722944</v>
      </c>
      <c r="IL13" s="15">
        <f>IK13*(1+$BA$19)</f>
        <v>174.36507632995713</v>
      </c>
      <c r="IM13" s="15">
        <f>IL13*(1+$BA$19)</f>
        <v>172.62142556665756</v>
      </c>
      <c r="IN13" s="15">
        <f>IM13*(1+$BA$19)</f>
        <v>170.89521131099099</v>
      </c>
      <c r="IO13" s="15">
        <f>IN13*(1+$BA$19)</f>
        <v>169.18625919788107</v>
      </c>
      <c r="IP13" s="15">
        <f>IO13*(1+$BA$19)</f>
        <v>167.49439660590227</v>
      </c>
      <c r="IQ13" s="15">
        <f>IP13*(1+$BA$19)</f>
        <v>165.81945263984323</v>
      </c>
      <c r="IR13" s="15">
        <f>IQ13*(1+$BA$19)</f>
        <v>164.1612581134448</v>
      </c>
      <c r="IS13" s="15">
        <f>IR13*(1+$BA$19)</f>
        <v>162.51964553231036</v>
      </c>
      <c r="IT13" s="15">
        <f>IS13*(1+$BA$19)</f>
        <v>160.89444907698726</v>
      </c>
      <c r="IU13" s="15">
        <f>IT13*(1+$BA$19)</f>
        <v>159.28550458621737</v>
      </c>
      <c r="IV13" s="15">
        <f>IU13*(1+$BA$19)</f>
        <v>157.69264954035521</v>
      </c>
      <c r="IW13" s="15">
        <f>IV13*(1+$BA$19)</f>
        <v>156.11572304495166</v>
      </c>
      <c r="IX13" s="15">
        <f>IW13*(1+$BA$19)</f>
        <v>154.55456581450215</v>
      </c>
      <c r="IY13" s="15">
        <f>IX13*(1+$BA$19)</f>
        <v>153.00902015635714</v>
      </c>
      <c r="IZ13" s="15">
        <f>IY13*(1+$BA$19)</f>
        <v>151.47892995479356</v>
      </c>
      <c r="JA13" s="15">
        <f>IZ13*(1+$BA$19)</f>
        <v>149.96414065524561</v>
      </c>
      <c r="JB13" s="15">
        <f>JA13*(1+$BA$19)</f>
        <v>148.46449924869316</v>
      </c>
      <c r="JC13" s="15">
        <f>JB13*(1+$BA$19)</f>
        <v>146.97985425620624</v>
      </c>
      <c r="JD13" s="15">
        <f>JC13*(1+$BA$19)</f>
        <v>145.51005571364416</v>
      </c>
      <c r="JE13" s="15">
        <f>JD13*(1+$BA$19)</f>
        <v>144.05495515650773</v>
      </c>
      <c r="JF13" s="15">
        <f>JE13*(1+$BA$19)</f>
        <v>142.61440560494265</v>
      </c>
      <c r="JG13" s="15">
        <f>JF13*(1+$BA$19)</f>
        <v>141.18826154889322</v>
      </c>
      <c r="JH13" s="15">
        <f>JG13*(1+$BA$19)</f>
        <v>139.77637893340429</v>
      </c>
      <c r="JI13" s="15">
        <f>JH13*(1+$BA$19)</f>
        <v>138.37861514407024</v>
      </c>
      <c r="JJ13" s="15">
        <f>JI13*(1+$BA$19)</f>
        <v>136.99482899262952</v>
      </c>
      <c r="JK13" s="15">
        <f>JJ13*(1+$BA$19)</f>
        <v>135.62488070270322</v>
      </c>
      <c r="JL13" s="15">
        <f>JK13*(1+$BA$19)</f>
        <v>134.26863189567618</v>
      </c>
      <c r="JM13" s="15">
        <f>JL13*(1+$BA$19)</f>
        <v>132.92594557671941</v>
      </c>
      <c r="JN13" s="15">
        <f>JM13*(1+$BA$19)</f>
        <v>131.59668612095223</v>
      </c>
      <c r="JO13" s="15">
        <f>JN13*(1+$BA$19)</f>
        <v>130.28071925974271</v>
      </c>
      <c r="JP13" s="15">
        <f>JO13*(1+$BA$19)</f>
        <v>128.97791206714527</v>
      </c>
      <c r="JQ13" s="15">
        <f>JP13*(1+$BA$19)</f>
        <v>127.68813294647381</v>
      </c>
      <c r="JR13" s="15">
        <f>JQ13*(1+$BA$19)</f>
        <v>126.41125161700907</v>
      </c>
      <c r="JS13" s="15">
        <f>JR13*(1+$BA$19)</f>
        <v>125.14713910083898</v>
      </c>
      <c r="JT13" s="15">
        <f>JS13*(1+$BA$19)</f>
        <v>123.89566770983059</v>
      </c>
      <c r="JU13" s="15">
        <f>JT13*(1+$BA$19)</f>
        <v>122.65671103273229</v>
      </c>
      <c r="JV13" s="15">
        <f>JU13*(1+$BA$19)</f>
        <v>121.43014392240497</v>
      </c>
      <c r="JW13" s="15">
        <f>JV13*(1+$BA$19)</f>
        <v>120.21584248318092</v>
      </c>
      <c r="JX13" s="15">
        <f>JW13*(1+$BA$19)</f>
        <v>119.01368405834911</v>
      </c>
      <c r="JY13" s="15">
        <f>JX13*(1+$BA$19)</f>
        <v>117.82354721776562</v>
      </c>
      <c r="JZ13" s="15">
        <f>JY13*(1+$BA$19)</f>
        <v>116.64531174558796</v>
      </c>
      <c r="KA13" s="15">
        <f>JZ13*(1+$BA$19)</f>
        <v>115.47885862813207</v>
      </c>
      <c r="KB13" s="15">
        <f>KA13*(1+$BA$19)</f>
        <v>114.32407004185075</v>
      </c>
      <c r="KC13" s="15">
        <f>KB13*(1+$BA$19)</f>
        <v>113.18082934143224</v>
      </c>
      <c r="KD13" s="15">
        <f>KC13*(1+$BA$19)</f>
        <v>112.04902104801792</v>
      </c>
      <c r="KE13" s="15">
        <f>KD13*(1+$BA$19)</f>
        <v>110.92853083753774</v>
      </c>
      <c r="KF13" s="15">
        <f>KE13*(1+$BA$19)</f>
        <v>109.81924552916236</v>
      </c>
      <c r="KG13" s="15">
        <f>KF13*(1+$BA$19)</f>
        <v>108.72105307387073</v>
      </c>
    </row>
    <row r="14" spans="1:293" x14ac:dyDescent="0.25">
      <c r="B14" s="12" t="s">
        <v>14</v>
      </c>
      <c r="C14" s="18">
        <v>315</v>
      </c>
      <c r="D14" s="18">
        <v>310.8</v>
      </c>
      <c r="E14" s="18">
        <v>305.39999999999998</v>
      </c>
      <c r="F14" s="18">
        <v>296.7</v>
      </c>
      <c r="G14" s="18">
        <v>288.3</v>
      </c>
      <c r="H14" s="18">
        <v>283.7</v>
      </c>
      <c r="I14" s="18">
        <v>279.3</v>
      </c>
      <c r="J14" s="18">
        <v>273.39999999999998</v>
      </c>
      <c r="K14" s="18">
        <v>271.5</v>
      </c>
      <c r="L14" s="18">
        <v>269.39999999999998</v>
      </c>
      <c r="M14" s="18">
        <v>265.2</v>
      </c>
      <c r="N14" s="18">
        <v>262.39999999999998</v>
      </c>
      <c r="O14" s="7">
        <v>260.39999999999998</v>
      </c>
      <c r="P14" s="7">
        <v>262.10000000000002</v>
      </c>
      <c r="Q14" s="7">
        <v>263.7</v>
      </c>
      <c r="R14" s="7">
        <v>263.2</v>
      </c>
      <c r="S14" s="7">
        <v>256.7</v>
      </c>
      <c r="T14" s="7">
        <v>252.8</v>
      </c>
      <c r="U14" s="7">
        <v>249.1</v>
      </c>
      <c r="V14" s="7">
        <v>239</v>
      </c>
      <c r="W14" s="7">
        <v>228.4</v>
      </c>
      <c r="X14" s="7">
        <v>226.1</v>
      </c>
      <c r="Y14" s="7">
        <v>226.2</v>
      </c>
      <c r="Z14" s="7">
        <v>221.8</v>
      </c>
      <c r="AA14" s="7">
        <v>219.9</v>
      </c>
      <c r="AB14" s="7">
        <v>219</v>
      </c>
      <c r="AC14" s="7">
        <v>218.3</v>
      </c>
      <c r="AD14" s="7">
        <f t="shared" ref="AC14:AD14" si="48">Z14*0.96</f>
        <v>212.928</v>
      </c>
      <c r="AJ14" s="7">
        <f>F14</f>
        <v>296.7</v>
      </c>
      <c r="AK14" s="7">
        <f>J14</f>
        <v>273.39999999999998</v>
      </c>
      <c r="AL14" s="7">
        <f>N14</f>
        <v>262.39999999999998</v>
      </c>
      <c r="AM14" s="7">
        <f>R14</f>
        <v>263.2</v>
      </c>
      <c r="AN14" s="7">
        <f>V14</f>
        <v>239</v>
      </c>
      <c r="AO14" s="7">
        <f>Z14</f>
        <v>221.8</v>
      </c>
      <c r="AP14" s="7">
        <f>AD14</f>
        <v>212.928</v>
      </c>
      <c r="AQ14" s="7">
        <f>AP14*0.97</f>
        <v>206.54015999999999</v>
      </c>
      <c r="AR14" s="7">
        <f t="shared" ref="AR14:AT14" si="49">AQ14*0.97</f>
        <v>200.34395519999998</v>
      </c>
      <c r="AS14" s="7">
        <f t="shared" si="49"/>
        <v>194.33363654399997</v>
      </c>
      <c r="AT14" s="7">
        <f t="shared" si="49"/>
        <v>188.50362744767997</v>
      </c>
    </row>
    <row r="15" spans="1:293" x14ac:dyDescent="0.25">
      <c r="B15" s="12" t="s">
        <v>15</v>
      </c>
      <c r="C15" s="13">
        <f t="shared" ref="C15:N15" si="50">C13/C14</f>
        <v>0.59682539682539681</v>
      </c>
      <c r="D15" s="13">
        <f t="shared" si="50"/>
        <v>0.67889317889317891</v>
      </c>
      <c r="E15" s="13">
        <f t="shared" si="50"/>
        <v>0.7727570399476098</v>
      </c>
      <c r="F15" s="13">
        <f t="shared" si="50"/>
        <v>1.2571621166161107</v>
      </c>
      <c r="G15" s="13">
        <f t="shared" si="50"/>
        <v>0.82552896288588273</v>
      </c>
      <c r="H15" s="13">
        <f t="shared" si="50"/>
        <v>0.91998590059922458</v>
      </c>
      <c r="I15" s="13">
        <f t="shared" si="50"/>
        <v>0.94880057286072317</v>
      </c>
      <c r="J15" s="13">
        <f t="shared" si="50"/>
        <v>2.6847110460863206</v>
      </c>
      <c r="K15" s="13">
        <f t="shared" si="50"/>
        <v>0.97605893186003678</v>
      </c>
      <c r="L15" s="13">
        <f t="shared" si="50"/>
        <v>1.0616184112843357</v>
      </c>
      <c r="M15" s="13">
        <f t="shared" si="50"/>
        <v>1.0746606334841629</v>
      </c>
      <c r="N15" s="13">
        <f t="shared" si="50"/>
        <v>2.8391768292682928</v>
      </c>
      <c r="O15" s="13">
        <f t="shared" ref="O15:Y15" si="51">O13/O14</f>
        <v>0.61443932411674351</v>
      </c>
      <c r="P15" s="13">
        <f t="shared" si="51"/>
        <v>1.6482258679893169</v>
      </c>
      <c r="Q15" s="13">
        <f t="shared" si="51"/>
        <v>1.9036784224497536</v>
      </c>
      <c r="R15" s="13">
        <f t="shared" si="51"/>
        <v>3.6360182370820668</v>
      </c>
      <c r="S15" s="13">
        <f t="shared" si="51"/>
        <v>2.1503700818075577</v>
      </c>
      <c r="T15" s="13">
        <f t="shared" si="51"/>
        <v>2.9034810126582276</v>
      </c>
      <c r="U15" s="13">
        <f t="shared" si="51"/>
        <v>1.9951826575672422</v>
      </c>
      <c r="V15" s="13">
        <f t="shared" si="51"/>
        <v>2.6485355648535567</v>
      </c>
      <c r="W15" s="13">
        <f t="shared" si="51"/>
        <v>1.4973730297723291</v>
      </c>
      <c r="X15" s="13">
        <f t="shared" si="51"/>
        <v>1.5170278637770898</v>
      </c>
      <c r="Y15" s="13">
        <f t="shared" si="51"/>
        <v>1.3306808134394341</v>
      </c>
      <c r="Z15" s="13">
        <f>Z13/Z14</f>
        <v>2.6104598737601443</v>
      </c>
      <c r="AA15" s="13">
        <f t="shared" ref="AA15:AD15" si="52">AA13/AA14</f>
        <v>1.0732150977717143</v>
      </c>
      <c r="AB15" s="13">
        <f t="shared" si="52"/>
        <v>1.1187214611872147</v>
      </c>
      <c r="AC15" s="13">
        <f t="shared" si="52"/>
        <v>1.200183234081539</v>
      </c>
      <c r="AD15" s="13">
        <f t="shared" si="52"/>
        <v>2.5609238803727106</v>
      </c>
      <c r="AE15" s="13"/>
      <c r="AF15" s="13"/>
      <c r="AG15" s="13"/>
      <c r="AH15" s="13"/>
      <c r="AJ15" s="13">
        <f t="shared" ref="AJ15:AT15" si="53">AJ13/AJ14</f>
        <v>3.0738119312436805</v>
      </c>
      <c r="AK15" s="13">
        <f t="shared" si="53"/>
        <v>5.1207022677395759</v>
      </c>
      <c r="AL15" s="13">
        <f t="shared" si="53"/>
        <v>5.6669207317073171</v>
      </c>
      <c r="AM15" s="13">
        <f t="shared" si="53"/>
        <v>7.5113981762917934</v>
      </c>
      <c r="AN15" s="13">
        <f t="shared" si="53"/>
        <v>10.02510460251046</v>
      </c>
      <c r="AO15" s="13">
        <f>AO13/AO14</f>
        <v>6.803426510369702</v>
      </c>
      <c r="AP15" s="13">
        <f>AP13/AP14</f>
        <v>5.4210456116621772</v>
      </c>
      <c r="AQ15" s="13">
        <f t="shared" si="53"/>
        <v>5.9225577485754117</v>
      </c>
      <c r="AR15" s="13">
        <f t="shared" si="53"/>
        <v>6.297924259758271</v>
      </c>
      <c r="AS15" s="13">
        <f t="shared" si="53"/>
        <v>6.6968813894852426</v>
      </c>
      <c r="AT15" s="13">
        <f t="shared" si="53"/>
        <v>7.1209036944275192</v>
      </c>
    </row>
    <row r="17" spans="2:53" x14ac:dyDescent="0.25">
      <c r="B17" s="12" t="s">
        <v>37</v>
      </c>
      <c r="G17" s="24">
        <f t="shared" ref="G17:P19" si="54">G3/C3-1</f>
        <v>6.8128517823639712E-2</v>
      </c>
      <c r="H17" s="24">
        <f t="shared" si="54"/>
        <v>4.9105145413870233E-2</v>
      </c>
      <c r="I17" s="24">
        <f t="shared" si="54"/>
        <v>2.896995708154515E-2</v>
      </c>
      <c r="J17" s="24">
        <f t="shared" si="54"/>
        <v>-3.6581396862591986E-2</v>
      </c>
      <c r="K17" s="24">
        <f t="shared" si="54"/>
        <v>3.6227906466133053E-3</v>
      </c>
      <c r="L17" s="24">
        <f t="shared" si="54"/>
        <v>1.6739524469559619E-2</v>
      </c>
      <c r="M17" s="24">
        <f t="shared" si="54"/>
        <v>1.8143899895724624E-2</v>
      </c>
      <c r="N17" s="24">
        <f t="shared" si="54"/>
        <v>2.6687385987433254E-2</v>
      </c>
      <c r="O17" s="24">
        <f t="shared" si="54"/>
        <v>-6.3443447823233412E-2</v>
      </c>
      <c r="P17" s="24">
        <f t="shared" si="54"/>
        <v>3.9219798657718075E-2</v>
      </c>
      <c r="Q17" s="24">
        <f t="shared" ref="Q17:Z19" si="55">Q3/M3-1</f>
        <v>0.21394920114707094</v>
      </c>
      <c r="R17" s="24">
        <f t="shared" si="55"/>
        <v>0.11456962358515388</v>
      </c>
      <c r="S17" s="24">
        <f t="shared" si="55"/>
        <v>0.35914505956552212</v>
      </c>
      <c r="T17" s="24">
        <f t="shared" si="55"/>
        <v>0.19566094853683147</v>
      </c>
      <c r="U17" s="24">
        <f t="shared" si="55"/>
        <v>4.8089091369274417E-3</v>
      </c>
      <c r="V17" s="24">
        <f t="shared" si="55"/>
        <v>-3.3772214677924017E-2</v>
      </c>
      <c r="W17" s="24">
        <f t="shared" si="55"/>
        <v>-8.5073472544470174E-2</v>
      </c>
      <c r="X17" s="24">
        <f t="shared" si="55"/>
        <v>-0.12828086758376234</v>
      </c>
      <c r="Y17" s="24">
        <f t="shared" si="55"/>
        <v>-0.11108312342569271</v>
      </c>
      <c r="Z17" s="24">
        <f t="shared" si="55"/>
        <v>-9.9602810876871395E-2</v>
      </c>
      <c r="AA17" s="24">
        <f t="shared" ref="AA17:AD19" si="56">AA3/W3-1</f>
        <v>-0.11082934159857238</v>
      </c>
      <c r="AB17" s="24">
        <f t="shared" si="56"/>
        <v>-7.2223835802110559E-2</v>
      </c>
      <c r="AC17" s="24">
        <f t="shared" si="56"/>
        <v>-7.8492490790592284E-2</v>
      </c>
      <c r="AD17" s="24">
        <f t="shared" si="56"/>
        <v>3.0000000000000027E-2</v>
      </c>
      <c r="AE17" s="24"/>
      <c r="AF17" s="24"/>
      <c r="AG17" s="24"/>
      <c r="AH17" s="24"/>
      <c r="AK17" s="24">
        <f t="shared" ref="AK17:AM17" si="57">AK3/AJ3-1</f>
        <v>1.727123911650974E-2</v>
      </c>
      <c r="AL17" s="24">
        <f t="shared" si="57"/>
        <v>1.7700972504022916E-2</v>
      </c>
      <c r="AM17" s="24">
        <f t="shared" si="57"/>
        <v>8.3046885741784759E-2</v>
      </c>
      <c r="AN17" s="24">
        <f t="shared" ref="AN17:AT18" si="58">AN3/AM3-1</f>
        <v>9.5192755279082553E-2</v>
      </c>
      <c r="AO17" s="24">
        <f>AO3/AN3-1</f>
        <v>-0.10554278317652288</v>
      </c>
      <c r="AP17" s="24">
        <f t="shared" si="58"/>
        <v>-5.0001079960257377E-2</v>
      </c>
      <c r="AQ17" s="24">
        <f t="shared" si="58"/>
        <v>3.0000000000000027E-2</v>
      </c>
      <c r="AR17" s="24">
        <f t="shared" si="58"/>
        <v>3.0000000000000027E-2</v>
      </c>
      <c r="AS17" s="24">
        <f t="shared" si="58"/>
        <v>3.0000000000000027E-2</v>
      </c>
      <c r="AT17" s="24">
        <f t="shared" si="58"/>
        <v>3.0000000000000027E-2</v>
      </c>
    </row>
    <row r="18" spans="2:53" x14ac:dyDescent="0.25">
      <c r="B18" s="12" t="s">
        <v>60</v>
      </c>
      <c r="G18" s="24">
        <f t="shared" si="54"/>
        <v>7.3470642483861148E-2</v>
      </c>
      <c r="H18" s="24">
        <f t="shared" si="54"/>
        <v>5.3484602917341917E-2</v>
      </c>
      <c r="I18" s="24">
        <f t="shared" si="54"/>
        <v>3.2102272727272618E-2</v>
      </c>
      <c r="J18" s="24">
        <f t="shared" si="54"/>
        <v>-3.5504940545972197E-2</v>
      </c>
      <c r="K18" s="24">
        <f t="shared" si="54"/>
        <v>-1.5750286368843014E-3</v>
      </c>
      <c r="L18" s="24">
        <f t="shared" si="54"/>
        <v>1.4405594405594302E-2</v>
      </c>
      <c r="M18" s="24">
        <f t="shared" si="54"/>
        <v>1.8854940820258737E-2</v>
      </c>
      <c r="N18" s="24">
        <f t="shared" si="54"/>
        <v>3.8461538461538547E-2</v>
      </c>
      <c r="O18" s="24">
        <f t="shared" si="54"/>
        <v>-5.3922271619102236E-2</v>
      </c>
      <c r="P18" s="24">
        <f t="shared" si="54"/>
        <v>5.3357231490417822E-2</v>
      </c>
      <c r="Q18" s="24">
        <f t="shared" si="55"/>
        <v>0.22355801702012701</v>
      </c>
      <c r="R18" s="24">
        <f t="shared" si="55"/>
        <v>0.11980603628459163</v>
      </c>
      <c r="S18" s="24">
        <f t="shared" si="55"/>
        <v>0.35243292405638926</v>
      </c>
      <c r="T18" s="24">
        <f t="shared" si="55"/>
        <v>0.18311518324607334</v>
      </c>
      <c r="U18" s="24">
        <f t="shared" si="55"/>
        <v>5.5199823360565503E-3</v>
      </c>
      <c r="V18" s="24">
        <f t="shared" si="55"/>
        <v>-2.5533821113931654E-2</v>
      </c>
      <c r="W18" s="24">
        <f t="shared" si="55"/>
        <v>-7.0387805424792615E-2</v>
      </c>
      <c r="X18" s="24">
        <f t="shared" si="55"/>
        <v>-0.11029981192609806</v>
      </c>
      <c r="Y18" s="24">
        <f t="shared" si="55"/>
        <v>-9.3653930610452352E-2</v>
      </c>
      <c r="Z18" s="24">
        <f t="shared" si="55"/>
        <v>-9.6307079374808424E-2</v>
      </c>
      <c r="AA18" s="24">
        <f t="shared" si="56"/>
        <v>-0.11779599710634192</v>
      </c>
      <c r="AB18" s="24">
        <f t="shared" si="56"/>
        <v>-8.443173339965182E-2</v>
      </c>
      <c r="AC18" s="24">
        <f t="shared" si="56"/>
        <v>-8.8552392489400389E-2</v>
      </c>
      <c r="AD18" s="24">
        <f t="shared" si="56"/>
        <v>3.0000000000000027E-2</v>
      </c>
      <c r="AE18" s="24"/>
      <c r="AF18" s="24"/>
      <c r="AG18" s="24"/>
      <c r="AH18" s="24"/>
      <c r="AK18" s="24">
        <f t="shared" ref="AK18:AM18" si="59">AK4/AJ4-1</f>
        <v>1.992254066615029E-2</v>
      </c>
      <c r="AL18" s="24">
        <f t="shared" si="59"/>
        <v>2.0414362962512866E-2</v>
      </c>
      <c r="AM18" s="24">
        <f t="shared" si="59"/>
        <v>9.2259601071747577E-2</v>
      </c>
      <c r="AN18" s="24">
        <f t="shared" si="58"/>
        <v>9.3543023794597779E-2</v>
      </c>
      <c r="AO18" s="24">
        <f t="shared" si="58"/>
        <v>-9.3093392487724635E-2</v>
      </c>
      <c r="AP18" s="24">
        <f t="shared" si="58"/>
        <v>-5.5877260484801905E-2</v>
      </c>
      <c r="AQ18" s="24">
        <f t="shared" si="58"/>
        <v>3.0000000000000027E-2</v>
      </c>
      <c r="AR18" s="24">
        <f t="shared" si="58"/>
        <v>3.0000000000000027E-2</v>
      </c>
      <c r="AS18" s="24">
        <f t="shared" si="58"/>
        <v>3.0000000000000027E-2</v>
      </c>
      <c r="AT18" s="24">
        <f t="shared" si="58"/>
        <v>3.0000000000000027E-2</v>
      </c>
    </row>
    <row r="19" spans="2:53" x14ac:dyDescent="0.25">
      <c r="B19" s="12" t="s">
        <v>38</v>
      </c>
      <c r="G19" s="24">
        <f t="shared" si="54"/>
        <v>5.093966369930758E-2</v>
      </c>
      <c r="H19" s="24">
        <f t="shared" si="54"/>
        <v>3.5299581978634365E-2</v>
      </c>
      <c r="I19" s="24">
        <f t="shared" si="54"/>
        <v>1.9298245614035148E-2</v>
      </c>
      <c r="J19" s="24">
        <f t="shared" si="54"/>
        <v>-4.0339082139725257E-2</v>
      </c>
      <c r="K19" s="24">
        <f t="shared" si="54"/>
        <v>2.070588235294113E-2</v>
      </c>
      <c r="L19" s="24">
        <f t="shared" si="54"/>
        <v>2.4226110363391617E-2</v>
      </c>
      <c r="M19" s="24">
        <f t="shared" si="54"/>
        <v>1.5920826161790025E-2</v>
      </c>
      <c r="N19" s="24">
        <f t="shared" si="54"/>
        <v>-1.4620773682607391E-2</v>
      </c>
      <c r="O19" s="24">
        <f t="shared" si="54"/>
        <v>-9.4052558782849238E-2</v>
      </c>
      <c r="P19" s="24">
        <f t="shared" si="54"/>
        <v>-5.6942619360490498E-3</v>
      </c>
      <c r="Q19" s="24">
        <f t="shared" si="55"/>
        <v>0.18382041507835667</v>
      </c>
      <c r="R19" s="24">
        <f t="shared" si="55"/>
        <v>9.5208655332302827E-2</v>
      </c>
      <c r="S19" s="24">
        <f t="shared" si="55"/>
        <v>0.38167938931297707</v>
      </c>
      <c r="T19" s="24">
        <f t="shared" si="55"/>
        <v>0.23788546255506615</v>
      </c>
      <c r="U19" s="24">
        <f t="shared" si="55"/>
        <v>2.5044722719140822E-3</v>
      </c>
      <c r="V19" s="24">
        <f t="shared" si="55"/>
        <v>-6.4916737228337573E-2</v>
      </c>
      <c r="W19" s="24">
        <f t="shared" si="55"/>
        <v>-0.1333333333333333</v>
      </c>
      <c r="X19" s="24">
        <f t="shared" si="55"/>
        <v>-0.18612099644128111</v>
      </c>
      <c r="Y19" s="24">
        <f t="shared" si="55"/>
        <v>-0.16773733047822981</v>
      </c>
      <c r="Z19" s="24">
        <f t="shared" si="55"/>
        <v>-0.11258677935405981</v>
      </c>
      <c r="AA19" s="24">
        <f t="shared" si="56"/>
        <v>-8.6272843178920477E-2</v>
      </c>
      <c r="AB19" s="24">
        <f t="shared" si="56"/>
        <v>-2.9296020988194171E-2</v>
      </c>
      <c r="AC19" s="24">
        <f t="shared" si="56"/>
        <v>-4.2881646655231531E-2</v>
      </c>
      <c r="AD19" s="24">
        <f t="shared" si="56"/>
        <v>3.0000000000000249E-2</v>
      </c>
      <c r="AE19" s="24"/>
      <c r="AF19" s="24"/>
      <c r="AG19" s="24"/>
      <c r="AH19" s="24"/>
      <c r="AK19" s="24">
        <f t="shared" ref="AK19:AM19" si="60">AK5/AJ5-1</f>
        <v>8.6067233697852963E-3</v>
      </c>
      <c r="AL19" s="24">
        <f t="shared" si="60"/>
        <v>8.7340628450958135E-3</v>
      </c>
      <c r="AM19" s="24">
        <f t="shared" si="60"/>
        <v>5.2249203821655987E-2</v>
      </c>
      <c r="AN19" s="24">
        <f>AN5/AM5-1</f>
        <v>0.10091743119266061</v>
      </c>
      <c r="AO19" s="24" t="s">
        <v>61</v>
      </c>
      <c r="AP19" s="24">
        <f>AP5/AO5-1</f>
        <v>-2.8430185633575022E-2</v>
      </c>
      <c r="AQ19" s="24">
        <f>AQ5/AP5-1</f>
        <v>3.0000000000000249E-2</v>
      </c>
      <c r="AR19" s="24">
        <f>AR5/AQ5-1</f>
        <v>3.0000000000000027E-2</v>
      </c>
      <c r="AS19" s="24">
        <f>AS5/AR5-1</f>
        <v>2.9999999999999805E-2</v>
      </c>
      <c r="AT19" s="24">
        <f>AT5/AS5-1</f>
        <v>2.9999999999999583E-2</v>
      </c>
      <c r="AZ19" s="17" t="s">
        <v>51</v>
      </c>
      <c r="BA19" s="23">
        <v>-0.01</v>
      </c>
    </row>
    <row r="20" spans="2:53" x14ac:dyDescent="0.25">
      <c r="B20" s="12" t="s">
        <v>39</v>
      </c>
      <c r="G20" s="24">
        <f t="shared" ref="G20:G21" si="61">G7/C7-1</f>
        <v>6.2717770034843134E-2</v>
      </c>
      <c r="H20" s="24">
        <f t="shared" ref="H20:H21" si="62">H7/D7-1</f>
        <v>2.5683060109289668E-2</v>
      </c>
      <c r="I20" s="24">
        <f t="shared" ref="I20:I21" si="63">I7/E7-1</f>
        <v>3.6231884057970953E-2</v>
      </c>
      <c r="J20" s="24">
        <f t="shared" ref="J20:J21" si="64">J7/F7-1</f>
        <v>-9.1768412760929507E-2</v>
      </c>
      <c r="K20" s="24">
        <f t="shared" ref="K20:K21" si="65">K7/G7-1</f>
        <v>2.732240437158362E-3</v>
      </c>
      <c r="L20" s="24">
        <f t="shared" ref="L20:L21" si="66">L7/H7-1</f>
        <v>2.3974427277570598E-2</v>
      </c>
      <c r="M20" s="24">
        <f t="shared" ref="M20:M21" si="67">M7/I7-1</f>
        <v>-1.4485514485514495E-2</v>
      </c>
      <c r="N20" s="24">
        <f t="shared" ref="N20:N21" si="68">N7/J7-1</f>
        <v>-1.6478751084128329E-2</v>
      </c>
      <c r="O20" s="24">
        <f t="shared" ref="O20:O21" si="69">O7/K7-1</f>
        <v>-5.4495912806539537E-2</v>
      </c>
      <c r="P20" s="24">
        <f t="shared" ref="P20:P21" si="70">P7/L7-1</f>
        <v>-0.11446409989594175</v>
      </c>
      <c r="Q20" s="24">
        <f t="shared" ref="Q20:Q21" si="71">Q7/M7-1</f>
        <v>7.6026355803345158E-2</v>
      </c>
      <c r="R20" s="24">
        <f t="shared" ref="R20:R21" si="72">R7/N7-1</f>
        <v>4.4091710758377367E-2</v>
      </c>
      <c r="S20" s="24">
        <f t="shared" ref="S20:Z21" si="73">S7/O7-1</f>
        <v>0.14582132564841488</v>
      </c>
      <c r="T20" s="24">
        <f t="shared" si="73"/>
        <v>0.18037602820211518</v>
      </c>
      <c r="U20" s="24">
        <f t="shared" si="73"/>
        <v>4.7103155911445427E-3</v>
      </c>
      <c r="V20" s="24">
        <f t="shared" si="73"/>
        <v>5.7854729729729826E-2</v>
      </c>
      <c r="W20" s="24">
        <f t="shared" si="73"/>
        <v>-4.9295774647887369E-2</v>
      </c>
      <c r="X20" s="24">
        <f t="shared" si="73"/>
        <v>-6.3215530114484775E-2</v>
      </c>
      <c r="Y20" s="24">
        <f t="shared" si="73"/>
        <v>-9.0014064697608975E-2</v>
      </c>
      <c r="Z20" s="24">
        <f t="shared" si="73"/>
        <v>-9.9001996007983983E-2</v>
      </c>
      <c r="AA20" s="24">
        <f t="shared" ref="AA20:AA21" si="74">AA7/W7-1</f>
        <v>-2.2222222222222254E-2</v>
      </c>
      <c r="AB20" s="24">
        <f t="shared" ref="AB20:AB21" si="75">AB7/X7-1</f>
        <v>-1.5940488841658107E-3</v>
      </c>
      <c r="AC20" s="24">
        <f t="shared" ref="AC20:AC21" si="76">AC7/Y7-1</f>
        <v>-3.2457496136012343E-2</v>
      </c>
      <c r="AD20" s="24">
        <f t="shared" ref="AD20:AD21" si="77">AD7/Z7-1</f>
        <v>3.0000000000000027E-2</v>
      </c>
      <c r="AE20" s="24"/>
      <c r="AF20" s="24"/>
      <c r="AG20" s="24"/>
      <c r="AH20" s="24"/>
      <c r="AK20" s="24">
        <f t="shared" ref="AK20:AK21" si="78">AK7/AJ7-1</f>
        <v>-9.9713324192940433E-4</v>
      </c>
      <c r="AL20" s="24">
        <f t="shared" ref="AL20:AL21" si="79">AL7/AK7-1</f>
        <v>-2.1210230817217957E-3</v>
      </c>
      <c r="AM20" s="24">
        <f t="shared" ref="AM20:AM21" si="80">AM7/AL7-1</f>
        <v>-8.7521880470117219E-3</v>
      </c>
      <c r="AN20" s="24">
        <f t="shared" ref="AN20:AT21" si="81">AN7/AM7-1</f>
        <v>8.9177598385469237E-2</v>
      </c>
      <c r="AO20" s="24">
        <f t="shared" si="81"/>
        <v>-7.7012159814707548E-2</v>
      </c>
      <c r="AP20" s="24">
        <f t="shared" si="81"/>
        <v>-5.0552070263487625E-3</v>
      </c>
      <c r="AQ20" s="24">
        <f t="shared" si="81"/>
        <v>3.0000000000000027E-2</v>
      </c>
      <c r="AR20" s="24">
        <f t="shared" si="81"/>
        <v>3.0000000000000027E-2</v>
      </c>
      <c r="AS20" s="24">
        <f t="shared" si="81"/>
        <v>3.0000000000000027E-2</v>
      </c>
      <c r="AT20" s="24">
        <f t="shared" si="81"/>
        <v>3.0000000000000027E-2</v>
      </c>
      <c r="AZ20" s="17" t="s">
        <v>52</v>
      </c>
      <c r="BA20" s="26">
        <f>WACC!C18</f>
        <v>6.0668908670229324E-2</v>
      </c>
    </row>
    <row r="21" spans="2:53" x14ac:dyDescent="0.25">
      <c r="B21" s="12" t="s">
        <v>40</v>
      </c>
      <c r="G21" s="24">
        <f t="shared" si="61"/>
        <v>-1.6666666666666718E-2</v>
      </c>
      <c r="H21" s="24">
        <f t="shared" si="62"/>
        <v>8.9783281733746056E-2</v>
      </c>
      <c r="I21" s="24">
        <f t="shared" si="63"/>
        <v>-7.4712643678160884E-2</v>
      </c>
      <c r="J21" s="24">
        <f t="shared" si="64"/>
        <v>0.10770975056689336</v>
      </c>
      <c r="K21" s="24">
        <f t="shared" si="65"/>
        <v>0.13220338983050839</v>
      </c>
      <c r="L21" s="24">
        <f t="shared" si="66"/>
        <v>2.5568181818181879E-2</v>
      </c>
      <c r="M21" s="24">
        <f t="shared" si="67"/>
        <v>0.20496894409937894</v>
      </c>
      <c r="N21" s="24">
        <f t="shared" si="68"/>
        <v>-1.0235414534288667E-2</v>
      </c>
      <c r="O21" s="24">
        <f t="shared" si="69"/>
        <v>-0.31137724550898205</v>
      </c>
      <c r="P21" s="24">
        <f t="shared" si="70"/>
        <v>0.57340720221606656</v>
      </c>
      <c r="Q21" s="24">
        <f t="shared" si="71"/>
        <v>0.731958762886598</v>
      </c>
      <c r="R21" s="24">
        <f t="shared" si="72"/>
        <v>0.2150982419855223</v>
      </c>
      <c r="S21" s="24">
        <f t="shared" si="73"/>
        <v>2.1608695652173915</v>
      </c>
      <c r="T21" s="24">
        <f t="shared" si="73"/>
        <v>0.41021126760563376</v>
      </c>
      <c r="U21" s="24">
        <f t="shared" si="73"/>
        <v>-4.4642857142856984E-3</v>
      </c>
      <c r="V21" s="24">
        <f t="shared" si="73"/>
        <v>-0.31234042553191488</v>
      </c>
      <c r="W21" s="24">
        <f t="shared" si="73"/>
        <v>-0.36313617606602477</v>
      </c>
      <c r="X21" s="24">
        <f t="shared" si="73"/>
        <v>-0.4943820224719101</v>
      </c>
      <c r="Y21" s="24">
        <f t="shared" si="73"/>
        <v>-0.41554559043348283</v>
      </c>
      <c r="Z21" s="24">
        <f t="shared" si="73"/>
        <v>-0.15470297029702973</v>
      </c>
      <c r="AA21" s="24">
        <f t="shared" si="74"/>
        <v>-0.34773218142548601</v>
      </c>
      <c r="AB21" s="24">
        <f t="shared" si="75"/>
        <v>-0.15802469135802466</v>
      </c>
      <c r="AC21" s="24">
        <f t="shared" si="76"/>
        <v>-9.4629156010230142E-2</v>
      </c>
      <c r="AD21" s="24">
        <f t="shared" si="77"/>
        <v>3.0000000000000915E-2</v>
      </c>
      <c r="AE21" s="24"/>
      <c r="AF21" s="24"/>
      <c r="AG21" s="24"/>
      <c r="AH21" s="24"/>
      <c r="AK21" s="24">
        <f t="shared" si="78"/>
        <v>5.0188882892606479E-2</v>
      </c>
      <c r="AL21" s="24">
        <f t="shared" si="79"/>
        <v>5.3442959917780142E-2</v>
      </c>
      <c r="AM21" s="24">
        <f t="shared" si="80"/>
        <v>0.29024390243902443</v>
      </c>
      <c r="AN21" s="24">
        <f t="shared" si="81"/>
        <v>0.13610586011342152</v>
      </c>
      <c r="AO21" s="24">
        <f t="shared" si="81"/>
        <v>-0.35374376039933442</v>
      </c>
      <c r="AP21" s="24">
        <f t="shared" si="81"/>
        <v>-0.12436148300720684</v>
      </c>
      <c r="AQ21" s="24">
        <f t="shared" si="81"/>
        <v>3.0000000000001359E-2</v>
      </c>
      <c r="AR21" s="24">
        <f t="shared" si="81"/>
        <v>2.9999999999999138E-2</v>
      </c>
      <c r="AS21" s="24">
        <f t="shared" si="81"/>
        <v>2.9999999999998694E-2</v>
      </c>
      <c r="AT21" s="24">
        <f t="shared" si="81"/>
        <v>2.9999999999996696E-2</v>
      </c>
      <c r="AZ21" s="17" t="s">
        <v>53</v>
      </c>
      <c r="BA21" s="12">
        <f>NPV(BA20,AN13:KG13)</f>
        <v>20348.44052459277</v>
      </c>
    </row>
    <row r="22" spans="2:53" x14ac:dyDescent="0.25">
      <c r="B22" s="12" t="s">
        <v>41</v>
      </c>
      <c r="G22" s="24">
        <f t="shared" ref="G22:G23" si="82">G13/C13-1</f>
        <v>0.26595744680851063</v>
      </c>
      <c r="H22" s="24">
        <f t="shared" ref="H22:H23" si="83">H13/D13-1</f>
        <v>0.23696682464454977</v>
      </c>
      <c r="I22" s="24">
        <f t="shared" ref="I22:I23" si="84">I13/E13-1</f>
        <v>0.12288135593220328</v>
      </c>
      <c r="J22" s="24">
        <f t="shared" ref="J22:J23" si="85">J13/F13-1</f>
        <v>0.96782841823056298</v>
      </c>
      <c r="K22" s="24">
        <f t="shared" ref="K22:K23" si="86">K13/G13-1</f>
        <v>0.11344537815126055</v>
      </c>
      <c r="L22" s="24">
        <f t="shared" ref="L22:L23" si="87">L13/H13-1</f>
        <v>9.578544061302674E-2</v>
      </c>
      <c r="M22" s="24">
        <f t="shared" ref="M22:M23" si="88">M13/I13-1</f>
        <v>7.547169811320753E-2</v>
      </c>
      <c r="N22" s="24">
        <f t="shared" ref="N22:N23" si="89">N13/J13-1</f>
        <v>1.4986376021798309E-2</v>
      </c>
      <c r="O22" s="24">
        <f t="shared" ref="O22:O23" si="90">O13/K13-1</f>
        <v>-0.39622641509433965</v>
      </c>
      <c r="P22" s="24">
        <f t="shared" ref="P22:P23" si="91">P13/L13-1</f>
        <v>0.51048951048951041</v>
      </c>
      <c r="Q22" s="24">
        <f t="shared" ref="Q22:Q23" si="92">Q13/M13-1</f>
        <v>0.76140350877192975</v>
      </c>
      <c r="R22" s="24">
        <f t="shared" ref="R22:R23" si="93">R13/N13-1</f>
        <v>0.28456375838926173</v>
      </c>
      <c r="S22" s="24">
        <f t="shared" ref="S22:Z23" si="94">S13/O13-1</f>
        <v>2.4500000000000002</v>
      </c>
      <c r="T22" s="24">
        <f t="shared" si="94"/>
        <v>0.69907407407407418</v>
      </c>
      <c r="U22" s="24">
        <f t="shared" si="94"/>
        <v>-9.960159362549792E-3</v>
      </c>
      <c r="V22" s="24">
        <f t="shared" si="94"/>
        <v>-0.33855799373040751</v>
      </c>
      <c r="W22" s="24">
        <f t="shared" si="94"/>
        <v>-0.38043478260869568</v>
      </c>
      <c r="X22" s="24">
        <f t="shared" si="94"/>
        <v>-0.53269754768392374</v>
      </c>
      <c r="Y22" s="24">
        <f t="shared" si="94"/>
        <v>-0.39436619718309862</v>
      </c>
      <c r="Z22" s="24">
        <f t="shared" si="94"/>
        <v>-8.5308056872037907E-2</v>
      </c>
      <c r="AA22" s="24">
        <f t="shared" ref="AA22:AA23" si="95">AA13/W13-1</f>
        <v>-0.3099415204678363</v>
      </c>
      <c r="AB22" s="24">
        <f t="shared" ref="AB22:AB23" si="96">AB13/X13-1</f>
        <v>-0.2857142857142857</v>
      </c>
      <c r="AC22" s="24">
        <f t="shared" ref="AC22:AC23" si="97">AC13/Y13-1</f>
        <v>-0.12956810631229232</v>
      </c>
      <c r="AD22" s="24">
        <f t="shared" ref="AD22:AD23" si="98">AD13/Z13-1</f>
        <v>-5.8216925734023373E-2</v>
      </c>
      <c r="AE22" s="24"/>
      <c r="AF22" s="24"/>
      <c r="AG22" s="24"/>
      <c r="AH22" s="24"/>
      <c r="AK22" s="24">
        <f t="shared" ref="AK22:AK23" si="99">AK13/AJ13-1</f>
        <v>0.53508771929824572</v>
      </c>
      <c r="AL22" s="24">
        <f t="shared" ref="AL22:AL23" si="100">AL13/AK13-1</f>
        <v>6.2142857142857055E-2</v>
      </c>
      <c r="AM22" s="24">
        <f t="shared" ref="AM22:AM23" si="101">AM13/AL13-1</f>
        <v>0.3295225285810357</v>
      </c>
      <c r="AN22" s="24">
        <f t="shared" ref="AN22:AT23" si="102">AN13/AM13-1</f>
        <v>0.21193727870510881</v>
      </c>
      <c r="AO22" s="24">
        <f t="shared" si="102"/>
        <v>-0.37020033388981632</v>
      </c>
      <c r="AP22" s="24">
        <f t="shared" si="102"/>
        <v>-0.23506136514247578</v>
      </c>
      <c r="AQ22" s="24">
        <f t="shared" si="102"/>
        <v>5.973670536165776E-2</v>
      </c>
      <c r="AR22" s="24">
        <f t="shared" si="102"/>
        <v>3.147774851751417E-2</v>
      </c>
      <c r="AS22" s="24">
        <f t="shared" si="102"/>
        <v>3.1446978381098445E-2</v>
      </c>
      <c r="AT22" s="24">
        <f t="shared" si="102"/>
        <v>3.1416891217424192E-2</v>
      </c>
      <c r="AZ22" s="17" t="s">
        <v>54</v>
      </c>
      <c r="BA22" s="18">
        <f>Main!C8-Main!C9</f>
        <v>-3393</v>
      </c>
    </row>
    <row r="23" spans="2:53" x14ac:dyDescent="0.25">
      <c r="B23" s="12" t="s">
        <v>42</v>
      </c>
      <c r="G23" s="24">
        <f t="shared" si="82"/>
        <v>-8.4761904761904705E-2</v>
      </c>
      <c r="H23" s="24">
        <f t="shared" si="83"/>
        <v>-8.7194337194337224E-2</v>
      </c>
      <c r="I23" s="24">
        <f t="shared" si="84"/>
        <v>-8.5461689587426171E-2</v>
      </c>
      <c r="J23" s="24">
        <f t="shared" si="85"/>
        <v>-7.8530502190765072E-2</v>
      </c>
      <c r="K23" s="24">
        <f t="shared" si="86"/>
        <v>-5.8272632674297609E-2</v>
      </c>
      <c r="L23" s="24">
        <f t="shared" si="87"/>
        <v>-5.0405357772294712E-2</v>
      </c>
      <c r="M23" s="24">
        <f t="shared" si="88"/>
        <v>-5.0483351235231066E-2</v>
      </c>
      <c r="N23" s="24">
        <f t="shared" si="89"/>
        <v>-4.0234089246525273E-2</v>
      </c>
      <c r="O23" s="24">
        <f t="shared" si="90"/>
        <v>-4.0883977900552537E-2</v>
      </c>
      <c r="P23" s="24">
        <f t="shared" si="91"/>
        <v>-2.7097253155159429E-2</v>
      </c>
      <c r="Q23" s="24">
        <f t="shared" si="92"/>
        <v>-5.6561085972850478E-3</v>
      </c>
      <c r="R23" s="24">
        <f t="shared" si="93"/>
        <v>3.0487804878049918E-3</v>
      </c>
      <c r="S23" s="24">
        <f t="shared" si="94"/>
        <v>-1.4208909370199696E-2</v>
      </c>
      <c r="T23" s="24">
        <f t="shared" si="94"/>
        <v>-3.5482640213658989E-2</v>
      </c>
      <c r="U23" s="24">
        <f t="shared" si="94"/>
        <v>-5.5365946150929046E-2</v>
      </c>
      <c r="V23" s="24">
        <f t="shared" si="94"/>
        <v>-9.194528875379937E-2</v>
      </c>
      <c r="W23" s="24">
        <f t="shared" si="94"/>
        <v>-0.11024542267238013</v>
      </c>
      <c r="X23" s="24">
        <f t="shared" si="94"/>
        <v>-0.105617088607595</v>
      </c>
      <c r="Y23" s="24">
        <f t="shared" si="94"/>
        <v>-9.1930951425130525E-2</v>
      </c>
      <c r="Z23" s="24">
        <f t="shared" si="94"/>
        <v>-7.1966527196652641E-2</v>
      </c>
      <c r="AA23" s="24">
        <f t="shared" si="95"/>
        <v>-3.7215411558669031E-2</v>
      </c>
      <c r="AB23" s="24">
        <f t="shared" si="96"/>
        <v>-3.1402034498009712E-2</v>
      </c>
      <c r="AC23" s="24">
        <f t="shared" si="97"/>
        <v>-3.4924845269672766E-2</v>
      </c>
      <c r="AD23" s="24">
        <f t="shared" si="98"/>
        <v>-4.0000000000000036E-2</v>
      </c>
      <c r="AE23" s="24"/>
      <c r="AF23" s="24"/>
      <c r="AG23" s="24"/>
      <c r="AH23" s="24"/>
      <c r="AK23" s="24">
        <f t="shared" si="99"/>
        <v>-7.8530502190765072E-2</v>
      </c>
      <c r="AL23" s="24">
        <f t="shared" si="100"/>
        <v>-4.0234089246525273E-2</v>
      </c>
      <c r="AM23" s="24">
        <f t="shared" si="101"/>
        <v>3.0487804878049918E-3</v>
      </c>
      <c r="AN23" s="24">
        <f t="shared" si="102"/>
        <v>-9.194528875379937E-2</v>
      </c>
      <c r="AO23" s="24">
        <f t="shared" si="102"/>
        <v>-7.1966527196652641E-2</v>
      </c>
      <c r="AP23" s="24">
        <f t="shared" si="102"/>
        <v>-4.0000000000000036E-2</v>
      </c>
      <c r="AQ23" s="24">
        <f t="shared" si="102"/>
        <v>-3.0000000000000027E-2</v>
      </c>
      <c r="AR23" s="24">
        <f t="shared" si="102"/>
        <v>-3.0000000000000027E-2</v>
      </c>
      <c r="AS23" s="24">
        <f t="shared" si="102"/>
        <v>-3.0000000000000027E-2</v>
      </c>
      <c r="AT23" s="24">
        <f t="shared" si="102"/>
        <v>-3.0000000000000027E-2</v>
      </c>
      <c r="AZ23" s="18" t="s">
        <v>55</v>
      </c>
      <c r="BA23" s="18">
        <f>BA21+BA22</f>
        <v>16955.44052459277</v>
      </c>
    </row>
    <row r="24" spans="2:53" x14ac:dyDescent="0.25">
      <c r="B24" s="12" t="s">
        <v>43</v>
      </c>
      <c r="C24" s="24">
        <f t="shared" ref="C24:AD24" si="103">C5/C3</f>
        <v>0.23710131332082551</v>
      </c>
      <c r="D24" s="24">
        <f t="shared" si="103"/>
        <v>0.24082774049217001</v>
      </c>
      <c r="E24" s="24">
        <f t="shared" si="103"/>
        <v>0.24463519313304721</v>
      </c>
      <c r="F24" s="24">
        <f t="shared" si="103"/>
        <v>0.22267786239666731</v>
      </c>
      <c r="G24" s="24">
        <f t="shared" si="103"/>
        <v>0.23328576133494347</v>
      </c>
      <c r="H24" s="24">
        <f t="shared" si="103"/>
        <v>0.23765859899776096</v>
      </c>
      <c r="I24" s="24">
        <f t="shared" si="103"/>
        <v>0.24233576642335766</v>
      </c>
      <c r="J24" s="24">
        <f t="shared" si="103"/>
        <v>0.22180933720694548</v>
      </c>
      <c r="K24" s="24">
        <f t="shared" si="103"/>
        <v>0.23725661780791948</v>
      </c>
      <c r="L24" s="24">
        <f t="shared" si="103"/>
        <v>0.23940855704697986</v>
      </c>
      <c r="M24" s="24">
        <f t="shared" si="103"/>
        <v>0.2418066366243343</v>
      </c>
      <c r="N24" s="24">
        <f t="shared" si="103"/>
        <v>0.21288496972887602</v>
      </c>
      <c r="O24" s="24">
        <f t="shared" si="103"/>
        <v>0.22950245269796776</v>
      </c>
      <c r="P24" s="24">
        <f t="shared" si="103"/>
        <v>0.22906155398587286</v>
      </c>
      <c r="Q24" s="24">
        <f t="shared" si="103"/>
        <v>0.23580528136336792</v>
      </c>
      <c r="R24" s="24">
        <f t="shared" si="103"/>
        <v>0.20918698706972899</v>
      </c>
      <c r="S24" s="24">
        <f t="shared" si="103"/>
        <v>0.23330755349316834</v>
      </c>
      <c r="T24" s="24">
        <f t="shared" si="103"/>
        <v>0.23715081441471855</v>
      </c>
      <c r="U24" s="24">
        <f t="shared" si="103"/>
        <v>0.23526448362720404</v>
      </c>
      <c r="V24" s="24">
        <f t="shared" si="103"/>
        <v>0.20244424075771464</v>
      </c>
      <c r="W24" s="24">
        <f t="shared" si="103"/>
        <v>0.22100122100122099</v>
      </c>
      <c r="X24" s="24">
        <f t="shared" si="103"/>
        <v>0.22141543227805208</v>
      </c>
      <c r="Y24" s="24">
        <f t="shared" si="103"/>
        <v>0.22027014262775102</v>
      </c>
      <c r="Z24" s="24">
        <f t="shared" si="103"/>
        <v>0.1995249406175772</v>
      </c>
      <c r="AA24" s="24">
        <f t="shared" si="103"/>
        <v>0.22710467941269674</v>
      </c>
      <c r="AB24" s="24">
        <f t="shared" si="103"/>
        <v>0.23166023166023167</v>
      </c>
      <c r="AC24" s="24">
        <f t="shared" si="103"/>
        <v>0.22878228782287824</v>
      </c>
      <c r="AD24" s="24">
        <f t="shared" si="103"/>
        <v>0.19952494061757722</v>
      </c>
      <c r="AE24" s="24"/>
      <c r="AF24" s="24"/>
      <c r="AG24" s="24"/>
      <c r="AH24" s="24"/>
      <c r="AJ24" s="24">
        <f t="shared" ref="AJ24" si="104">AJ5/AJ3</f>
        <v>0.23430049109155179</v>
      </c>
      <c r="AK24" s="24">
        <f t="shared" ref="AK24:AM24" si="105">AK5/AK3</f>
        <v>0.23230485785582686</v>
      </c>
      <c r="AL24" s="24">
        <f t="shared" si="105"/>
        <v>0.23025803199046702</v>
      </c>
      <c r="AM24" s="24">
        <f t="shared" si="105"/>
        <v>0.22371038043248276</v>
      </c>
      <c r="AN24" s="24">
        <f t="shared" ref="AN24:AS24" si="106">AN5/AN3</f>
        <v>0.22487973570835185</v>
      </c>
      <c r="AO24" s="24">
        <f t="shared" si="106"/>
        <v>0.21409132143937104</v>
      </c>
      <c r="AP24" s="24">
        <f t="shared" si="106"/>
        <v>0.218952528303517</v>
      </c>
      <c r="AQ24" s="24">
        <f t="shared" si="106"/>
        <v>0.21895252830351705</v>
      </c>
      <c r="AR24" s="24">
        <f t="shared" si="106"/>
        <v>0.21895252830351702</v>
      </c>
      <c r="AS24" s="24">
        <f t="shared" si="106"/>
        <v>0.218952528303517</v>
      </c>
      <c r="AT24" s="24">
        <f t="shared" ref="AT24" si="107">AT5/AT3</f>
        <v>0.21895252830351689</v>
      </c>
      <c r="AZ24" s="18" t="s">
        <v>56</v>
      </c>
      <c r="BA24" s="27">
        <f>BA23/Main!C6</f>
        <v>77.670364290392897</v>
      </c>
    </row>
    <row r="25" spans="2:53" x14ac:dyDescent="0.25">
      <c r="B25" s="12" t="s">
        <v>44</v>
      </c>
      <c r="C25" s="24">
        <f t="shared" ref="C25:AD25" si="108">C8/C3</f>
        <v>3.5178236397748593E-2</v>
      </c>
      <c r="D25" s="24">
        <f t="shared" si="108"/>
        <v>3.6129753914988814E-2</v>
      </c>
      <c r="E25" s="24">
        <f t="shared" si="108"/>
        <v>3.7339055793991417E-2</v>
      </c>
      <c r="F25" s="24">
        <f t="shared" si="108"/>
        <v>5.7410661980082017E-2</v>
      </c>
      <c r="G25" s="24">
        <f t="shared" si="108"/>
        <v>3.2385552750027448E-2</v>
      </c>
      <c r="H25" s="24">
        <f t="shared" si="108"/>
        <v>3.753065358780254E-2</v>
      </c>
      <c r="I25" s="24">
        <f t="shared" si="108"/>
        <v>3.3576642335766425E-2</v>
      </c>
      <c r="J25" s="24">
        <f t="shared" si="108"/>
        <v>6.6009053442334972E-2</v>
      </c>
      <c r="K25" s="24">
        <f t="shared" si="108"/>
        <v>3.6534675125793045E-2</v>
      </c>
      <c r="L25" s="24">
        <f t="shared" si="108"/>
        <v>3.7856543624161076E-2</v>
      </c>
      <c r="M25" s="24">
        <f t="shared" si="108"/>
        <v>3.9737812371978695E-2</v>
      </c>
      <c r="N25" s="24">
        <f t="shared" si="108"/>
        <v>6.3635167149249799E-2</v>
      </c>
      <c r="O25" s="24">
        <f t="shared" si="108"/>
        <v>2.6862882504087832E-2</v>
      </c>
      <c r="P25" s="24">
        <f t="shared" si="108"/>
        <v>5.7315842583249246E-2</v>
      </c>
      <c r="Q25" s="24">
        <f t="shared" si="108"/>
        <v>5.669450771956467E-2</v>
      </c>
      <c r="R25" s="24">
        <f t="shared" si="108"/>
        <v>6.9374741689791575E-2</v>
      </c>
      <c r="S25" s="24">
        <f t="shared" si="108"/>
        <v>6.2473145999828138E-2</v>
      </c>
      <c r="T25" s="24">
        <f t="shared" si="108"/>
        <v>6.7600641404337913E-2</v>
      </c>
      <c r="U25" s="24">
        <f t="shared" si="108"/>
        <v>5.6171284634760704E-2</v>
      </c>
      <c r="V25" s="24">
        <f t="shared" si="108"/>
        <v>4.9373663305835626E-2</v>
      </c>
      <c r="W25" s="24">
        <f t="shared" si="108"/>
        <v>4.3486428101812719E-2</v>
      </c>
      <c r="X25" s="24">
        <f t="shared" si="108"/>
        <v>3.9209991286668605E-2</v>
      </c>
      <c r="Y25" s="24">
        <f t="shared" si="108"/>
        <v>3.6932086521205248E-2</v>
      </c>
      <c r="Z25" s="24">
        <f t="shared" si="108"/>
        <v>4.6352222599253479E-2</v>
      </c>
      <c r="AA25" s="24">
        <f t="shared" si="108"/>
        <v>3.1900285201225308E-2</v>
      </c>
      <c r="AB25" s="24">
        <f t="shared" si="108"/>
        <v>3.5583846394657205E-2</v>
      </c>
      <c r="AC25" s="24">
        <f t="shared" si="108"/>
        <v>3.6285362853628537E-2</v>
      </c>
      <c r="AD25" s="24">
        <f t="shared" si="108"/>
        <v>4.635222259925352E-2</v>
      </c>
      <c r="AE25" s="24"/>
      <c r="AF25" s="24"/>
      <c r="AG25" s="24"/>
      <c r="AH25" s="24"/>
      <c r="AJ25" s="24">
        <f t="shared" ref="AJ25" si="109">AJ8/AJ3</f>
        <v>4.3960997366610521E-2</v>
      </c>
      <c r="AK25" s="24">
        <f t="shared" ref="AK25:AM25" si="110">AK8/AK3</f>
        <v>4.5383521070920495E-2</v>
      </c>
      <c r="AL25" s="24">
        <f t="shared" si="110"/>
        <v>4.6977405013978644E-2</v>
      </c>
      <c r="AM25" s="24">
        <f t="shared" si="110"/>
        <v>5.5964622741314377E-2</v>
      </c>
      <c r="AN25" s="24">
        <f t="shared" ref="AN25:AS25" si="111">AN8/AN3</f>
        <v>5.8055292594810765E-2</v>
      </c>
      <c r="AO25" s="24">
        <f t="shared" si="111"/>
        <v>4.1945656399844489E-2</v>
      </c>
      <c r="AP25" s="24">
        <f t="shared" si="111"/>
        <v>3.8662393808524063E-2</v>
      </c>
      <c r="AQ25" s="24">
        <f t="shared" si="111"/>
        <v>3.8662393808524112E-2</v>
      </c>
      <c r="AR25" s="24">
        <f t="shared" si="111"/>
        <v>3.8662393808524077E-2</v>
      </c>
      <c r="AS25" s="24">
        <f t="shared" si="111"/>
        <v>3.8662393808524029E-2</v>
      </c>
      <c r="AT25" s="24">
        <f t="shared" ref="AT25" si="112">AT8/AT3</f>
        <v>3.8662393808523904E-2</v>
      </c>
      <c r="AZ25" s="18" t="s">
        <v>57</v>
      </c>
      <c r="BA25" s="27">
        <f>Main!C5</f>
        <v>76.290000000000006</v>
      </c>
    </row>
    <row r="26" spans="2:53" x14ac:dyDescent="0.25">
      <c r="B26" s="12" t="s">
        <v>45</v>
      </c>
      <c r="C26" s="24">
        <f t="shared" ref="C26:G26" si="113">C12/C11</f>
        <v>0.35616438356164382</v>
      </c>
      <c r="D26" s="24">
        <f t="shared" si="113"/>
        <v>0.32371794871794873</v>
      </c>
      <c r="E26" s="24">
        <f t="shared" si="113"/>
        <v>0.30588235294117649</v>
      </c>
      <c r="F26" s="24">
        <f t="shared" si="113"/>
        <v>0.57709750566893425</v>
      </c>
      <c r="G26" s="24">
        <f t="shared" si="113"/>
        <v>0.17073170731707318</v>
      </c>
      <c r="H26" s="24">
        <f t="shared" ref="H26:R26" si="114">H12/H11</f>
        <v>0.24566473988439305</v>
      </c>
      <c r="I26" s="24">
        <f t="shared" si="114"/>
        <v>0.16666666666666666</v>
      </c>
      <c r="J26" s="24">
        <f t="shared" si="114"/>
        <v>0.24407826982492276</v>
      </c>
      <c r="K26" s="24">
        <f t="shared" si="114"/>
        <v>0.19696969696969696</v>
      </c>
      <c r="L26" s="24">
        <f t="shared" si="114"/>
        <v>0.19436619718309858</v>
      </c>
      <c r="M26" s="24">
        <f t="shared" si="114"/>
        <v>0.25196850393700787</v>
      </c>
      <c r="N26" s="24">
        <f t="shared" si="114"/>
        <v>0.22957600827300931</v>
      </c>
      <c r="O26" s="24">
        <f t="shared" si="114"/>
        <v>0.26940639269406391</v>
      </c>
      <c r="P26" s="24">
        <f t="shared" si="114"/>
        <v>0.22994652406417113</v>
      </c>
      <c r="Q26" s="24">
        <f t="shared" si="114"/>
        <v>0.24624624624624625</v>
      </c>
      <c r="R26" s="24">
        <f t="shared" si="114"/>
        <v>0.19172297297297297</v>
      </c>
      <c r="S26" s="24">
        <f t="shared" ref="S26:Z26" si="115">S12/S11</f>
        <v>0.23756906077348067</v>
      </c>
      <c r="T26" s="24">
        <f t="shared" si="115"/>
        <v>8.0200501253132828E-2</v>
      </c>
      <c r="U26" s="24">
        <f t="shared" si="115"/>
        <v>0.25037707390648567</v>
      </c>
      <c r="V26" s="24">
        <f t="shared" si="115"/>
        <v>0.21366459627329193</v>
      </c>
      <c r="W26" s="24">
        <f t="shared" si="115"/>
        <v>0.24336283185840707</v>
      </c>
      <c r="X26" s="24">
        <f t="shared" si="115"/>
        <v>0.14463840399002495</v>
      </c>
      <c r="Y26" s="24">
        <f t="shared" si="115"/>
        <v>0.21818181818181817</v>
      </c>
      <c r="Z26" s="24">
        <f t="shared" si="115"/>
        <v>0.16929698708751795</v>
      </c>
      <c r="AA26" s="24">
        <f t="shared" ref="AA26:AD26" si="116">AA12/AA11</f>
        <v>0.24115755627009647</v>
      </c>
      <c r="AB26" s="24">
        <f t="shared" si="116"/>
        <v>0.28152492668621704</v>
      </c>
      <c r="AC26" s="24">
        <f t="shared" si="116"/>
        <v>0.2471264367816092</v>
      </c>
      <c r="AD26" s="24">
        <f t="shared" si="116"/>
        <v>0.24</v>
      </c>
      <c r="AE26" s="24"/>
      <c r="AF26" s="24"/>
      <c r="AG26" s="24"/>
      <c r="AH26" s="24"/>
      <c r="AJ26" s="24">
        <f t="shared" ref="AJ26" si="117">AJ12/AJ11</f>
        <v>0.47283236994219652</v>
      </c>
      <c r="AK26" s="24">
        <f t="shared" ref="AK26:AM26" si="118">AK12/AK11</f>
        <v>0.23245614035087719</v>
      </c>
      <c r="AL26" s="24">
        <f t="shared" si="118"/>
        <v>0.23310985043837029</v>
      </c>
      <c r="AM26" s="24">
        <f t="shared" si="118"/>
        <v>0.22652582159624413</v>
      </c>
      <c r="AN26" s="24">
        <f t="shared" ref="AN26:AS26" si="119">AN12/AN11</f>
        <v>0.19326599326599325</v>
      </c>
      <c r="AO26" s="24">
        <f t="shared" si="119"/>
        <v>0.19691325172964344</v>
      </c>
      <c r="AP26" s="24">
        <f t="shared" si="119"/>
        <v>0.27104534919702622</v>
      </c>
      <c r="AQ26" s="24">
        <f t="shared" si="119"/>
        <v>0.25</v>
      </c>
      <c r="AR26" s="24">
        <f t="shared" si="119"/>
        <v>0.25</v>
      </c>
      <c r="AS26" s="24">
        <f t="shared" si="119"/>
        <v>0.25</v>
      </c>
      <c r="AT26" s="24">
        <f t="shared" ref="AT26" si="120">AT12/AT11</f>
        <v>0.25</v>
      </c>
      <c r="AZ26" s="25" t="s">
        <v>58</v>
      </c>
      <c r="BA26" s="28">
        <f>BA24/BA25-1</f>
        <v>1.8093646485684678E-2</v>
      </c>
    </row>
    <row r="40" spans="2:2" x14ac:dyDescent="0.25">
      <c r="B40" s="12" t="s">
        <v>81</v>
      </c>
    </row>
  </sheetData>
  <phoneticPr fontId="4" type="noConversion"/>
  <conditionalFormatting sqref="BA26">
    <cfRule type="cellIs" dxfId="1" priority="1" operator="lessThan">
      <formula>0</formula>
    </cfRule>
    <cfRule type="cellIs" dxfId="0" priority="2" operator="greaterThan">
      <formula>0</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86D2A-AAAE-4123-BB43-C858CF872FF3}">
  <dimension ref="B3:D18"/>
  <sheetViews>
    <sheetView workbookViewId="0">
      <selection activeCell="D16" sqref="D16"/>
    </sheetView>
  </sheetViews>
  <sheetFormatPr defaultRowHeight="14.4" x14ac:dyDescent="0.3"/>
  <cols>
    <col min="2" max="2" width="15.6640625" bestFit="1" customWidth="1"/>
    <col min="4" max="4" width="13.5546875" bestFit="1" customWidth="1"/>
  </cols>
  <sheetData>
    <row r="3" spans="2:4" x14ac:dyDescent="0.3">
      <c r="B3" s="17" t="s">
        <v>7</v>
      </c>
      <c r="C3" s="18">
        <f>Main!C9</f>
        <v>4029</v>
      </c>
      <c r="D3" s="17"/>
    </row>
    <row r="4" spans="2:4" x14ac:dyDescent="0.3">
      <c r="B4" s="17" t="s">
        <v>25</v>
      </c>
      <c r="C4" s="18">
        <f>Main!C7</f>
        <v>16654.107000000004</v>
      </c>
      <c r="D4" s="17"/>
    </row>
    <row r="5" spans="2:4" x14ac:dyDescent="0.3">
      <c r="B5" s="17" t="s">
        <v>26</v>
      </c>
      <c r="C5" s="18">
        <f>C3+C4</f>
        <v>20683.107000000004</v>
      </c>
      <c r="D5" s="17"/>
    </row>
    <row r="6" spans="2:4" x14ac:dyDescent="0.3">
      <c r="B6" s="19" t="s">
        <v>27</v>
      </c>
      <c r="C6" s="20">
        <f>C3/C5</f>
        <v>0.19479665216642739</v>
      </c>
      <c r="D6" s="17"/>
    </row>
    <row r="7" spans="2:4" x14ac:dyDescent="0.3">
      <c r="B7" s="19" t="s">
        <v>28</v>
      </c>
      <c r="C7" s="20">
        <f>C4/C5</f>
        <v>0.80520334783357261</v>
      </c>
      <c r="D7" s="17"/>
    </row>
    <row r="8" spans="2:4" x14ac:dyDescent="0.3">
      <c r="B8" s="17"/>
      <c r="C8" s="17"/>
      <c r="D8" s="17"/>
    </row>
    <row r="9" spans="2:4" x14ac:dyDescent="0.3">
      <c r="B9" s="17" t="s">
        <v>29</v>
      </c>
      <c r="C9" s="21">
        <f>AVERAGE(Model!AJ26:AO26)</f>
        <v>0.25918390455388746</v>
      </c>
      <c r="D9" s="17"/>
    </row>
    <row r="10" spans="2:4" x14ac:dyDescent="0.3">
      <c r="B10" s="17" t="s">
        <v>30</v>
      </c>
      <c r="C10" s="18">
        <v>35</v>
      </c>
      <c r="D10" s="17" t="s">
        <v>80</v>
      </c>
    </row>
    <row r="11" spans="2:4" x14ac:dyDescent="0.3">
      <c r="B11" s="19" t="s">
        <v>31</v>
      </c>
      <c r="C11" s="22">
        <f>C10/C3</f>
        <v>8.6870191114420455E-3</v>
      </c>
      <c r="D11" s="17"/>
    </row>
    <row r="12" spans="2:4" x14ac:dyDescent="0.3">
      <c r="B12" s="17"/>
      <c r="C12" s="17"/>
      <c r="D12" s="17"/>
    </row>
    <row r="13" spans="2:4" x14ac:dyDescent="0.3">
      <c r="B13" s="17" t="s">
        <v>32</v>
      </c>
      <c r="C13" s="21">
        <f>'[1]T-Bond Yields'!$C$12</f>
        <v>4.2999999999999997E-2</v>
      </c>
      <c r="D13" s="17" t="s">
        <v>82</v>
      </c>
    </row>
    <row r="14" spans="2:4" x14ac:dyDescent="0.3">
      <c r="B14" s="17" t="s">
        <v>33</v>
      </c>
      <c r="C14" s="17">
        <v>1.51</v>
      </c>
      <c r="D14" s="17" t="s">
        <v>83</v>
      </c>
    </row>
    <row r="15" spans="2:4" x14ac:dyDescent="0.3">
      <c r="B15" s="17" t="s">
        <v>34</v>
      </c>
      <c r="C15" s="23">
        <v>0.08</v>
      </c>
      <c r="D15" s="17" t="s">
        <v>84</v>
      </c>
    </row>
    <row r="16" spans="2:4" x14ac:dyDescent="0.3">
      <c r="B16" s="19" t="s">
        <v>35</v>
      </c>
      <c r="C16" s="20">
        <f>C13+C14*(C15-C13)</f>
        <v>9.8870000000000013E-2</v>
      </c>
      <c r="D16" s="17"/>
    </row>
    <row r="17" spans="2:4" x14ac:dyDescent="0.3">
      <c r="B17" s="17"/>
      <c r="C17" s="17"/>
      <c r="D17" s="17"/>
    </row>
    <row r="18" spans="2:4" x14ac:dyDescent="0.3">
      <c r="B18" s="19" t="s">
        <v>36</v>
      </c>
      <c r="C18" s="20">
        <f>(C6*C11)+(C7*C16)*(1-C9)</f>
        <v>6.0668908670229324E-2</v>
      </c>
      <c r="D18"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Sheldon</dc:creator>
  <cp:lastModifiedBy>Bill Sheldon</cp:lastModifiedBy>
  <dcterms:created xsi:type="dcterms:W3CDTF">2023-02-26T20:58:42Z</dcterms:created>
  <dcterms:modified xsi:type="dcterms:W3CDTF">2024-02-24T22:59:32Z</dcterms:modified>
</cp:coreProperties>
</file>