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F5623A27-BBEE-4668-BA0B-4D0B45040F12}" xr6:coauthVersionLast="47" xr6:coauthVersionMax="47" xr10:uidLastSave="{00000000-0000-0000-0000-000000000000}"/>
  <bookViews>
    <workbookView xWindow="-28905" yWindow="0" windowWidth="17205" windowHeight="15585" activeTab="1" xr2:uid="{FB0A6173-1360-433C-88A0-C11949A07E2D}"/>
  </bookViews>
  <sheets>
    <sheet name="Main" sheetId="2" r:id="rId1"/>
    <sheet name="Model" sheetId="1"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3" l="1"/>
  <c r="C9" i="3" l="1"/>
  <c r="AD30" i="1"/>
  <c r="AC30" i="1"/>
  <c r="AC47" i="1" s="1"/>
  <c r="AB30" i="1"/>
  <c r="AO43" i="1"/>
  <c r="AO41" i="1"/>
  <c r="AO37" i="1"/>
  <c r="AO34" i="1"/>
  <c r="AO33" i="1"/>
  <c r="AO31" i="1"/>
  <c r="AD43" i="1"/>
  <c r="AC43" i="1"/>
  <c r="AD52" i="1"/>
  <c r="AB43" i="1"/>
  <c r="AB52" i="1" s="1"/>
  <c r="AD37" i="1"/>
  <c r="AC37" i="1"/>
  <c r="AB37" i="1"/>
  <c r="AD34" i="1"/>
  <c r="AD35" i="1" s="1"/>
  <c r="AD49" i="1" s="1"/>
  <c r="AC34" i="1"/>
  <c r="AC35" i="1" s="1"/>
  <c r="AC49" i="1" s="1"/>
  <c r="AB34" i="1"/>
  <c r="AD33" i="1"/>
  <c r="AC33" i="1"/>
  <c r="AB33" i="1"/>
  <c r="AD31" i="1"/>
  <c r="AD48" i="1" s="1"/>
  <c r="AC31" i="1"/>
  <c r="AB31" i="1"/>
  <c r="AB48" i="1" s="1"/>
  <c r="AS44" i="1"/>
  <c r="AR44" i="1"/>
  <c r="AS42" i="1"/>
  <c r="AR42" i="1"/>
  <c r="AS40" i="1"/>
  <c r="AR40" i="1"/>
  <c r="AS38" i="1"/>
  <c r="AR38" i="1"/>
  <c r="AS35" i="1"/>
  <c r="AS36" i="1" s="1"/>
  <c r="AR35" i="1"/>
  <c r="AR36" i="1" s="1"/>
  <c r="AS32" i="1"/>
  <c r="AR32" i="1"/>
  <c r="AN41" i="1"/>
  <c r="AN39" i="1"/>
  <c r="AN37" i="1"/>
  <c r="AN34" i="1"/>
  <c r="AN33" i="1"/>
  <c r="AN31" i="1"/>
  <c r="AN22" i="1"/>
  <c r="AN21" i="1"/>
  <c r="AN16" i="1"/>
  <c r="AN15" i="1"/>
  <c r="AN10" i="1"/>
  <c r="AN9" i="1"/>
  <c r="AN4" i="1"/>
  <c r="AN3" i="1"/>
  <c r="AA30" i="1"/>
  <c r="AA47" i="1"/>
  <c r="AA28" i="1"/>
  <c r="AA27" i="1"/>
  <c r="AA23" i="1"/>
  <c r="AA25" i="1" s="1"/>
  <c r="AA17" i="1"/>
  <c r="AA19" i="1" s="1"/>
  <c r="AA11" i="1"/>
  <c r="AA13" i="1" s="1"/>
  <c r="AA7" i="1"/>
  <c r="AA5" i="1"/>
  <c r="AA37" i="1"/>
  <c r="AC52" i="1"/>
  <c r="AA52" i="1"/>
  <c r="AC48" i="1"/>
  <c r="AA48" i="1"/>
  <c r="AB35" i="1"/>
  <c r="AB49" i="1" s="1"/>
  <c r="AA35" i="1"/>
  <c r="C8" i="2"/>
  <c r="C7" i="2"/>
  <c r="Z37" i="1"/>
  <c r="Z23" i="1"/>
  <c r="Z22" i="1"/>
  <c r="Z21" i="1"/>
  <c r="Z16" i="1"/>
  <c r="Z15" i="1"/>
  <c r="Z10" i="1"/>
  <c r="Z9" i="1"/>
  <c r="Z4" i="1"/>
  <c r="V3" i="1"/>
  <c r="AM3" i="1" s="1"/>
  <c r="Z3" i="1"/>
  <c r="AN43" i="1"/>
  <c r="Z35" i="1"/>
  <c r="W25" i="1"/>
  <c r="Y37" i="1"/>
  <c r="Y28" i="1"/>
  <c r="Y27" i="1"/>
  <c r="Y23" i="1"/>
  <c r="Y25" i="1" s="1"/>
  <c r="Y17" i="1"/>
  <c r="Y11" i="1"/>
  <c r="Y5" i="1"/>
  <c r="AJ22" i="1"/>
  <c r="AJ21" i="1"/>
  <c r="F17" i="1"/>
  <c r="AI17" i="1" s="1"/>
  <c r="F11" i="1"/>
  <c r="AI11" i="1" s="1"/>
  <c r="F5" i="1"/>
  <c r="J16" i="1"/>
  <c r="J15" i="1"/>
  <c r="AJ15" i="1" s="1"/>
  <c r="J10" i="1"/>
  <c r="AJ10" i="1" s="1"/>
  <c r="J9" i="1"/>
  <c r="AJ9" i="1" s="1"/>
  <c r="J4" i="1"/>
  <c r="AJ4" i="1" s="1"/>
  <c r="J3" i="1"/>
  <c r="AJ3" i="1" s="1"/>
  <c r="C30" i="1"/>
  <c r="D30" i="1"/>
  <c r="E30" i="1"/>
  <c r="E23" i="1"/>
  <c r="AM1" i="1"/>
  <c r="AJ1" i="1"/>
  <c r="AK1" i="1"/>
  <c r="AL1" i="1"/>
  <c r="N16" i="1"/>
  <c r="AK16" i="1" s="1"/>
  <c r="N15" i="1"/>
  <c r="AK15" i="1" s="1"/>
  <c r="N10" i="1"/>
  <c r="AK10" i="1" s="1"/>
  <c r="N9" i="1"/>
  <c r="AK9" i="1" s="1"/>
  <c r="N4" i="1"/>
  <c r="AK4" i="1" s="1"/>
  <c r="N3" i="1"/>
  <c r="AK21" i="1"/>
  <c r="AK22" i="1"/>
  <c r="AK3" i="1"/>
  <c r="R22" i="1"/>
  <c r="AL22" i="1" s="1"/>
  <c r="R21" i="1"/>
  <c r="AL21" i="1" s="1"/>
  <c r="R16" i="1"/>
  <c r="AL16" i="1" s="1"/>
  <c r="R15" i="1"/>
  <c r="R10" i="1"/>
  <c r="AL10" i="1" s="1"/>
  <c r="R9" i="1"/>
  <c r="AL9" i="1" s="1"/>
  <c r="R4" i="1"/>
  <c r="AL4" i="1" s="1"/>
  <c r="R3" i="1"/>
  <c r="AL3" i="1" s="1"/>
  <c r="AL5" i="1" s="1"/>
  <c r="V22" i="1"/>
  <c r="AM22" i="1" s="1"/>
  <c r="V21" i="1"/>
  <c r="AM21" i="1" s="1"/>
  <c r="V16" i="1"/>
  <c r="AM16" i="1" s="1"/>
  <c r="V15" i="1"/>
  <c r="AM15" i="1" s="1"/>
  <c r="V10" i="1"/>
  <c r="V9" i="1"/>
  <c r="AM9" i="1" s="1"/>
  <c r="AI28" i="1"/>
  <c r="AI27" i="1"/>
  <c r="AI23" i="1"/>
  <c r="V4" i="1"/>
  <c r="AM4" i="1" s="1"/>
  <c r="W28" i="1"/>
  <c r="U28" i="1"/>
  <c r="T28" i="1"/>
  <c r="S28" i="1"/>
  <c r="Q28" i="1"/>
  <c r="P28" i="1"/>
  <c r="O28" i="1"/>
  <c r="M28" i="1"/>
  <c r="L28" i="1"/>
  <c r="K28" i="1"/>
  <c r="I28" i="1"/>
  <c r="H28" i="1"/>
  <c r="G28" i="1"/>
  <c r="F28" i="1"/>
  <c r="E28" i="1"/>
  <c r="D28" i="1"/>
  <c r="C28" i="1"/>
  <c r="W27" i="1"/>
  <c r="U27" i="1"/>
  <c r="T27" i="1"/>
  <c r="S27" i="1"/>
  <c r="Q27" i="1"/>
  <c r="P27" i="1"/>
  <c r="O27" i="1"/>
  <c r="M27" i="1"/>
  <c r="L27" i="1"/>
  <c r="K27" i="1"/>
  <c r="I27" i="1"/>
  <c r="H27" i="1"/>
  <c r="G27" i="1"/>
  <c r="F27" i="1"/>
  <c r="E27" i="1"/>
  <c r="D27" i="1"/>
  <c r="C27" i="1"/>
  <c r="W23" i="1"/>
  <c r="U23" i="1"/>
  <c r="T23" i="1"/>
  <c r="S23" i="1"/>
  <c r="Q23" i="1"/>
  <c r="U25" i="1" s="1"/>
  <c r="P23" i="1"/>
  <c r="O23" i="1"/>
  <c r="N23" i="1"/>
  <c r="M23" i="1"/>
  <c r="L23" i="1"/>
  <c r="K23" i="1"/>
  <c r="J23" i="1"/>
  <c r="I23" i="1"/>
  <c r="H23" i="1"/>
  <c r="G23" i="1"/>
  <c r="F23" i="1"/>
  <c r="D23" i="1"/>
  <c r="C23" i="1"/>
  <c r="W17" i="1"/>
  <c r="U17" i="1"/>
  <c r="T17" i="1"/>
  <c r="S17" i="1"/>
  <c r="Q17" i="1"/>
  <c r="P17" i="1"/>
  <c r="O17" i="1"/>
  <c r="M17" i="1"/>
  <c r="L17" i="1"/>
  <c r="K17" i="1"/>
  <c r="O19" i="1" s="1"/>
  <c r="I17" i="1"/>
  <c r="I19" i="1" s="1"/>
  <c r="H17" i="1"/>
  <c r="H19" i="1" s="1"/>
  <c r="G17" i="1"/>
  <c r="G19" i="1" s="1"/>
  <c r="W11" i="1"/>
  <c r="U11" i="1"/>
  <c r="T11" i="1"/>
  <c r="S11" i="1"/>
  <c r="Q11" i="1"/>
  <c r="P11" i="1"/>
  <c r="O11" i="1"/>
  <c r="O13" i="1" s="1"/>
  <c r="M11" i="1"/>
  <c r="L11" i="1"/>
  <c r="K11" i="1"/>
  <c r="I11" i="1"/>
  <c r="I13" i="1" s="1"/>
  <c r="H11" i="1"/>
  <c r="H13" i="1" s="1"/>
  <c r="G11" i="1"/>
  <c r="G13" i="1" s="1"/>
  <c r="W5" i="1"/>
  <c r="U5" i="1"/>
  <c r="T5" i="1"/>
  <c r="S5" i="1"/>
  <c r="Q5" i="1"/>
  <c r="P5" i="1"/>
  <c r="O5" i="1"/>
  <c r="M5" i="1"/>
  <c r="L5" i="1"/>
  <c r="K5" i="1"/>
  <c r="I5" i="1"/>
  <c r="I7" i="1" s="1"/>
  <c r="H5" i="1"/>
  <c r="G5" i="1"/>
  <c r="G7" i="1" s="1"/>
  <c r="X28" i="1"/>
  <c r="X27" i="1"/>
  <c r="X23" i="1"/>
  <c r="X25" i="1" s="1"/>
  <c r="X17" i="1"/>
  <c r="X19" i="1" s="1"/>
  <c r="X11" i="1"/>
  <c r="X5" i="1"/>
  <c r="X37" i="1"/>
  <c r="X52" i="1"/>
  <c r="AM43" i="1"/>
  <c r="AM41" i="1"/>
  <c r="AM39" i="1"/>
  <c r="AM34" i="1"/>
  <c r="AM33" i="1"/>
  <c r="AM31" i="1"/>
  <c r="AK34" i="1"/>
  <c r="AK35" i="1" s="1"/>
  <c r="AJ34" i="1"/>
  <c r="AJ35" i="1" s="1"/>
  <c r="AI34" i="1"/>
  <c r="AL43" i="1"/>
  <c r="AL41" i="1"/>
  <c r="AL39" i="1"/>
  <c r="AL34" i="1"/>
  <c r="AL33" i="1"/>
  <c r="AL31" i="1"/>
  <c r="T37" i="1"/>
  <c r="U37" i="1"/>
  <c r="U35" i="1"/>
  <c r="T35" i="1"/>
  <c r="S35" i="1"/>
  <c r="R35" i="1"/>
  <c r="Q35" i="1"/>
  <c r="P35" i="1"/>
  <c r="O35" i="1"/>
  <c r="M35" i="1"/>
  <c r="L35" i="1"/>
  <c r="K35" i="1"/>
  <c r="I35" i="1"/>
  <c r="H35" i="1"/>
  <c r="G35" i="1"/>
  <c r="E35" i="1"/>
  <c r="D35" i="1"/>
  <c r="C35" i="1"/>
  <c r="Y35" i="1"/>
  <c r="W35" i="1"/>
  <c r="V35" i="1"/>
  <c r="V37" i="1"/>
  <c r="W37" i="1"/>
  <c r="S48" i="1"/>
  <c r="T48" i="1"/>
  <c r="U48" i="1"/>
  <c r="V48" i="1"/>
  <c r="W48" i="1"/>
  <c r="X48" i="1"/>
  <c r="S52" i="1"/>
  <c r="T52" i="1"/>
  <c r="U52" i="1"/>
  <c r="V52" i="1"/>
  <c r="W52" i="1"/>
  <c r="S37" i="1"/>
  <c r="R37" i="1"/>
  <c r="AC32" i="1" l="1"/>
  <c r="AC54" i="1" s="1"/>
  <c r="AO30" i="1"/>
  <c r="AB32" i="1"/>
  <c r="AB54" i="1" s="1"/>
  <c r="AD32" i="1"/>
  <c r="AD54" i="1" s="1"/>
  <c r="AD36" i="1"/>
  <c r="AC36" i="1"/>
  <c r="AB47" i="1"/>
  <c r="AA32" i="1"/>
  <c r="AA54" i="1" s="1"/>
  <c r="AA36" i="1"/>
  <c r="AA55" i="1" s="1"/>
  <c r="AA49" i="1"/>
  <c r="AA38" i="1"/>
  <c r="AA50" i="1"/>
  <c r="AN11" i="1"/>
  <c r="G25" i="1"/>
  <c r="I25" i="1"/>
  <c r="N25" i="1"/>
  <c r="O25" i="1"/>
  <c r="R17" i="1"/>
  <c r="P25" i="1"/>
  <c r="M25" i="1"/>
  <c r="S25" i="1"/>
  <c r="X7" i="1"/>
  <c r="Q19" i="1"/>
  <c r="T25" i="1"/>
  <c r="Q25" i="1"/>
  <c r="M19" i="1"/>
  <c r="Y19" i="1"/>
  <c r="Z11" i="1"/>
  <c r="AN17" i="1"/>
  <c r="K7" i="1"/>
  <c r="H25" i="1"/>
  <c r="J25" i="1"/>
  <c r="K25" i="1"/>
  <c r="O7" i="1"/>
  <c r="Z48" i="1"/>
  <c r="T7" i="1"/>
  <c r="L19" i="1"/>
  <c r="L25" i="1"/>
  <c r="X13" i="1"/>
  <c r="T19" i="1"/>
  <c r="S19" i="1"/>
  <c r="T13" i="1"/>
  <c r="K13" i="1"/>
  <c r="X30" i="1"/>
  <c r="M13" i="1"/>
  <c r="W19" i="1"/>
  <c r="K19" i="1"/>
  <c r="P19" i="1"/>
  <c r="U19" i="1"/>
  <c r="L13" i="1"/>
  <c r="Q13" i="1"/>
  <c r="Y13" i="1"/>
  <c r="W13" i="1"/>
  <c r="Q7" i="1"/>
  <c r="P13" i="1"/>
  <c r="U13" i="1"/>
  <c r="S13" i="1"/>
  <c r="M7" i="1"/>
  <c r="L7" i="1"/>
  <c r="Y7" i="1"/>
  <c r="W7" i="1"/>
  <c r="P7" i="1"/>
  <c r="U7" i="1"/>
  <c r="S7" i="1"/>
  <c r="H7" i="1"/>
  <c r="AJ23" i="1"/>
  <c r="AJ25" i="1" s="1"/>
  <c r="R11" i="1"/>
  <c r="N11" i="1"/>
  <c r="Y30" i="1"/>
  <c r="J5" i="1"/>
  <c r="J7" i="1" s="1"/>
  <c r="J17" i="1"/>
  <c r="J19" i="1" s="1"/>
  <c r="AK23" i="1"/>
  <c r="N28" i="1"/>
  <c r="N27" i="1"/>
  <c r="N17" i="1"/>
  <c r="F30" i="1"/>
  <c r="V23" i="1"/>
  <c r="V11" i="1"/>
  <c r="V5" i="1"/>
  <c r="AJ5" i="1"/>
  <c r="AM5" i="1"/>
  <c r="AM7" i="1" s="1"/>
  <c r="AJ27" i="1"/>
  <c r="AJ11" i="1"/>
  <c r="AJ13" i="1" s="1"/>
  <c r="AL11" i="1"/>
  <c r="AL13" i="1" s="1"/>
  <c r="N5" i="1"/>
  <c r="AJ16" i="1"/>
  <c r="AJ28" i="1" s="1"/>
  <c r="AI5" i="1"/>
  <c r="AI30" i="1" s="1"/>
  <c r="AM10" i="1"/>
  <c r="AM11" i="1" s="1"/>
  <c r="AL15" i="1"/>
  <c r="AL17" i="1" s="1"/>
  <c r="J27" i="1"/>
  <c r="V17" i="1"/>
  <c r="V19" i="1" s="1"/>
  <c r="V27" i="1"/>
  <c r="J28" i="1"/>
  <c r="J11" i="1"/>
  <c r="J13" i="1" s="1"/>
  <c r="AL23" i="1"/>
  <c r="AL28" i="1"/>
  <c r="G30" i="1"/>
  <c r="H30" i="1"/>
  <c r="I30" i="1"/>
  <c r="AK17" i="1"/>
  <c r="K30" i="1"/>
  <c r="L30" i="1"/>
  <c r="AK11" i="1"/>
  <c r="AK13" i="1" s="1"/>
  <c r="AK5" i="1"/>
  <c r="AK28" i="1"/>
  <c r="AK27" i="1"/>
  <c r="M30" i="1"/>
  <c r="R23" i="1"/>
  <c r="R25" i="1" s="1"/>
  <c r="R28" i="1"/>
  <c r="R27" i="1"/>
  <c r="R5" i="1"/>
  <c r="V28" i="1"/>
  <c r="AM23" i="1"/>
  <c r="AM17" i="1"/>
  <c r="AM27" i="1"/>
  <c r="O30" i="1"/>
  <c r="P30" i="1"/>
  <c r="Q30" i="1"/>
  <c r="U30" i="1"/>
  <c r="S30" i="1"/>
  <c r="S32" i="1" s="1"/>
  <c r="W30" i="1"/>
  <c r="T30" i="1"/>
  <c r="T32" i="1" s="1"/>
  <c r="U32" i="1"/>
  <c r="U54" i="1" s="1"/>
  <c r="X32" i="1"/>
  <c r="X54" i="1" s="1"/>
  <c r="Z52" i="1"/>
  <c r="AP31" i="1"/>
  <c r="AQ31" i="1" s="1"/>
  <c r="AM37" i="1"/>
  <c r="Y48" i="1"/>
  <c r="AL35" i="1"/>
  <c r="AP33" i="1"/>
  <c r="AQ33" i="1" s="1"/>
  <c r="S49" i="1"/>
  <c r="AP37" i="1"/>
  <c r="AQ37" i="1" s="1"/>
  <c r="AM35" i="1"/>
  <c r="Z49" i="1"/>
  <c r="X35" i="1"/>
  <c r="X49" i="1" s="1"/>
  <c r="W49" i="1"/>
  <c r="T49" i="1"/>
  <c r="U49" i="1"/>
  <c r="V49" i="1"/>
  <c r="Y49" i="1"/>
  <c r="AU50" i="1"/>
  <c r="AB36" i="1" l="1"/>
  <c r="AB50" i="1" s="1"/>
  <c r="AD55" i="1"/>
  <c r="AD38" i="1"/>
  <c r="AD39" i="1" s="1"/>
  <c r="AC55" i="1"/>
  <c r="AC50" i="1"/>
  <c r="AC38" i="1"/>
  <c r="AC39" i="1" s="1"/>
  <c r="AA56" i="1"/>
  <c r="AA42" i="1"/>
  <c r="AA40" i="1"/>
  <c r="AN5" i="1"/>
  <c r="AN7" i="1" s="1"/>
  <c r="N19" i="1"/>
  <c r="Z27" i="1"/>
  <c r="AL25" i="1"/>
  <c r="Z5" i="1"/>
  <c r="AL19" i="1"/>
  <c r="AN28" i="1"/>
  <c r="AM19" i="1"/>
  <c r="N7" i="1"/>
  <c r="Z28" i="1"/>
  <c r="AK25" i="1"/>
  <c r="Z30" i="1"/>
  <c r="V25" i="1"/>
  <c r="AN13" i="1"/>
  <c r="AM25" i="1"/>
  <c r="AM13" i="1"/>
  <c r="X47" i="1"/>
  <c r="AJ30" i="1"/>
  <c r="Z25" i="1"/>
  <c r="AN19" i="1"/>
  <c r="AJ7" i="1"/>
  <c r="Z17" i="1"/>
  <c r="AK7" i="1"/>
  <c r="AL7" i="1"/>
  <c r="V13" i="1"/>
  <c r="Z19" i="1"/>
  <c r="R19" i="1"/>
  <c r="R13" i="1"/>
  <c r="N13" i="1"/>
  <c r="Z13" i="1"/>
  <c r="R7" i="1"/>
  <c r="V7" i="1"/>
  <c r="Z7" i="1"/>
  <c r="J30" i="1"/>
  <c r="N30" i="1"/>
  <c r="AM28" i="1"/>
  <c r="AM30" i="1" s="1"/>
  <c r="W32" i="1"/>
  <c r="W54" i="1" s="1"/>
  <c r="T47" i="1"/>
  <c r="R30" i="1"/>
  <c r="V30" i="1"/>
  <c r="V32" i="1" s="1"/>
  <c r="V36" i="1" s="1"/>
  <c r="V38" i="1" s="1"/>
  <c r="V40" i="1" s="1"/>
  <c r="AL27" i="1"/>
  <c r="AL30" i="1" s="1"/>
  <c r="AL32" i="1" s="1"/>
  <c r="AL36" i="1" s="1"/>
  <c r="AJ17" i="1"/>
  <c r="AJ19" i="1" s="1"/>
  <c r="W47" i="1"/>
  <c r="AK30" i="1"/>
  <c r="U47" i="1"/>
  <c r="S54" i="1"/>
  <c r="S36" i="1"/>
  <c r="S55" i="1" s="1"/>
  <c r="S47" i="1"/>
  <c r="T54" i="1"/>
  <c r="T36" i="1"/>
  <c r="T38" i="1" s="1"/>
  <c r="T56" i="1" s="1"/>
  <c r="U36" i="1"/>
  <c r="U38" i="1" s="1"/>
  <c r="U56" i="1" s="1"/>
  <c r="X36" i="1"/>
  <c r="C3" i="3"/>
  <c r="C16" i="3"/>
  <c r="AB38" i="1" l="1"/>
  <c r="AB39" i="1" s="1"/>
  <c r="AO39" i="1" s="1"/>
  <c r="AB55" i="1"/>
  <c r="AD42" i="1"/>
  <c r="AD44" i="1" s="1"/>
  <c r="AD40" i="1"/>
  <c r="AD56" i="1"/>
  <c r="AC40" i="1"/>
  <c r="AC42" i="1"/>
  <c r="AC56" i="1"/>
  <c r="AB40" i="1"/>
  <c r="AB42" i="1"/>
  <c r="AB56" i="1"/>
  <c r="Z32" i="1"/>
  <c r="Z54" i="1" s="1"/>
  <c r="AD47" i="1"/>
  <c r="AA51" i="1"/>
  <c r="AA44" i="1"/>
  <c r="AA53" i="1" s="1"/>
  <c r="AK19" i="1"/>
  <c r="AN27" i="1"/>
  <c r="AN30" i="1" s="1"/>
  <c r="AP30" i="1" s="1"/>
  <c r="AQ30" i="1" s="1"/>
  <c r="AN23" i="1"/>
  <c r="AN25" i="1" s="1"/>
  <c r="W36" i="1"/>
  <c r="W38" i="1" s="1"/>
  <c r="W56" i="1" s="1"/>
  <c r="V54" i="1"/>
  <c r="V47" i="1"/>
  <c r="W55" i="1"/>
  <c r="Z47" i="1"/>
  <c r="T55" i="1"/>
  <c r="V56" i="1"/>
  <c r="V42" i="1"/>
  <c r="V44" i="1" s="1"/>
  <c r="V55" i="1"/>
  <c r="Y47" i="1"/>
  <c r="Y32" i="1"/>
  <c r="S38" i="1"/>
  <c r="S40" i="1" s="1"/>
  <c r="X50" i="1"/>
  <c r="U55" i="1"/>
  <c r="X38" i="1"/>
  <c r="X55" i="1"/>
  <c r="T42" i="1"/>
  <c r="T40" i="1"/>
  <c r="U42" i="1"/>
  <c r="U40" i="1"/>
  <c r="N41" i="1"/>
  <c r="N39" i="1"/>
  <c r="N33" i="1"/>
  <c r="N35" i="1" s="1"/>
  <c r="N31" i="1"/>
  <c r="J41" i="1"/>
  <c r="J39" i="1"/>
  <c r="J33" i="1"/>
  <c r="J35" i="1" s="1"/>
  <c r="J31" i="1"/>
  <c r="F41" i="1"/>
  <c r="F39" i="1"/>
  <c r="F31" i="1"/>
  <c r="AK37" i="1"/>
  <c r="AJ37" i="1"/>
  <c r="AK43" i="1"/>
  <c r="AK52" i="1" s="1"/>
  <c r="AJ32" i="1"/>
  <c r="AK32" i="1"/>
  <c r="AK48" i="1"/>
  <c r="AJ48" i="1"/>
  <c r="AK47" i="1"/>
  <c r="AJ47" i="1"/>
  <c r="R52" i="1"/>
  <c r="Q52" i="1"/>
  <c r="P52" i="1"/>
  <c r="O52" i="1"/>
  <c r="N52" i="1"/>
  <c r="M52" i="1"/>
  <c r="L52" i="1"/>
  <c r="K52" i="1"/>
  <c r="I52" i="1"/>
  <c r="H52" i="1"/>
  <c r="G52" i="1"/>
  <c r="AC44" i="1" l="1"/>
  <c r="AC53" i="1" s="1"/>
  <c r="AC51" i="1"/>
  <c r="AB44" i="1"/>
  <c r="AB53" i="1" s="1"/>
  <c r="AB51" i="1"/>
  <c r="Z36" i="1"/>
  <c r="Z50" i="1" s="1"/>
  <c r="W40" i="1"/>
  <c r="W42" i="1"/>
  <c r="S56" i="1"/>
  <c r="W50" i="1"/>
  <c r="S42" i="1"/>
  <c r="Y54" i="1"/>
  <c r="Y36" i="1"/>
  <c r="X42" i="1"/>
  <c r="X44" i="1" s="1"/>
  <c r="S44" i="1"/>
  <c r="W44" i="1"/>
  <c r="W51" i="1"/>
  <c r="T44" i="1"/>
  <c r="U44" i="1"/>
  <c r="AN47" i="1"/>
  <c r="AL52" i="1"/>
  <c r="AM52" i="1"/>
  <c r="AN32" i="1"/>
  <c r="AN54" i="1" s="1"/>
  <c r="AM48" i="1"/>
  <c r="AN35" i="1"/>
  <c r="AP47" i="1"/>
  <c r="AN48" i="1"/>
  <c r="AM32" i="1"/>
  <c r="AM54" i="1" s="1"/>
  <c r="AL49" i="1"/>
  <c r="AL48" i="1"/>
  <c r="R32" i="1"/>
  <c r="R36" i="1" s="1"/>
  <c r="V50" i="1" s="1"/>
  <c r="AM47" i="1"/>
  <c r="AL47" i="1"/>
  <c r="AK49" i="1"/>
  <c r="AK36" i="1"/>
  <c r="AJ52" i="1"/>
  <c r="AJ36" i="1"/>
  <c r="AJ38" i="1" s="1"/>
  <c r="R48" i="1"/>
  <c r="Q48" i="1"/>
  <c r="P48" i="1"/>
  <c r="O48" i="1"/>
  <c r="N48" i="1"/>
  <c r="M48" i="1"/>
  <c r="L48" i="1"/>
  <c r="K48" i="1"/>
  <c r="J48" i="1"/>
  <c r="I48" i="1"/>
  <c r="H48" i="1"/>
  <c r="R47" i="1"/>
  <c r="Q47" i="1"/>
  <c r="P47" i="1"/>
  <c r="O47" i="1"/>
  <c r="N47" i="1"/>
  <c r="M47" i="1"/>
  <c r="L47" i="1"/>
  <c r="K47" i="1"/>
  <c r="J47" i="1"/>
  <c r="I47" i="1"/>
  <c r="H47" i="1"/>
  <c r="G48" i="1"/>
  <c r="Z55" i="1" l="1"/>
  <c r="Z38" i="1"/>
  <c r="Z56" i="1" s="1"/>
  <c r="AD50" i="1"/>
  <c r="Z40" i="1"/>
  <c r="Z42" i="1"/>
  <c r="Y38" i="1"/>
  <c r="Y50" i="1"/>
  <c r="Y55" i="1"/>
  <c r="W53" i="1"/>
  <c r="X40" i="1"/>
  <c r="X56" i="1"/>
  <c r="X51" i="1"/>
  <c r="AO47" i="1"/>
  <c r="X53" i="1"/>
  <c r="R38" i="1"/>
  <c r="R40" i="1" s="1"/>
  <c r="AO32" i="1"/>
  <c r="AO54" i="1" s="1"/>
  <c r="AO48" i="1"/>
  <c r="AM36" i="1"/>
  <c r="AM55" i="1" s="1"/>
  <c r="AM49" i="1"/>
  <c r="AO35" i="1"/>
  <c r="AQ47" i="1"/>
  <c r="AK38" i="1"/>
  <c r="AK42" i="1" s="1"/>
  <c r="AK50" i="1"/>
  <c r="AJ42" i="1"/>
  <c r="AJ40" i="1"/>
  <c r="G47" i="1"/>
  <c r="AJ56" i="1"/>
  <c r="AK55" i="1"/>
  <c r="AJ55" i="1"/>
  <c r="R55" i="1"/>
  <c r="AL54" i="1"/>
  <c r="AK54" i="1"/>
  <c r="AJ54" i="1"/>
  <c r="R54" i="1"/>
  <c r="F43" i="1"/>
  <c r="J52" i="1" s="1"/>
  <c r="Z44" i="1" l="1"/>
  <c r="AD51" i="1"/>
  <c r="Z51" i="1"/>
  <c r="Y40" i="1"/>
  <c r="AK56" i="1"/>
  <c r="AK40" i="1"/>
  <c r="AP48" i="1"/>
  <c r="AP43" i="1"/>
  <c r="AO52" i="1"/>
  <c r="AN52" i="1"/>
  <c r="AP32" i="1"/>
  <c r="AP54" i="1" s="1"/>
  <c r="AL55" i="1"/>
  <c r="AL50" i="1"/>
  <c r="AM50" i="1"/>
  <c r="AP35" i="1"/>
  <c r="AN49" i="1"/>
  <c r="AN36" i="1"/>
  <c r="R56" i="1"/>
  <c r="R42" i="1"/>
  <c r="V51" i="1" s="1"/>
  <c r="AK44" i="1"/>
  <c r="AJ44" i="1"/>
  <c r="AK51" i="1"/>
  <c r="F32" i="1"/>
  <c r="F54" i="1" s="1"/>
  <c r="AI37" i="1"/>
  <c r="AI32" i="1"/>
  <c r="AI54" i="1" s="1"/>
  <c r="C37" i="1"/>
  <c r="G37" i="1"/>
  <c r="C32" i="1"/>
  <c r="G32" i="1"/>
  <c r="D37" i="1"/>
  <c r="H37" i="1"/>
  <c r="H32" i="1"/>
  <c r="D32" i="1"/>
  <c r="D54" i="1" s="1"/>
  <c r="E37" i="1"/>
  <c r="E32" i="1"/>
  <c r="I37" i="1"/>
  <c r="I49" i="1"/>
  <c r="I32" i="1"/>
  <c r="J32" i="1"/>
  <c r="R49" i="1"/>
  <c r="N32" i="1"/>
  <c r="N54" i="1" s="1"/>
  <c r="K37" i="1"/>
  <c r="O37" i="1"/>
  <c r="K49" i="1"/>
  <c r="K32" i="1"/>
  <c r="O32" i="1"/>
  <c r="O54" i="1" s="1"/>
  <c r="L37" i="1"/>
  <c r="P37" i="1"/>
  <c r="L32" i="1"/>
  <c r="L54" i="1" s="1"/>
  <c r="P49" i="1"/>
  <c r="P32" i="1"/>
  <c r="P54" i="1" s="1"/>
  <c r="M37" i="1"/>
  <c r="M32" i="1"/>
  <c r="M54" i="1" s="1"/>
  <c r="Q37" i="1"/>
  <c r="Q32" i="1"/>
  <c r="Q54" i="1" s="1"/>
  <c r="C4" i="2" a="1"/>
  <c r="C4" i="2" s="1"/>
  <c r="Z53" i="1" l="1"/>
  <c r="AD53" i="1"/>
  <c r="Y42" i="1"/>
  <c r="Y44" i="1" s="1"/>
  <c r="Y56" i="1"/>
  <c r="AL37" i="1"/>
  <c r="AL38" i="1" s="1"/>
  <c r="Y52" i="1"/>
  <c r="AQ35" i="1"/>
  <c r="L49" i="1"/>
  <c r="Q49" i="1"/>
  <c r="J37" i="1"/>
  <c r="C6" i="2"/>
  <c r="C4" i="3" s="1"/>
  <c r="AU53" i="1"/>
  <c r="I36" i="1"/>
  <c r="I54" i="1"/>
  <c r="H36" i="1"/>
  <c r="H54" i="1"/>
  <c r="R44" i="1"/>
  <c r="V53" i="1" s="1"/>
  <c r="O49" i="1"/>
  <c r="G36" i="1"/>
  <c r="G54" i="1"/>
  <c r="AP52" i="1"/>
  <c r="AQ43" i="1"/>
  <c r="AQ52" i="1" s="1"/>
  <c r="E36" i="1"/>
  <c r="E54" i="1"/>
  <c r="C36" i="1"/>
  <c r="C55" i="1" s="1"/>
  <c r="C54" i="1"/>
  <c r="M36" i="1"/>
  <c r="M38" i="1" s="1"/>
  <c r="M42" i="1" s="1"/>
  <c r="M49" i="1"/>
  <c r="N37" i="1"/>
  <c r="H49" i="1"/>
  <c r="Q36" i="1"/>
  <c r="U50" i="1" s="1"/>
  <c r="K36" i="1"/>
  <c r="K54" i="1"/>
  <c r="G49" i="1"/>
  <c r="F37" i="1"/>
  <c r="AQ48" i="1"/>
  <c r="AQ32" i="1"/>
  <c r="AQ54" i="1" s="1"/>
  <c r="AO49" i="1"/>
  <c r="AO36" i="1"/>
  <c r="AN50" i="1"/>
  <c r="AN55" i="1"/>
  <c r="N49" i="1"/>
  <c r="J36" i="1"/>
  <c r="J54" i="1"/>
  <c r="AK53" i="1"/>
  <c r="D36" i="1"/>
  <c r="N36" i="1"/>
  <c r="O36" i="1"/>
  <c r="S50" i="1" s="1"/>
  <c r="L36" i="1"/>
  <c r="P36" i="1"/>
  <c r="T50" i="1" s="1"/>
  <c r="Y51" i="1" l="1"/>
  <c r="J38" i="1"/>
  <c r="Y53" i="1"/>
  <c r="C9" i="2"/>
  <c r="C38" i="1"/>
  <c r="C56" i="1" s="1"/>
  <c r="AL42" i="1"/>
  <c r="AL44" i="1" s="1"/>
  <c r="AL40" i="1"/>
  <c r="C5" i="3"/>
  <c r="C6" i="3" s="1"/>
  <c r="K50" i="1"/>
  <c r="K55" i="1"/>
  <c r="H50" i="1"/>
  <c r="H55" i="1"/>
  <c r="O38" i="1"/>
  <c r="O50" i="1"/>
  <c r="O55" i="1"/>
  <c r="H38" i="1"/>
  <c r="Q50" i="1"/>
  <c r="Q55" i="1"/>
  <c r="Q38" i="1"/>
  <c r="M50" i="1"/>
  <c r="M55" i="1"/>
  <c r="E38" i="1"/>
  <c r="E55" i="1"/>
  <c r="M56" i="1"/>
  <c r="M40" i="1"/>
  <c r="D38" i="1"/>
  <c r="D55" i="1"/>
  <c r="I38" i="1"/>
  <c r="I50" i="1"/>
  <c r="I55" i="1"/>
  <c r="L38" i="1"/>
  <c r="L50" i="1"/>
  <c r="L55" i="1"/>
  <c r="K38" i="1"/>
  <c r="P38" i="1"/>
  <c r="P50" i="1"/>
  <c r="P55" i="1"/>
  <c r="G38" i="1"/>
  <c r="G50" i="1"/>
  <c r="G55" i="1"/>
  <c r="AP49" i="1"/>
  <c r="AP36" i="1"/>
  <c r="AQ49" i="1"/>
  <c r="AQ36" i="1"/>
  <c r="AO55" i="1"/>
  <c r="AO50" i="1"/>
  <c r="N38" i="1"/>
  <c r="N42" i="1" s="1"/>
  <c r="R50" i="1"/>
  <c r="N55" i="1"/>
  <c r="J42" i="1"/>
  <c r="J56" i="1"/>
  <c r="J40" i="1"/>
  <c r="N50" i="1"/>
  <c r="J55" i="1"/>
  <c r="C42" i="1" l="1"/>
  <c r="C40" i="1"/>
  <c r="C7" i="3"/>
  <c r="AL56" i="1"/>
  <c r="G56" i="1"/>
  <c r="G40" i="1"/>
  <c r="G42" i="1"/>
  <c r="O42" i="1"/>
  <c r="S51" i="1" s="1"/>
  <c r="O56" i="1"/>
  <c r="O40" i="1"/>
  <c r="AM38" i="1"/>
  <c r="AM56" i="1" s="1"/>
  <c r="L42" i="1"/>
  <c r="L56" i="1"/>
  <c r="L40" i="1"/>
  <c r="H56" i="1"/>
  <c r="H40" i="1"/>
  <c r="H42" i="1"/>
  <c r="K42" i="1"/>
  <c r="K56" i="1"/>
  <c r="K40" i="1"/>
  <c r="D56" i="1"/>
  <c r="D42" i="1"/>
  <c r="D40" i="1"/>
  <c r="M44" i="1"/>
  <c r="Q56" i="1"/>
  <c r="Q40" i="1"/>
  <c r="Q42" i="1"/>
  <c r="U51" i="1" s="1"/>
  <c r="I56" i="1"/>
  <c r="I42" i="1"/>
  <c r="M51" i="1" s="1"/>
  <c r="I40" i="1"/>
  <c r="P42" i="1"/>
  <c r="T51" i="1" s="1"/>
  <c r="P56" i="1"/>
  <c r="P40" i="1"/>
  <c r="E56" i="1"/>
  <c r="E40" i="1"/>
  <c r="E42" i="1"/>
  <c r="AQ55" i="1"/>
  <c r="AQ50" i="1"/>
  <c r="AP50" i="1"/>
  <c r="AP55" i="1"/>
  <c r="N56" i="1"/>
  <c r="N40" i="1"/>
  <c r="J44" i="1"/>
  <c r="C44" i="1" l="1"/>
  <c r="Q44" i="1"/>
  <c r="U53" i="1" s="1"/>
  <c r="Q51" i="1"/>
  <c r="AN38" i="1"/>
  <c r="D44" i="1"/>
  <c r="K44" i="1"/>
  <c r="K51" i="1"/>
  <c r="I44" i="1"/>
  <c r="M53" i="1" s="1"/>
  <c r="I51" i="1"/>
  <c r="H51" i="1"/>
  <c r="H44" i="1"/>
  <c r="L44" i="1"/>
  <c r="L51" i="1"/>
  <c r="G44" i="1"/>
  <c r="G53" i="1" s="1"/>
  <c r="G51" i="1"/>
  <c r="AL51" i="1"/>
  <c r="N51" i="1"/>
  <c r="P44" i="1"/>
  <c r="T53" i="1" s="1"/>
  <c r="P51" i="1"/>
  <c r="E44" i="1"/>
  <c r="O44" i="1"/>
  <c r="S53" i="1" s="1"/>
  <c r="O51" i="1"/>
  <c r="N44" i="1"/>
  <c r="R53" i="1" s="1"/>
  <c r="R51" i="1"/>
  <c r="Q53" i="1" l="1"/>
  <c r="P53" i="1"/>
  <c r="O53" i="1"/>
  <c r="H53" i="1"/>
  <c r="K53" i="1"/>
  <c r="AM42" i="1"/>
  <c r="AM44" i="1" s="1"/>
  <c r="AO38" i="1"/>
  <c r="AM40" i="1"/>
  <c r="L53" i="1"/>
  <c r="AL53" i="1"/>
  <c r="I53" i="1"/>
  <c r="AN56" i="1"/>
  <c r="N53" i="1"/>
  <c r="AM51" i="1" l="1"/>
  <c r="AN40" i="1"/>
  <c r="AN42" i="1"/>
  <c r="AN44" i="1" s="1"/>
  <c r="AO56" i="1"/>
  <c r="AQ38" i="1"/>
  <c r="AP38" i="1"/>
  <c r="AM53" i="1"/>
  <c r="AN51" i="1" l="1"/>
  <c r="AO40" i="1"/>
  <c r="AP39" i="1"/>
  <c r="AP56" i="1" s="1"/>
  <c r="AQ39" i="1"/>
  <c r="AQ56" i="1" s="1"/>
  <c r="AN53" i="1"/>
  <c r="AO42" i="1"/>
  <c r="AP40" i="1" l="1"/>
  <c r="AP42" i="1"/>
  <c r="AP51" i="1" s="1"/>
  <c r="AQ40" i="1"/>
  <c r="AQ42" i="1"/>
  <c r="AT42" i="1" s="1"/>
  <c r="AU42" i="1" s="1"/>
  <c r="AV42" i="1" s="1"/>
  <c r="AW42" i="1" s="1"/>
  <c r="AX42" i="1" s="1"/>
  <c r="AY42" i="1" s="1"/>
  <c r="AZ42" i="1" s="1"/>
  <c r="BA42" i="1" s="1"/>
  <c r="BB42" i="1" s="1"/>
  <c r="BC42" i="1" s="1"/>
  <c r="BD42" i="1" s="1"/>
  <c r="BE42" i="1" s="1"/>
  <c r="BF42" i="1" s="1"/>
  <c r="BG42" i="1" s="1"/>
  <c r="BH42" i="1" s="1"/>
  <c r="BI42" i="1" s="1"/>
  <c r="BJ42" i="1" s="1"/>
  <c r="BK42" i="1" s="1"/>
  <c r="BL42" i="1" s="1"/>
  <c r="BM42" i="1" s="1"/>
  <c r="BN42" i="1" s="1"/>
  <c r="BO42" i="1" s="1"/>
  <c r="BP42" i="1" s="1"/>
  <c r="BQ42" i="1" s="1"/>
  <c r="BR42" i="1" s="1"/>
  <c r="BS42" i="1" s="1"/>
  <c r="BT42" i="1" s="1"/>
  <c r="BU42" i="1" s="1"/>
  <c r="BV42" i="1" s="1"/>
  <c r="BW42" i="1" s="1"/>
  <c r="BX42" i="1" s="1"/>
  <c r="BY42" i="1" s="1"/>
  <c r="BZ42" i="1" s="1"/>
  <c r="CA42" i="1" s="1"/>
  <c r="CB42" i="1" s="1"/>
  <c r="CC42" i="1" s="1"/>
  <c r="CD42" i="1" s="1"/>
  <c r="CE42" i="1" s="1"/>
  <c r="CF42" i="1" s="1"/>
  <c r="CG42" i="1" s="1"/>
  <c r="CH42" i="1" s="1"/>
  <c r="CI42" i="1" s="1"/>
  <c r="CJ42" i="1" s="1"/>
  <c r="CK42" i="1" s="1"/>
  <c r="CL42" i="1" s="1"/>
  <c r="CM42" i="1" s="1"/>
  <c r="CN42" i="1" s="1"/>
  <c r="CO42" i="1" s="1"/>
  <c r="CP42" i="1" s="1"/>
  <c r="CQ42" i="1" s="1"/>
  <c r="CR42" i="1" s="1"/>
  <c r="CS42" i="1" s="1"/>
  <c r="CT42" i="1" s="1"/>
  <c r="CU42" i="1" s="1"/>
  <c r="CV42" i="1" s="1"/>
  <c r="CW42" i="1" s="1"/>
  <c r="CX42" i="1" s="1"/>
  <c r="CY42" i="1" s="1"/>
  <c r="CZ42" i="1" s="1"/>
  <c r="DA42" i="1" s="1"/>
  <c r="DB42" i="1" s="1"/>
  <c r="DC42" i="1" s="1"/>
  <c r="DD42" i="1" s="1"/>
  <c r="DE42" i="1" s="1"/>
  <c r="DF42" i="1" s="1"/>
  <c r="DG42" i="1" s="1"/>
  <c r="DH42" i="1" s="1"/>
  <c r="DI42" i="1" s="1"/>
  <c r="DJ42" i="1" s="1"/>
  <c r="DK42" i="1" s="1"/>
  <c r="DL42" i="1" s="1"/>
  <c r="DM42" i="1" s="1"/>
  <c r="DN42" i="1" s="1"/>
  <c r="DO42" i="1" s="1"/>
  <c r="DP42" i="1" s="1"/>
  <c r="DQ42" i="1" s="1"/>
  <c r="DR42" i="1" s="1"/>
  <c r="DS42" i="1" s="1"/>
  <c r="DT42" i="1" s="1"/>
  <c r="DU42" i="1" s="1"/>
  <c r="DV42" i="1" s="1"/>
  <c r="DW42" i="1" s="1"/>
  <c r="DX42" i="1" s="1"/>
  <c r="DY42" i="1" s="1"/>
  <c r="DZ42" i="1" s="1"/>
  <c r="EA42" i="1" s="1"/>
  <c r="EB42" i="1" s="1"/>
  <c r="EC42" i="1" s="1"/>
  <c r="ED42" i="1" s="1"/>
  <c r="EE42" i="1" s="1"/>
  <c r="EF42" i="1" s="1"/>
  <c r="EG42" i="1" s="1"/>
  <c r="EH42" i="1" s="1"/>
  <c r="EI42" i="1" s="1"/>
  <c r="EJ42" i="1" s="1"/>
  <c r="EK42" i="1" s="1"/>
  <c r="EL42" i="1" s="1"/>
  <c r="EM42" i="1" s="1"/>
  <c r="EN42" i="1" s="1"/>
  <c r="EO42" i="1" s="1"/>
  <c r="EP42" i="1" s="1"/>
  <c r="EQ42" i="1" s="1"/>
  <c r="ER42" i="1" s="1"/>
  <c r="ES42" i="1" s="1"/>
  <c r="ET42" i="1" s="1"/>
  <c r="EU42" i="1" s="1"/>
  <c r="EV42" i="1" s="1"/>
  <c r="EW42" i="1" s="1"/>
  <c r="EX42" i="1" s="1"/>
  <c r="EY42" i="1" s="1"/>
  <c r="EZ42" i="1" s="1"/>
  <c r="FA42" i="1" s="1"/>
  <c r="FB42" i="1" s="1"/>
  <c r="FC42" i="1" s="1"/>
  <c r="FD42" i="1" s="1"/>
  <c r="FE42" i="1" s="1"/>
  <c r="FF42" i="1" s="1"/>
  <c r="FG42" i="1" s="1"/>
  <c r="FH42" i="1" s="1"/>
  <c r="FI42" i="1" s="1"/>
  <c r="FJ42" i="1" s="1"/>
  <c r="FK42" i="1" s="1"/>
  <c r="FL42" i="1" s="1"/>
  <c r="FM42" i="1" s="1"/>
  <c r="FN42" i="1" s="1"/>
  <c r="FO42" i="1" s="1"/>
  <c r="FP42" i="1" s="1"/>
  <c r="FQ42" i="1" s="1"/>
  <c r="FR42" i="1" s="1"/>
  <c r="FS42" i="1" s="1"/>
  <c r="FT42" i="1" s="1"/>
  <c r="FU42" i="1" s="1"/>
  <c r="FV42" i="1" s="1"/>
  <c r="FW42" i="1" s="1"/>
  <c r="FX42" i="1" s="1"/>
  <c r="FY42" i="1" s="1"/>
  <c r="FZ42" i="1" s="1"/>
  <c r="GA42" i="1" s="1"/>
  <c r="GB42" i="1" s="1"/>
  <c r="GC42" i="1" s="1"/>
  <c r="GD42" i="1" s="1"/>
  <c r="GE42" i="1" s="1"/>
  <c r="GF42" i="1" s="1"/>
  <c r="GG42" i="1" s="1"/>
  <c r="GH42" i="1" s="1"/>
  <c r="GI42" i="1" s="1"/>
  <c r="GJ42" i="1" s="1"/>
  <c r="GK42" i="1" s="1"/>
  <c r="GL42" i="1" s="1"/>
  <c r="GM42" i="1" s="1"/>
  <c r="GN42" i="1" s="1"/>
  <c r="GO42" i="1" s="1"/>
  <c r="GP42" i="1" s="1"/>
  <c r="GQ42" i="1" s="1"/>
  <c r="GR42" i="1" s="1"/>
  <c r="GS42" i="1" s="1"/>
  <c r="GT42" i="1" s="1"/>
  <c r="GU42" i="1" s="1"/>
  <c r="GV42" i="1" s="1"/>
  <c r="GW42" i="1" s="1"/>
  <c r="GX42" i="1" s="1"/>
  <c r="GY42" i="1" s="1"/>
  <c r="GZ42" i="1" s="1"/>
  <c r="HA42" i="1" s="1"/>
  <c r="HB42" i="1" s="1"/>
  <c r="HC42" i="1" s="1"/>
  <c r="HD42" i="1" s="1"/>
  <c r="HE42" i="1" s="1"/>
  <c r="HF42" i="1" s="1"/>
  <c r="HG42" i="1" s="1"/>
  <c r="HH42" i="1" s="1"/>
  <c r="HI42" i="1" s="1"/>
  <c r="HJ42" i="1" s="1"/>
  <c r="HK42" i="1" s="1"/>
  <c r="HL42" i="1" s="1"/>
  <c r="HM42" i="1" s="1"/>
  <c r="HN42" i="1" s="1"/>
  <c r="HO42" i="1" s="1"/>
  <c r="HP42" i="1" s="1"/>
  <c r="HQ42" i="1" s="1"/>
  <c r="HR42" i="1" s="1"/>
  <c r="HS42" i="1" s="1"/>
  <c r="HT42" i="1" s="1"/>
  <c r="HU42" i="1" s="1"/>
  <c r="HV42" i="1" s="1"/>
  <c r="HW42" i="1" s="1"/>
  <c r="HX42" i="1" s="1"/>
  <c r="HY42" i="1" s="1"/>
  <c r="HZ42" i="1" s="1"/>
  <c r="IA42" i="1" s="1"/>
  <c r="IB42" i="1" s="1"/>
  <c r="IC42" i="1" s="1"/>
  <c r="ID42" i="1" s="1"/>
  <c r="IE42" i="1" s="1"/>
  <c r="IF42" i="1" s="1"/>
  <c r="IG42" i="1" s="1"/>
  <c r="IH42" i="1" s="1"/>
  <c r="II42" i="1" s="1"/>
  <c r="IJ42" i="1" s="1"/>
  <c r="IK42" i="1" s="1"/>
  <c r="IL42" i="1" s="1"/>
  <c r="IM42" i="1" s="1"/>
  <c r="IN42" i="1" s="1"/>
  <c r="IO42" i="1" s="1"/>
  <c r="IP42" i="1" s="1"/>
  <c r="IQ42" i="1" s="1"/>
  <c r="IR42" i="1" s="1"/>
  <c r="IS42" i="1" s="1"/>
  <c r="IT42" i="1" s="1"/>
  <c r="IU42" i="1" s="1"/>
  <c r="IV42" i="1" s="1"/>
  <c r="IW42" i="1" s="1"/>
  <c r="IX42" i="1" s="1"/>
  <c r="IY42" i="1" s="1"/>
  <c r="IZ42" i="1" s="1"/>
  <c r="JA42" i="1" s="1"/>
  <c r="JB42" i="1" s="1"/>
  <c r="JC42" i="1" s="1"/>
  <c r="JD42" i="1" s="1"/>
  <c r="JE42" i="1" s="1"/>
  <c r="JF42" i="1" s="1"/>
  <c r="JG42" i="1" s="1"/>
  <c r="JH42" i="1" s="1"/>
  <c r="JI42" i="1" s="1"/>
  <c r="JJ42" i="1" s="1"/>
  <c r="JK42" i="1" s="1"/>
  <c r="JL42" i="1" s="1"/>
  <c r="JM42" i="1" s="1"/>
  <c r="AO51" i="1"/>
  <c r="AO44" i="1"/>
  <c r="AP44" i="1" l="1"/>
  <c r="AQ44" i="1"/>
  <c r="AQ51" i="1"/>
  <c r="AO53" i="1"/>
  <c r="AQ53" i="1" l="1"/>
  <c r="AP53" i="1"/>
  <c r="F33" i="1" l="1"/>
  <c r="F35" i="1" s="1"/>
  <c r="AI35" i="1"/>
  <c r="AI36" i="1" s="1"/>
  <c r="AJ50" i="1" l="1"/>
  <c r="AI38" i="1"/>
  <c r="AI55" i="1"/>
  <c r="F36" i="1"/>
  <c r="J49" i="1"/>
  <c r="AJ49" i="1"/>
  <c r="F38" i="1" l="1"/>
  <c r="J50" i="1"/>
  <c r="F55" i="1"/>
  <c r="AI56" i="1"/>
  <c r="C11" i="3" s="1"/>
  <c r="C18" i="3" s="1"/>
  <c r="AI42" i="1"/>
  <c r="AI40" i="1"/>
  <c r="AU48" i="1" l="1"/>
  <c r="AJ51" i="1"/>
  <c r="AI44" i="1"/>
  <c r="AJ53" i="1" s="1"/>
  <c r="F42" i="1"/>
  <c r="F40" i="1"/>
  <c r="F56" i="1"/>
  <c r="AU49" i="1" l="1"/>
  <c r="AU51" i="1" s="1"/>
  <c r="AU52" i="1" s="1"/>
  <c r="AU54" i="1" s="1"/>
  <c r="J51" i="1"/>
  <c r="F44" i="1"/>
  <c r="J5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tc={B11326B7-3EC4-43DE-87FF-ADBAF0D09965}</author>
  </authors>
  <commentList>
    <comment ref="B8" authorId="0" shapeId="0" xr:uid="{B11326B7-3EC4-43DE-87FF-ADBAF0D09965}">
      <text>
        <t>[Threaded comment]
Your version of Excel allows you to read this threaded comment; however, any edits to it will get removed if the file is opened in a newer version of Excel. Learn more: https://go.microsoft.com/fwlink/?linkid=870924
Comment:
    ST debt, Accrued salaries/wages/EE benefits, LT debt, LT EE related benefits &amp; other liabs.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<sst xmlns="http://schemas.openxmlformats.org/spreadsheetml/2006/main" count="108" uniqueCount="101">
  <si>
    <t>Company</t>
  </si>
  <si>
    <t>Source</t>
  </si>
  <si>
    <t>Price</t>
  </si>
  <si>
    <t>Shares</t>
  </si>
  <si>
    <t>4Q20</t>
  </si>
  <si>
    <t>Market Cap</t>
  </si>
  <si>
    <t>Cash</t>
  </si>
  <si>
    <t>Debt</t>
  </si>
  <si>
    <t>EV</t>
  </si>
  <si>
    <t>3Q20</t>
  </si>
  <si>
    <t>COGS</t>
  </si>
  <si>
    <t>Gross Profit</t>
  </si>
  <si>
    <t>SG&amp;A</t>
  </si>
  <si>
    <t>Opex</t>
  </si>
  <si>
    <t>Operating Income</t>
  </si>
  <si>
    <t>Pretax Income</t>
  </si>
  <si>
    <t>Interest Income/(Expense)</t>
  </si>
  <si>
    <t>Taxes</t>
  </si>
  <si>
    <t>Net Income</t>
  </si>
  <si>
    <t>EPS</t>
  </si>
  <si>
    <t>1Q17</t>
  </si>
  <si>
    <t>2Q17</t>
  </si>
  <si>
    <t>3Q17</t>
  </si>
  <si>
    <t>4Q17</t>
  </si>
  <si>
    <t>1Q18</t>
  </si>
  <si>
    <t>2Q18</t>
  </si>
  <si>
    <t>3Q18</t>
  </si>
  <si>
    <t>4Q18</t>
  </si>
  <si>
    <t>1Q19</t>
  </si>
  <si>
    <t>2Q19</t>
  </si>
  <si>
    <t>3Q19</t>
  </si>
  <si>
    <t>4Q19</t>
  </si>
  <si>
    <t>1Q20</t>
  </si>
  <si>
    <t>2Q20</t>
  </si>
  <si>
    <t>Net Income/(Loss) attributale to NCI</t>
  </si>
  <si>
    <t>Revenue Y/Y</t>
  </si>
  <si>
    <t>COGS Y/Y</t>
  </si>
  <si>
    <t>Opex Y/Y</t>
  </si>
  <si>
    <t>OI Y/Y</t>
  </si>
  <si>
    <t>NI Y/Y</t>
  </si>
  <si>
    <t>Shares Y/Y</t>
  </si>
  <si>
    <t>EPS Y/Y</t>
  </si>
  <si>
    <t>GM</t>
  </si>
  <si>
    <t>OM</t>
  </si>
  <si>
    <t>Maturity Value</t>
  </si>
  <si>
    <t>Discount Rate</t>
  </si>
  <si>
    <t>NPV</t>
  </si>
  <si>
    <t>Net Cash</t>
  </si>
  <si>
    <t>Total Value</t>
  </si>
  <si>
    <t>Per Share</t>
  </si>
  <si>
    <t>Current</t>
  </si>
  <si>
    <t>Difference</t>
  </si>
  <si>
    <t>Equity</t>
  </si>
  <si>
    <t>D+E</t>
  </si>
  <si>
    <t>Wdebt</t>
  </si>
  <si>
    <t>Wequity</t>
  </si>
  <si>
    <t>Tax rate</t>
  </si>
  <si>
    <t>average</t>
  </si>
  <si>
    <t>Interest expense</t>
  </si>
  <si>
    <t>Cost of debt</t>
  </si>
  <si>
    <t>Risk-free rate</t>
  </si>
  <si>
    <t>Beta</t>
  </si>
  <si>
    <t>Market return</t>
  </si>
  <si>
    <t xml:space="preserve">average </t>
  </si>
  <si>
    <t>Cost of equity</t>
  </si>
  <si>
    <t>WACC</t>
  </si>
  <si>
    <t>1Q21</t>
  </si>
  <si>
    <t>2Q21</t>
  </si>
  <si>
    <t>3Q21</t>
  </si>
  <si>
    <t>4Q21</t>
  </si>
  <si>
    <t>1Q22</t>
  </si>
  <si>
    <t>2Q22</t>
  </si>
  <si>
    <t>3Q22</t>
  </si>
  <si>
    <t>4Q22</t>
  </si>
  <si>
    <t>Restructuring Charges</t>
  </si>
  <si>
    <t>Americas Wholesale Revenue</t>
  </si>
  <si>
    <t>Americas D2C Revenue</t>
  </si>
  <si>
    <t>Americas Total Revenue</t>
  </si>
  <si>
    <t>Europe Wholesale Revenue</t>
  </si>
  <si>
    <t>Europe D2C Revenue</t>
  </si>
  <si>
    <t>Europe Total Revenue</t>
  </si>
  <si>
    <t>Asia Wholesale Revenue</t>
  </si>
  <si>
    <t>Asia D2C Revenue</t>
  </si>
  <si>
    <t>Asia Total Revenue</t>
  </si>
  <si>
    <t>Other Brands Wholesale Revenue</t>
  </si>
  <si>
    <t>Other Brands D2C Revenue</t>
  </si>
  <si>
    <t>Other Brands Total Revenue</t>
  </si>
  <si>
    <t>Total LEVI Revenue</t>
  </si>
  <si>
    <t>Total Wholesale Revenue</t>
  </si>
  <si>
    <t>Total D2C Revenue</t>
  </si>
  <si>
    <t>Americas TR Y/Y</t>
  </si>
  <si>
    <t>Europe TR Y/Y</t>
  </si>
  <si>
    <t>Asia TR Y/Y</t>
  </si>
  <si>
    <t>Other Brands TR Y/Y</t>
  </si>
  <si>
    <t>5yr tbond</t>
  </si>
  <si>
    <t>1Q23</t>
  </si>
  <si>
    <t>2Q23</t>
  </si>
  <si>
    <t>3Q23</t>
  </si>
  <si>
    <t>4Q23</t>
  </si>
  <si>
    <t>10K22</t>
  </si>
  <si>
    <t>koyfin 6/13/23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</si>
</sst>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
      <i/>
      <sz val="11"/>
      <color theme="1"/>
      <name val="Arial"/>
      <family val="2"/>
    </font>
    <font>
      <sz val="9"/>
      <color indexed="81"/>
      <name val="Tahoma"/>
      <charset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5">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2" fontId="5"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0" fontId="7" fillId="0" borderId="0" xfId="0" applyFont="1"/>
    <xf numFmtId="3" fontId="7" fillId="0" borderId="0" xfId="0" applyNumberFormat="1" applyFont="1"/>
    <xf numFmtId="4" fontId="5" fillId="0" borderId="0" xfId="0" applyNumberFormat="1" applyFont="1"/>
    <xf numFmtId="10" fontId="5" fillId="0" borderId="0" xfId="1" applyNumberFormat="1" applyFont="1"/>
    <xf numFmtId="0" fontId="4" fillId="0" borderId="0" xfId="0" applyFont="1"/>
    <xf numFmtId="3" fontId="4" fillId="0" borderId="0" xfId="0" applyNumberFormat="1" applyFont="1"/>
    <xf numFmtId="3" fontId="3" fillId="0" borderId="0" xfId="0" applyNumberFormat="1" applyFont="1"/>
    <xf numFmtId="0" fontId="2" fillId="0" borderId="0" xfId="0" applyFont="1"/>
    <xf numFmtId="3" fontId="7" fillId="0" borderId="0" xfId="0" applyNumberFormat="1" applyFont="1" applyAlignment="1">
      <alignment horizontal="right"/>
    </xf>
    <xf numFmtId="0" fontId="7" fillId="0" borderId="0" xfId="0" applyFont="1" applyAlignment="1">
      <alignment horizontal="right"/>
    </xf>
    <xf numFmtId="0" fontId="1" fillId="0" borderId="4" xfId="0" applyFont="1" applyBorder="1" applyAlignment="1">
      <alignment horizontal="right"/>
    </xf>
    <xf numFmtId="0" fontId="1" fillId="0" borderId="0" xfId="0" applyFont="1"/>
    <xf numFmtId="0" fontId="9" fillId="0" borderId="0" xfId="0" applyFont="1"/>
    <xf numFmtId="3" fontId="9" fillId="0" borderId="0" xfId="0" applyNumberFormat="1" applyFont="1" applyAlignment="1">
      <alignment horizontal="right"/>
    </xf>
    <xf numFmtId="9" fontId="9" fillId="0" borderId="0" xfId="0" applyNumberFormat="1" applyFont="1" applyAlignment="1">
      <alignment horizontal="right"/>
    </xf>
    <xf numFmtId="9" fontId="9" fillId="0" borderId="0" xfId="0" applyNumberFormat="1" applyFont="1"/>
  </cellXfs>
  <cellStyles count="2">
    <cellStyle name="Normal" xfId="0" builtinId="0"/>
    <cellStyle name="Percent" xfId="1" builtinId="5"/>
  </cellStyles>
  <dxfs count="3">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27</xdr:col>
      <xdr:colOff>38100</xdr:colOff>
      <xdr:row>0</xdr:row>
      <xdr:rowOff>57150</xdr:rowOff>
    </xdr:from>
    <xdr:to>
      <xdr:col>27</xdr:col>
      <xdr:colOff>38100</xdr:colOff>
      <xdr:row>62</xdr:row>
      <xdr:rowOff>47625</xdr:rowOff>
    </xdr:to>
    <xdr:cxnSp macro="">
      <xdr:nvCxnSpPr>
        <xdr:cNvPr id="3" name="Straight Connector 2">
          <a:extLst>
            <a:ext uri="{FF2B5EF4-FFF2-40B4-BE49-F238E27FC236}">
              <a16:creationId xmlns:a16="http://schemas.microsoft.com/office/drawing/2014/main" id="{BA876773-7A66-48B4-A407-5C4A5C8F1C1B}"/>
            </a:ext>
          </a:extLst>
        </xdr:cNvPr>
        <xdr:cNvCxnSpPr/>
      </xdr:nvCxnSpPr>
      <xdr:spPr>
        <a:xfrm>
          <a:off x="21383625" y="57150"/>
          <a:ext cx="0" cy="11210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38100</xdr:colOff>
      <xdr:row>0</xdr:row>
      <xdr:rowOff>73025</xdr:rowOff>
    </xdr:from>
    <xdr:to>
      <xdr:col>40</xdr:col>
      <xdr:colOff>38100</xdr:colOff>
      <xdr:row>62</xdr:row>
      <xdr:rowOff>66675</xdr:rowOff>
    </xdr:to>
    <xdr:cxnSp macro="">
      <xdr:nvCxnSpPr>
        <xdr:cNvPr id="4" name="Straight Connector 3">
          <a:extLst>
            <a:ext uri="{FF2B5EF4-FFF2-40B4-BE49-F238E27FC236}">
              <a16:creationId xmlns:a16="http://schemas.microsoft.com/office/drawing/2014/main" id="{C075AF88-BE1C-4548-8045-D4254D050DAB}"/>
            </a:ext>
          </a:extLst>
        </xdr:cNvPr>
        <xdr:cNvCxnSpPr/>
      </xdr:nvCxnSpPr>
      <xdr:spPr>
        <a:xfrm>
          <a:off x="30937200" y="73025"/>
          <a:ext cx="0" cy="11214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12">
          <cell r="C12">
            <v>3.8899999999999997E-2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Sheldon, William L" id="{7C16B7D9-06B4-4386-B9D9-6A505A5F36C2}" userId="S::wls03561@sjfc.edu::8d48f2f3-f221-4d4a-a809-96e2f0718e2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https://www.bing.com/financeapi/forcetrigger?t=bpipfr&amp;q=XNYS%3aLEVI&amp;form=skydnc</v>
    <v>Learn more on Bing</v>
  </rv>
  <rv s="1">
    <v>en-US</v>
    <v>bpipfr</v>
    <v>268435456</v>
    <v>1</v>
    <v>Powered by Refinitiv</v>
    <v>0</v>
    <v>LEVI STRAUSS &amp; CO. (XNYS:LEVI)</v>
    <v>2</v>
    <v>3</v>
    <v>Finance</v>
    <v>4</v>
    <v>20.49</v>
    <v>12.8</v>
    <v>1.1780999999999999</v>
    <v>0.49</v>
    <v>-1.348E-3</v>
    <v>3.4146000000000003E-2</v>
    <v>-0.02</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Its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18000</v>
    <v>New York Stock Exchange</v>
    <v>XNYS</v>
    <v>XNYS</v>
    <v>1155 Battery St, SAN FRANCISCO, CA, 94111 US</v>
    <v>14.85</v>
    <v>Textiles &amp; Apparel</v>
    <v>Stock</v>
    <v>45090.983064606247</v>
    <v>0</v>
    <v>14.350099999999999</v>
    <v>5882231712</v>
    <v>LEVI STRAUSS &amp; CO.</v>
    <v>LEVI STRAUSS &amp; CO.</v>
    <v>14.39</v>
    <v>11.774900000000001</v>
    <v>14.35</v>
    <v>14.84</v>
    <v>14.82</v>
    <v>396376800</v>
    <v>LEVI</v>
    <v>LEVI STRAUSS &amp; CO. (XNYS:LEVI)</v>
    <v>1458408</v>
    <v>2017708</v>
    <v>1970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3-06-14T01:16:26.16" personId="{7C16B7D9-06B4-4386-B9D9-6A505A5F36C2}" id="{B11326B7-3EC4-43DE-87FF-ADBAF0D09965}">
    <text>ST debt, Accrued salaries/wages/EE benefits, LT debt, LT EE related benefits &amp; other liabs.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BE55-BD61-437B-8CF8-13D35FE9B341}">
  <dimension ref="B3:D9"/>
  <sheetViews>
    <sheetView workbookViewId="0">
      <selection activeCell="C6" sqref="C6"/>
    </sheetView>
  </sheetViews>
  <sheetFormatPr defaultColWidth="9.1796875" defaultRowHeight="14" x14ac:dyDescent="0.3"/>
  <cols>
    <col min="1" max="1" width="9.1796875" style="1"/>
    <col min="2" max="2" width="11.54296875" style="1" bestFit="1" customWidth="1"/>
    <col min="3" max="3" width="37.54296875" style="1" bestFit="1" customWidth="1"/>
    <col min="4" max="4" width="7.7265625" style="1" bestFit="1" customWidth="1"/>
    <col min="5" max="16384" width="9.1796875" style="1"/>
  </cols>
  <sheetData>
    <row r="3" spans="2:4" x14ac:dyDescent="0.3">
      <c r="B3" s="6" t="s">
        <v>0</v>
      </c>
      <c r="C3" s="7" t="e" vm="1">
        <v>#VALUE!</v>
      </c>
      <c r="D3" s="8" t="s">
        <v>1</v>
      </c>
    </row>
    <row r="4" spans="2:4" x14ac:dyDescent="0.3">
      <c r="B4" s="9" t="s">
        <v>2</v>
      </c>
      <c r="C4" s="10" cm="1">
        <f t="array" ref="C4">_FV(C3,"Price")</f>
        <v>14.84</v>
      </c>
      <c r="D4" s="11"/>
    </row>
    <row r="5" spans="2:4" x14ac:dyDescent="0.3">
      <c r="B5" s="9" t="s">
        <v>3</v>
      </c>
      <c r="C5" s="12">
        <v>400.36052899999999</v>
      </c>
      <c r="D5" s="29" t="s">
        <v>95</v>
      </c>
    </row>
    <row r="6" spans="2:4" x14ac:dyDescent="0.3">
      <c r="B6" s="9" t="s">
        <v>5</v>
      </c>
      <c r="C6" s="12">
        <f>C5*C4</f>
        <v>5941.3502503599993</v>
      </c>
      <c r="D6" s="13"/>
    </row>
    <row r="7" spans="2:4" x14ac:dyDescent="0.3">
      <c r="B7" s="9" t="s">
        <v>6</v>
      </c>
      <c r="C7" s="12">
        <f>321.8</f>
        <v>321.8</v>
      </c>
      <c r="D7" s="29" t="s">
        <v>95</v>
      </c>
    </row>
    <row r="8" spans="2:4" x14ac:dyDescent="0.3">
      <c r="B8" s="9" t="s">
        <v>7</v>
      </c>
      <c r="C8" s="12">
        <f>162+168.5+993.6+300.4</f>
        <v>1624.5</v>
      </c>
      <c r="D8" s="29" t="s">
        <v>95</v>
      </c>
    </row>
    <row r="9" spans="2:4" x14ac:dyDescent="0.3">
      <c r="B9" s="14" t="s">
        <v>8</v>
      </c>
      <c r="C9" s="15">
        <f>C6-C7+C8</f>
        <v>7244.0502503599992</v>
      </c>
      <c r="D9" s="1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B7B3-4096-45A6-AA5A-71A143F7BC7F}">
  <dimension ref="A1:JM56"/>
  <sheetViews>
    <sheetView tabSelected="1" topLeftCell="B1" workbookViewId="0">
      <pane xSplit="1" ySplit="2" topLeftCell="AM24" activePane="bottomRight" state="frozen"/>
      <selection activeCell="B1" sqref="B1"/>
      <selection pane="topRight" activeCell="C1" sqref="C1"/>
      <selection pane="bottomLeft" activeCell="B3" sqref="B3"/>
      <selection pane="bottomRight" activeCell="AV52" sqref="AV52"/>
    </sheetView>
  </sheetViews>
  <sheetFormatPr defaultColWidth="9.1796875" defaultRowHeight="14" x14ac:dyDescent="0.3"/>
  <cols>
    <col min="1" max="1" width="9.1796875" style="1"/>
    <col min="2" max="2" width="34.81640625" style="1" bestFit="1" customWidth="1"/>
    <col min="3" max="3" width="8.7265625" style="2" customWidth="1"/>
    <col min="4" max="5" width="10.1796875" style="2" bestFit="1" customWidth="1"/>
    <col min="6" max="8" width="8.7265625" style="2" customWidth="1"/>
    <col min="9" max="9" width="10.1796875" style="2" bestFit="1" customWidth="1"/>
    <col min="10" max="10" width="11.26953125" style="2" bestFit="1" customWidth="1"/>
    <col min="11" max="13" width="10.1796875" style="2" bestFit="1" customWidth="1"/>
    <col min="14" max="14" width="11.26953125" style="2" bestFit="1" customWidth="1"/>
    <col min="15" max="17" width="10.1796875" style="2" bestFit="1" customWidth="1"/>
    <col min="18" max="18" width="11.26953125" style="2" bestFit="1" customWidth="1"/>
    <col min="19" max="23" width="11.26953125" style="2" customWidth="1"/>
    <col min="24" max="24" width="10.1796875" style="2" bestFit="1" customWidth="1"/>
    <col min="25" max="32" width="11.26953125" style="2" customWidth="1"/>
    <col min="33" max="35" width="8.7265625" style="2" customWidth="1"/>
    <col min="36" max="39" width="11.26953125" style="2" bestFit="1" customWidth="1"/>
    <col min="40" max="43" width="8.7265625" style="2" customWidth="1"/>
    <col min="44" max="45" width="9.08984375" style="2" customWidth="1"/>
    <col min="46" max="46" width="14.453125" style="2" bestFit="1" customWidth="1"/>
    <col min="47" max="47" width="9.81640625" style="2" bestFit="1" customWidth="1"/>
    <col min="48" max="271" width="7" style="2" bestFit="1" customWidth="1"/>
    <col min="272" max="16384" width="9.1796875" style="2"/>
  </cols>
  <sheetData>
    <row r="1" spans="2:45" s="1" customFormat="1" x14ac:dyDescent="0.3">
      <c r="D1" s="17">
        <v>42883</v>
      </c>
      <c r="E1" s="17">
        <v>42974</v>
      </c>
      <c r="I1" s="17">
        <v>43338</v>
      </c>
      <c r="J1" s="17">
        <v>43429</v>
      </c>
      <c r="K1" s="17">
        <v>43520</v>
      </c>
      <c r="L1" s="17">
        <v>43611</v>
      </c>
      <c r="M1" s="17">
        <v>43702</v>
      </c>
      <c r="N1" s="17">
        <v>43793</v>
      </c>
      <c r="O1" s="17">
        <v>43884</v>
      </c>
      <c r="P1" s="17">
        <v>43975</v>
      </c>
      <c r="Q1" s="17">
        <v>44066</v>
      </c>
      <c r="R1" s="17">
        <v>44164</v>
      </c>
      <c r="S1" s="17">
        <v>44255</v>
      </c>
      <c r="T1" s="17">
        <v>44346</v>
      </c>
      <c r="U1" s="17">
        <v>44437</v>
      </c>
      <c r="V1" s="17">
        <v>44528</v>
      </c>
      <c r="W1" s="17">
        <v>44619</v>
      </c>
      <c r="X1" s="17">
        <v>44710</v>
      </c>
      <c r="Y1" s="17">
        <v>44801</v>
      </c>
      <c r="Z1" s="17">
        <v>44892</v>
      </c>
      <c r="AA1" s="17">
        <v>44983</v>
      </c>
      <c r="AB1" s="17"/>
      <c r="AC1" s="17"/>
      <c r="AD1" s="17"/>
      <c r="AE1" s="17"/>
      <c r="AF1" s="17"/>
      <c r="AJ1" s="17">
        <f>J1</f>
        <v>43429</v>
      </c>
      <c r="AK1" s="17">
        <f>N1</f>
        <v>43793</v>
      </c>
      <c r="AL1" s="17">
        <f>R1</f>
        <v>44164</v>
      </c>
      <c r="AM1" s="17">
        <f>V1</f>
        <v>44528</v>
      </c>
    </row>
    <row r="2" spans="2:45" s="1" customFormat="1" x14ac:dyDescent="0.3">
      <c r="C2" s="18" t="s">
        <v>20</v>
      </c>
      <c r="D2" s="18" t="s">
        <v>21</v>
      </c>
      <c r="E2" s="18" t="s">
        <v>22</v>
      </c>
      <c r="F2" s="18" t="s">
        <v>23</v>
      </c>
      <c r="G2" s="18" t="s">
        <v>24</v>
      </c>
      <c r="H2" s="18" t="s">
        <v>25</v>
      </c>
      <c r="I2" s="18" t="s">
        <v>26</v>
      </c>
      <c r="J2" s="18" t="s">
        <v>27</v>
      </c>
      <c r="K2" s="18" t="s">
        <v>28</v>
      </c>
      <c r="L2" s="18" t="s">
        <v>29</v>
      </c>
      <c r="M2" s="18" t="s">
        <v>30</v>
      </c>
      <c r="N2" s="18" t="s">
        <v>31</v>
      </c>
      <c r="O2" s="18" t="s">
        <v>32</v>
      </c>
      <c r="P2" s="18" t="s">
        <v>33</v>
      </c>
      <c r="Q2" s="18" t="s">
        <v>9</v>
      </c>
      <c r="R2" s="18" t="s">
        <v>4</v>
      </c>
      <c r="S2" s="18" t="s">
        <v>66</v>
      </c>
      <c r="T2" s="18" t="s">
        <v>67</v>
      </c>
      <c r="U2" s="18" t="s">
        <v>68</v>
      </c>
      <c r="V2" s="18" t="s">
        <v>69</v>
      </c>
      <c r="W2" s="18" t="s">
        <v>70</v>
      </c>
      <c r="X2" s="18" t="s">
        <v>71</v>
      </c>
      <c r="Y2" s="18" t="s">
        <v>72</v>
      </c>
      <c r="Z2" s="18" t="s">
        <v>73</v>
      </c>
      <c r="AA2" s="18" t="s">
        <v>95</v>
      </c>
      <c r="AB2" s="18" t="s">
        <v>96</v>
      </c>
      <c r="AC2" s="18" t="s">
        <v>97</v>
      </c>
      <c r="AD2" s="18" t="s">
        <v>98</v>
      </c>
      <c r="AE2" s="18"/>
      <c r="AF2" s="18"/>
      <c r="AI2" s="1">
        <v>2017</v>
      </c>
      <c r="AJ2" s="1">
        <v>2018</v>
      </c>
      <c r="AK2" s="1">
        <v>2019</v>
      </c>
      <c r="AL2" s="1">
        <v>2020</v>
      </c>
      <c r="AM2" s="1">
        <v>2021</v>
      </c>
      <c r="AN2" s="1">
        <v>2022</v>
      </c>
      <c r="AO2" s="1">
        <v>2023</v>
      </c>
      <c r="AP2" s="1">
        <v>2024</v>
      </c>
      <c r="AQ2" s="1">
        <v>2025</v>
      </c>
      <c r="AR2" s="1">
        <v>2026</v>
      </c>
      <c r="AS2" s="1">
        <v>2027</v>
      </c>
    </row>
    <row r="3" spans="2:45" s="1" customFormat="1" x14ac:dyDescent="0.3">
      <c r="B3" s="26" t="s">
        <v>75</v>
      </c>
      <c r="C3" s="12"/>
      <c r="D3" s="12"/>
      <c r="E3" s="12"/>
      <c r="F3" s="12"/>
      <c r="G3" s="12">
        <v>448.74200000000002</v>
      </c>
      <c r="H3" s="12">
        <v>480.68</v>
      </c>
      <c r="I3" s="12">
        <v>588.68299999999999</v>
      </c>
      <c r="J3" s="12">
        <f>2209.897-SUM(G3:I3)</f>
        <v>691.79199999999992</v>
      </c>
      <c r="K3" s="12">
        <v>483.80099999999999</v>
      </c>
      <c r="L3" s="12">
        <v>487.95800000000003</v>
      </c>
      <c r="M3" s="12">
        <v>548.21400000000006</v>
      </c>
      <c r="N3" s="12">
        <f>2181.168-SUM(K3:M3)</f>
        <v>661.19500000000016</v>
      </c>
      <c r="O3" s="12">
        <v>460.86599999999999</v>
      </c>
      <c r="P3" s="12">
        <v>206.44</v>
      </c>
      <c r="Q3" s="12">
        <v>404.529</v>
      </c>
      <c r="R3" s="12">
        <f>1500.043-SUM(O3:Q3)</f>
        <v>428.20799999999986</v>
      </c>
      <c r="S3" s="12">
        <v>411.20499999999998</v>
      </c>
      <c r="T3" s="12">
        <v>458.92099999999999</v>
      </c>
      <c r="U3" s="12">
        <v>559.84400000000005</v>
      </c>
      <c r="V3" s="12">
        <f>2061.33-SUM(S3:U3)</f>
        <v>631.3599999999999</v>
      </c>
      <c r="W3" s="12">
        <v>510.73500000000001</v>
      </c>
      <c r="X3" s="12">
        <v>547.71699999999998</v>
      </c>
      <c r="Y3" s="12">
        <v>566.84299999999996</v>
      </c>
      <c r="Z3" s="12">
        <f>2193.7-SUM(W3:Y3)</f>
        <v>568.40499999999975</v>
      </c>
      <c r="AA3" s="12">
        <v>530.6</v>
      </c>
      <c r="AB3" s="12"/>
      <c r="AC3" s="12"/>
      <c r="AD3" s="12"/>
      <c r="AE3" s="12"/>
      <c r="AF3" s="12"/>
      <c r="AJ3" s="2">
        <f>SUM(G3:J3)</f>
        <v>2209.8969999999999</v>
      </c>
      <c r="AK3" s="2">
        <f>SUM(K3:N3)</f>
        <v>2181.1680000000001</v>
      </c>
      <c r="AL3" s="2">
        <f>SUM(O3:R3)</f>
        <v>1500.0429999999999</v>
      </c>
      <c r="AM3" s="2">
        <f>SUM(S3:V3)</f>
        <v>2061.33</v>
      </c>
      <c r="AN3" s="2">
        <f>SUM(W3:Z3)</f>
        <v>2193.6999999999998</v>
      </c>
    </row>
    <row r="4" spans="2:45" s="1" customFormat="1" x14ac:dyDescent="0.3">
      <c r="B4" s="26" t="s">
        <v>76</v>
      </c>
      <c r="C4" s="12"/>
      <c r="D4" s="12"/>
      <c r="E4" s="12"/>
      <c r="F4" s="12"/>
      <c r="G4" s="12">
        <v>208.45500000000001</v>
      </c>
      <c r="H4" s="12">
        <v>189.11099999999999</v>
      </c>
      <c r="I4" s="12">
        <v>204.149</v>
      </c>
      <c r="J4" s="12">
        <f>832.767-SUM(G4:I4)</f>
        <v>231.05200000000002</v>
      </c>
      <c r="K4" s="12">
        <v>233.46299999999999</v>
      </c>
      <c r="L4" s="12">
        <v>204.74</v>
      </c>
      <c r="M4" s="12">
        <v>222.60300000000001</v>
      </c>
      <c r="N4" s="12">
        <f>875.856-SUM(K4:M4)</f>
        <v>215.04999999999995</v>
      </c>
      <c r="O4" s="12">
        <v>284.714</v>
      </c>
      <c r="P4" s="12">
        <v>76.287999999999997</v>
      </c>
      <c r="Q4" s="12">
        <v>145.26900000000001</v>
      </c>
      <c r="R4" s="12">
        <f>687.856-SUM(O4:Q4)</f>
        <v>181.58499999999998</v>
      </c>
      <c r="S4" s="12">
        <v>194.916</v>
      </c>
      <c r="T4" s="12">
        <v>202.51400000000001</v>
      </c>
      <c r="U4" s="12">
        <v>222.489</v>
      </c>
      <c r="V4" s="12">
        <f>873.496-SUM(S4:U4)</f>
        <v>253.577</v>
      </c>
      <c r="W4" s="12">
        <v>255.11699999999999</v>
      </c>
      <c r="X4" s="12">
        <v>228.37700000000001</v>
      </c>
      <c r="Y4" s="12">
        <v>238.239</v>
      </c>
      <c r="Z4" s="12">
        <f>993.7-SUM(W4:Y4)</f>
        <v>271.96699999999998</v>
      </c>
      <c r="AA4" s="12">
        <v>292.39999999999998</v>
      </c>
      <c r="AB4" s="12"/>
      <c r="AC4" s="12"/>
      <c r="AD4" s="12"/>
      <c r="AE4" s="12"/>
      <c r="AF4" s="12"/>
      <c r="AJ4" s="2">
        <f>SUM(G4:J4)</f>
        <v>832.76700000000005</v>
      </c>
      <c r="AK4" s="2">
        <f>SUM(K4:N4)</f>
        <v>875.85599999999999</v>
      </c>
      <c r="AL4" s="2">
        <f>SUM(O4:R4)</f>
        <v>687.85599999999999</v>
      </c>
      <c r="AM4" s="2">
        <f>SUM(S4:V4)</f>
        <v>873.49599999999998</v>
      </c>
      <c r="AN4" s="2">
        <f>SUM(W4:Z4)</f>
        <v>993.7</v>
      </c>
    </row>
    <row r="5" spans="2:45" s="19" customFormat="1" x14ac:dyDescent="0.3">
      <c r="B5" s="19" t="s">
        <v>77</v>
      </c>
      <c r="C5" s="27">
        <v>577.90700000000004</v>
      </c>
      <c r="D5" s="27">
        <v>602.06299999999999</v>
      </c>
      <c r="E5" s="27">
        <v>738.68700000000001</v>
      </c>
      <c r="F5" s="27">
        <f>2774.05-SUM(C5:E5)</f>
        <v>855.39300000000003</v>
      </c>
      <c r="G5" s="27">
        <f t="shared" ref="G5:W5" si="0">+G3+G4</f>
        <v>657.197</v>
      </c>
      <c r="H5" s="27">
        <f t="shared" si="0"/>
        <v>669.79099999999994</v>
      </c>
      <c r="I5" s="27">
        <f t="shared" si="0"/>
        <v>792.83199999999999</v>
      </c>
      <c r="J5" s="27">
        <f t="shared" si="0"/>
        <v>922.84399999999994</v>
      </c>
      <c r="K5" s="27">
        <f t="shared" si="0"/>
        <v>717.26400000000001</v>
      </c>
      <c r="L5" s="27">
        <f t="shared" si="0"/>
        <v>692.69800000000009</v>
      </c>
      <c r="M5" s="27">
        <f t="shared" si="0"/>
        <v>770.81700000000001</v>
      </c>
      <c r="N5" s="27">
        <f t="shared" si="0"/>
        <v>876.24500000000012</v>
      </c>
      <c r="O5" s="27">
        <f t="shared" si="0"/>
        <v>745.57999999999993</v>
      </c>
      <c r="P5" s="27">
        <f t="shared" si="0"/>
        <v>282.72800000000001</v>
      </c>
      <c r="Q5" s="27">
        <f t="shared" si="0"/>
        <v>549.798</v>
      </c>
      <c r="R5" s="27">
        <f t="shared" si="0"/>
        <v>609.79299999999989</v>
      </c>
      <c r="S5" s="27">
        <f t="shared" si="0"/>
        <v>606.12099999999998</v>
      </c>
      <c r="T5" s="27">
        <f t="shared" si="0"/>
        <v>661.43499999999995</v>
      </c>
      <c r="U5" s="27">
        <f t="shared" si="0"/>
        <v>782.33300000000008</v>
      </c>
      <c r="V5" s="27">
        <f t="shared" si="0"/>
        <v>884.9369999999999</v>
      </c>
      <c r="W5" s="27">
        <f t="shared" si="0"/>
        <v>765.85199999999998</v>
      </c>
      <c r="X5" s="27">
        <f>+X3+X4</f>
        <v>776.09400000000005</v>
      </c>
      <c r="Y5" s="27">
        <f t="shared" ref="Y5:AA5" si="1">+Y3+Y4</f>
        <v>805.08199999999999</v>
      </c>
      <c r="Z5" s="27">
        <f t="shared" si="1"/>
        <v>840.37199999999973</v>
      </c>
      <c r="AA5" s="27">
        <f t="shared" si="1"/>
        <v>823</v>
      </c>
      <c r="AB5" s="27"/>
      <c r="AC5" s="27"/>
      <c r="AD5" s="27"/>
      <c r="AE5" s="27"/>
      <c r="AF5" s="27"/>
      <c r="AI5" s="27">
        <f>SUM(C5:F5)</f>
        <v>2774.05</v>
      </c>
      <c r="AJ5" s="27">
        <f t="shared" ref="AJ5:AM5" si="2">+AJ3+AJ4</f>
        <v>3042.6639999999998</v>
      </c>
      <c r="AK5" s="27">
        <f t="shared" si="2"/>
        <v>3057.0240000000003</v>
      </c>
      <c r="AL5" s="27">
        <f>+AL3+AL4</f>
        <v>2187.8989999999999</v>
      </c>
      <c r="AM5" s="27">
        <f t="shared" si="2"/>
        <v>2934.826</v>
      </c>
      <c r="AN5" s="27">
        <f>+AN3+AN4</f>
        <v>3187.3999999999996</v>
      </c>
    </row>
    <row r="6" spans="2:45" s="1" customFormat="1" x14ac:dyDescent="0.3">
      <c r="B6" s="26"/>
      <c r="C6" s="12"/>
      <c r="D6" s="12"/>
      <c r="E6" s="12"/>
      <c r="F6" s="12"/>
      <c r="G6" s="12"/>
      <c r="H6" s="12"/>
      <c r="I6" s="12"/>
      <c r="J6" s="12"/>
      <c r="K6" s="12"/>
      <c r="L6" s="12"/>
      <c r="M6" s="12"/>
      <c r="N6" s="12"/>
      <c r="O6" s="12"/>
      <c r="P6" s="12"/>
      <c r="Q6" s="12"/>
      <c r="R6" s="12"/>
      <c r="S6" s="12"/>
      <c r="T6" s="12"/>
      <c r="U6" s="12"/>
      <c r="V6" s="12"/>
      <c r="W6" s="12"/>
      <c r="X6" s="12"/>
      <c r="Y6" s="12"/>
      <c r="Z6" s="18"/>
      <c r="AA6" s="18"/>
      <c r="AB6" s="18"/>
      <c r="AC6" s="18"/>
      <c r="AD6" s="18"/>
      <c r="AE6" s="18"/>
      <c r="AF6" s="18"/>
    </row>
    <row r="7" spans="2:45" s="31" customFormat="1" ht="14.5" x14ac:dyDescent="0.35">
      <c r="B7" s="31" t="s">
        <v>90</v>
      </c>
      <c r="C7" s="32"/>
      <c r="D7" s="32"/>
      <c r="E7" s="32"/>
      <c r="F7" s="32"/>
      <c r="G7" s="33">
        <f>G5/C5-1</f>
        <v>0.13720200655122694</v>
      </c>
      <c r="H7" s="33">
        <f t="shared" ref="H7:Z7" si="3">H5/D5-1</f>
        <v>0.11249321084338337</v>
      </c>
      <c r="I7" s="33">
        <f t="shared" si="3"/>
        <v>7.329897507333949E-2</v>
      </c>
      <c r="J7" s="33">
        <f t="shared" si="3"/>
        <v>7.8853813393375827E-2</v>
      </c>
      <c r="K7" s="33">
        <f t="shared" si="3"/>
        <v>9.1398773883629936E-2</v>
      </c>
      <c r="L7" s="33">
        <f t="shared" si="3"/>
        <v>3.4200220665849823E-2</v>
      </c>
      <c r="M7" s="33">
        <f t="shared" si="3"/>
        <v>-2.7767547223119138E-2</v>
      </c>
      <c r="N7" s="33">
        <f t="shared" si="3"/>
        <v>-5.0494991569539183E-2</v>
      </c>
      <c r="O7" s="33">
        <f t="shared" si="3"/>
        <v>3.9477793392669769E-2</v>
      </c>
      <c r="P7" s="33">
        <f t="shared" si="3"/>
        <v>-0.59184521970613457</v>
      </c>
      <c r="Q7" s="33">
        <f t="shared" si="3"/>
        <v>-0.28673342700018289</v>
      </c>
      <c r="R7" s="33">
        <f t="shared" si="3"/>
        <v>-0.30408390347448511</v>
      </c>
      <c r="S7" s="33">
        <f t="shared" si="3"/>
        <v>-0.18704766758764979</v>
      </c>
      <c r="T7" s="33">
        <f t="shared" si="3"/>
        <v>1.3394746894541747</v>
      </c>
      <c r="U7" s="33">
        <f t="shared" si="3"/>
        <v>0.42294624571206163</v>
      </c>
      <c r="V7" s="33">
        <f t="shared" si="3"/>
        <v>0.45120885284022627</v>
      </c>
      <c r="W7" s="33">
        <f t="shared" si="3"/>
        <v>0.26352988924653653</v>
      </c>
      <c r="X7" s="33">
        <f t="shared" si="3"/>
        <v>0.17334885514071696</v>
      </c>
      <c r="Y7" s="33">
        <f t="shared" si="3"/>
        <v>2.9078410344443917E-2</v>
      </c>
      <c r="Z7" s="33">
        <f t="shared" si="3"/>
        <v>-5.0359517118167885E-2</v>
      </c>
      <c r="AA7" s="33">
        <f t="shared" ref="AA7" si="4">AA5/W5-1</f>
        <v>7.4620161597802159E-2</v>
      </c>
      <c r="AB7" s="33"/>
      <c r="AC7" s="33"/>
      <c r="AD7" s="33"/>
      <c r="AE7" s="33"/>
      <c r="AF7" s="33"/>
      <c r="AJ7" s="34">
        <f>AJ5/AI5-1</f>
        <v>9.6830987184801876E-2</v>
      </c>
      <c r="AK7" s="34">
        <f t="shared" ref="AK7:AN7" si="5">AK5/AJ5-1</f>
        <v>4.7195483957480633E-3</v>
      </c>
      <c r="AL7" s="34">
        <f t="shared" si="5"/>
        <v>-0.2843042776242517</v>
      </c>
      <c r="AM7" s="34">
        <f t="shared" si="5"/>
        <v>0.34139007330777149</v>
      </c>
      <c r="AN7" s="34">
        <f t="shared" si="5"/>
        <v>8.6060979424333661E-2</v>
      </c>
    </row>
    <row r="8" spans="2:45" s="1" customFormat="1" x14ac:dyDescent="0.3">
      <c r="B8" s="26"/>
      <c r="C8" s="12"/>
      <c r="D8" s="12"/>
      <c r="E8" s="12"/>
      <c r="F8" s="12"/>
      <c r="G8" s="12"/>
      <c r="H8" s="12"/>
      <c r="I8" s="12"/>
      <c r="J8" s="12"/>
      <c r="K8" s="12"/>
      <c r="L8" s="12"/>
      <c r="M8" s="12"/>
      <c r="N8" s="12"/>
      <c r="O8" s="12"/>
      <c r="P8" s="12"/>
      <c r="Q8" s="12"/>
      <c r="R8" s="12"/>
      <c r="S8" s="12"/>
      <c r="T8" s="12"/>
      <c r="U8" s="12"/>
      <c r="V8" s="12"/>
      <c r="W8" s="12"/>
      <c r="X8" s="12"/>
      <c r="Y8" s="12"/>
      <c r="Z8" s="18"/>
      <c r="AA8" s="18"/>
      <c r="AB8" s="18"/>
      <c r="AC8" s="18"/>
      <c r="AD8" s="18"/>
      <c r="AE8" s="18"/>
      <c r="AF8" s="18"/>
    </row>
    <row r="9" spans="2:45" s="1" customFormat="1" x14ac:dyDescent="0.3">
      <c r="B9" s="26" t="s">
        <v>78</v>
      </c>
      <c r="C9" s="12"/>
      <c r="D9" s="12"/>
      <c r="E9" s="12"/>
      <c r="F9" s="12"/>
      <c r="G9" s="12">
        <v>259.86500000000001</v>
      </c>
      <c r="H9" s="12">
        <v>196.58099999999999</v>
      </c>
      <c r="I9" s="12">
        <v>237.92</v>
      </c>
      <c r="J9" s="12">
        <f>925.317-SUM(G9:I9)</f>
        <v>230.95100000000002</v>
      </c>
      <c r="K9" s="12">
        <v>252.93299999999999</v>
      </c>
      <c r="L9" s="12">
        <v>207.98</v>
      </c>
      <c r="M9" s="12">
        <v>272.48399999999998</v>
      </c>
      <c r="N9" s="12">
        <f>981.308-SUM(K9:M9)</f>
        <v>247.91100000000006</v>
      </c>
      <c r="O9" s="12">
        <v>276.95499999999998</v>
      </c>
      <c r="P9" s="12">
        <v>70.186000000000007</v>
      </c>
      <c r="Q9" s="12">
        <v>222.77699999999999</v>
      </c>
      <c r="R9" s="12">
        <f>776.947-SUM(O9:Q9)</f>
        <v>207.02900000000011</v>
      </c>
      <c r="S9" s="12">
        <v>276.78500000000003</v>
      </c>
      <c r="T9" s="12">
        <v>211.642</v>
      </c>
      <c r="U9" s="12">
        <v>276.14600000000002</v>
      </c>
      <c r="V9" s="12">
        <f>1003.844-SUM(S9:U9)</f>
        <v>239.27099999999996</v>
      </c>
      <c r="W9" s="12">
        <v>265.71800000000002</v>
      </c>
      <c r="X9" s="12">
        <v>190.61799999999999</v>
      </c>
      <c r="Y9" s="12">
        <v>230.851</v>
      </c>
      <c r="Z9" s="12">
        <f>879.8-SUM(W9:Y9)</f>
        <v>192.61299999999994</v>
      </c>
      <c r="AA9" s="12">
        <v>244.1</v>
      </c>
      <c r="AB9" s="12"/>
      <c r="AC9" s="12"/>
      <c r="AD9" s="12"/>
      <c r="AE9" s="12"/>
      <c r="AF9" s="12"/>
      <c r="AJ9" s="2">
        <f t="shared" ref="AJ9:AJ10" si="6">SUM(G9:J9)</f>
        <v>925.31700000000001</v>
      </c>
      <c r="AK9" s="2">
        <f t="shared" ref="AK9:AK10" si="7">SUM(K9:N9)</f>
        <v>981.30799999999999</v>
      </c>
      <c r="AL9" s="2">
        <f t="shared" ref="AL9:AL10" si="8">SUM(O9:R9)</f>
        <v>776.947</v>
      </c>
      <c r="AM9" s="2">
        <f t="shared" ref="AM9:AM10" si="9">SUM(S9:V9)</f>
        <v>1003.8440000000001</v>
      </c>
      <c r="AN9" s="2">
        <f t="shared" ref="AN9:AN10" si="10">SUM(W9:Z9)</f>
        <v>879.8</v>
      </c>
    </row>
    <row r="10" spans="2:45" s="1" customFormat="1" x14ac:dyDescent="0.3">
      <c r="B10" s="26" t="s">
        <v>79</v>
      </c>
      <c r="C10" s="12"/>
      <c r="D10" s="12"/>
      <c r="E10" s="12"/>
      <c r="F10" s="12"/>
      <c r="G10" s="12">
        <v>192.857</v>
      </c>
      <c r="H10" s="12">
        <v>170.255</v>
      </c>
      <c r="I10" s="12">
        <v>167.81700000000001</v>
      </c>
      <c r="J10" s="12">
        <f>720.919-SUM(G10:I10)</f>
        <v>189.99</v>
      </c>
      <c r="K10" s="12">
        <v>211.74299999999999</v>
      </c>
      <c r="L10" s="12">
        <v>190.38900000000001</v>
      </c>
      <c r="M10" s="12">
        <v>190.774</v>
      </c>
      <c r="N10" s="12">
        <f>786.748-SUM(K10:M10)</f>
        <v>193.8420000000001</v>
      </c>
      <c r="O10" s="12">
        <v>235.988</v>
      </c>
      <c r="P10" s="12">
        <v>58.837000000000003</v>
      </c>
      <c r="Q10" s="12">
        <v>167.596</v>
      </c>
      <c r="R10" s="12">
        <f>614.817-SUM(O10:Q10)</f>
        <v>152.39600000000002</v>
      </c>
      <c r="S10" s="12">
        <v>139.93199999999999</v>
      </c>
      <c r="T10" s="12">
        <v>143.244</v>
      </c>
      <c r="U10" s="12">
        <v>202.96799999999999</v>
      </c>
      <c r="V10" s="12">
        <f>700.174-SUM(S10:U10)</f>
        <v>214.02999999999997</v>
      </c>
      <c r="W10" s="12">
        <v>203.63900000000001</v>
      </c>
      <c r="X10" s="12">
        <v>176.51900000000001</v>
      </c>
      <c r="Y10" s="12">
        <v>159.453</v>
      </c>
      <c r="Z10" s="12">
        <f>717.4-SUM(W10:Y10)</f>
        <v>177.78899999999999</v>
      </c>
      <c r="AA10" s="12">
        <v>211</v>
      </c>
      <c r="AB10" s="12"/>
      <c r="AC10" s="12"/>
      <c r="AD10" s="12"/>
      <c r="AE10" s="12"/>
      <c r="AF10" s="12"/>
      <c r="AJ10" s="2">
        <f t="shared" si="6"/>
        <v>720.91899999999998</v>
      </c>
      <c r="AK10" s="2">
        <f t="shared" si="7"/>
        <v>786.74800000000005</v>
      </c>
      <c r="AL10" s="2">
        <f t="shared" si="8"/>
        <v>614.81700000000001</v>
      </c>
      <c r="AM10" s="2">
        <f t="shared" si="9"/>
        <v>700.17399999999998</v>
      </c>
      <c r="AN10" s="2">
        <f t="shared" si="10"/>
        <v>717.4</v>
      </c>
    </row>
    <row r="11" spans="2:45" s="19" customFormat="1" x14ac:dyDescent="0.3">
      <c r="B11" s="19" t="s">
        <v>80</v>
      </c>
      <c r="C11" s="27">
        <v>310.31700000000001</v>
      </c>
      <c r="D11" s="27">
        <v>280.38600000000002</v>
      </c>
      <c r="E11" s="27">
        <v>348.01600000000002</v>
      </c>
      <c r="F11" s="27">
        <f>1312.276-SUM(C11:E11)</f>
        <v>373.55700000000002</v>
      </c>
      <c r="G11" s="27">
        <f t="shared" ref="G11:W11" si="11">+G9+G10</f>
        <v>452.72199999999998</v>
      </c>
      <c r="H11" s="27">
        <f t="shared" si="11"/>
        <v>366.83600000000001</v>
      </c>
      <c r="I11" s="27">
        <f t="shared" si="11"/>
        <v>405.73699999999997</v>
      </c>
      <c r="J11" s="27">
        <f t="shared" si="11"/>
        <v>420.94100000000003</v>
      </c>
      <c r="K11" s="27">
        <f t="shared" si="11"/>
        <v>464.67599999999999</v>
      </c>
      <c r="L11" s="27">
        <f t="shared" si="11"/>
        <v>398.36900000000003</v>
      </c>
      <c r="M11" s="27">
        <f t="shared" si="11"/>
        <v>463.25799999999998</v>
      </c>
      <c r="N11" s="27">
        <f t="shared" si="11"/>
        <v>441.75300000000016</v>
      </c>
      <c r="O11" s="27">
        <f t="shared" si="11"/>
        <v>512.94299999999998</v>
      </c>
      <c r="P11" s="27">
        <f t="shared" si="11"/>
        <v>129.02300000000002</v>
      </c>
      <c r="Q11" s="27">
        <f t="shared" si="11"/>
        <v>390.37299999999999</v>
      </c>
      <c r="R11" s="27">
        <f t="shared" si="11"/>
        <v>359.42500000000013</v>
      </c>
      <c r="S11" s="27">
        <f t="shared" si="11"/>
        <v>416.71699999999998</v>
      </c>
      <c r="T11" s="27">
        <f t="shared" si="11"/>
        <v>354.88599999999997</v>
      </c>
      <c r="U11" s="27">
        <f t="shared" si="11"/>
        <v>479.11400000000003</v>
      </c>
      <c r="V11" s="27">
        <f t="shared" si="11"/>
        <v>453.30099999999993</v>
      </c>
      <c r="W11" s="27">
        <f t="shared" si="11"/>
        <v>469.35700000000003</v>
      </c>
      <c r="X11" s="27">
        <f>+X9+X10</f>
        <v>367.137</v>
      </c>
      <c r="Y11" s="27">
        <f t="shared" ref="Y11:AA11" si="12">+Y9+Y10</f>
        <v>390.30399999999997</v>
      </c>
      <c r="Z11" s="27">
        <f t="shared" si="12"/>
        <v>370.40199999999993</v>
      </c>
      <c r="AA11" s="27">
        <f t="shared" si="12"/>
        <v>455.1</v>
      </c>
      <c r="AB11" s="27"/>
      <c r="AC11" s="27"/>
      <c r="AD11" s="27"/>
      <c r="AE11" s="27"/>
      <c r="AF11" s="27"/>
      <c r="AI11" s="27">
        <f>SUM(C11:F11)</f>
        <v>1312.2760000000001</v>
      </c>
      <c r="AJ11" s="27">
        <f t="shared" ref="AJ11:AN11" si="13">+AJ9+AJ10</f>
        <v>1646.2359999999999</v>
      </c>
      <c r="AK11" s="27">
        <f t="shared" si="13"/>
        <v>1768.056</v>
      </c>
      <c r="AL11" s="27">
        <f t="shared" si="13"/>
        <v>1391.7640000000001</v>
      </c>
      <c r="AM11" s="27">
        <f t="shared" si="13"/>
        <v>1704.018</v>
      </c>
      <c r="AN11" s="27">
        <f t="shared" si="13"/>
        <v>1597.1999999999998</v>
      </c>
    </row>
    <row r="12" spans="2:45" s="19" customFormat="1" x14ac:dyDescent="0.3">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I12" s="27"/>
      <c r="AJ12" s="27"/>
      <c r="AK12" s="27"/>
      <c r="AL12" s="27"/>
      <c r="AM12" s="27"/>
      <c r="AN12" s="27"/>
    </row>
    <row r="13" spans="2:45" s="19" customFormat="1" ht="14.5" x14ac:dyDescent="0.35">
      <c r="B13" s="31" t="s">
        <v>91</v>
      </c>
      <c r="C13" s="27"/>
      <c r="D13" s="27"/>
      <c r="E13" s="27"/>
      <c r="F13" s="27"/>
      <c r="G13" s="33">
        <f>G11/C11-1</f>
        <v>0.45890170374165762</v>
      </c>
      <c r="H13" s="33">
        <f t="shared" ref="H13:AA13" si="14">H11/D11-1</f>
        <v>0.30832495203041521</v>
      </c>
      <c r="I13" s="33">
        <f t="shared" si="14"/>
        <v>0.16585731690496974</v>
      </c>
      <c r="J13" s="33">
        <f t="shared" si="14"/>
        <v>0.12684543456554165</v>
      </c>
      <c r="K13" s="33">
        <f t="shared" si="14"/>
        <v>2.6404725195594558E-2</v>
      </c>
      <c r="L13" s="33">
        <f t="shared" si="14"/>
        <v>8.595939329836777E-2</v>
      </c>
      <c r="M13" s="33">
        <f t="shared" si="14"/>
        <v>0.14176917559897184</v>
      </c>
      <c r="N13" s="33">
        <f t="shared" si="14"/>
        <v>4.9441608206375998E-2</v>
      </c>
      <c r="O13" s="33">
        <f t="shared" si="14"/>
        <v>0.10387237559073426</v>
      </c>
      <c r="P13" s="33">
        <f t="shared" si="14"/>
        <v>-0.67612188699421893</v>
      </c>
      <c r="Q13" s="33">
        <f t="shared" si="14"/>
        <v>-0.15733133588626635</v>
      </c>
      <c r="R13" s="33">
        <f t="shared" si="14"/>
        <v>-0.18636658947420848</v>
      </c>
      <c r="S13" s="33">
        <f t="shared" si="14"/>
        <v>-0.18759589272102362</v>
      </c>
      <c r="T13" s="33">
        <f t="shared" si="14"/>
        <v>1.7505638529564487</v>
      </c>
      <c r="U13" s="33">
        <f t="shared" si="14"/>
        <v>0.22732361100793352</v>
      </c>
      <c r="V13" s="33">
        <f t="shared" si="14"/>
        <v>0.26118383529248046</v>
      </c>
      <c r="W13" s="33">
        <f t="shared" si="14"/>
        <v>0.12632074045455322</v>
      </c>
      <c r="X13" s="33">
        <f t="shared" si="14"/>
        <v>3.4520944754090177E-2</v>
      </c>
      <c r="Y13" s="33">
        <f t="shared" si="14"/>
        <v>-0.18536298250520766</v>
      </c>
      <c r="Z13" s="33">
        <f t="shared" si="14"/>
        <v>-0.18287848471545398</v>
      </c>
      <c r="AA13" s="33">
        <f t="shared" si="14"/>
        <v>-3.0375598957723016E-2</v>
      </c>
      <c r="AB13" s="33"/>
      <c r="AC13" s="33"/>
      <c r="AD13" s="33"/>
      <c r="AE13" s="33"/>
      <c r="AF13" s="33"/>
      <c r="AI13" s="27"/>
      <c r="AJ13" s="34">
        <f>AJ11/AI11-1</f>
        <v>0.25448914710015247</v>
      </c>
      <c r="AK13" s="34">
        <f t="shared" ref="AK13:AN13" si="15">AK11/AJ11-1</f>
        <v>7.3999110698587778E-2</v>
      </c>
      <c r="AL13" s="34">
        <f>AL11/AK11-1</f>
        <v>-0.21282810046740597</v>
      </c>
      <c r="AM13" s="34">
        <f t="shared" si="15"/>
        <v>0.22435844008035843</v>
      </c>
      <c r="AN13" s="34">
        <f t="shared" si="15"/>
        <v>-6.268595754270212E-2</v>
      </c>
    </row>
    <row r="14" spans="2:45" s="1" customFormat="1" x14ac:dyDescent="0.3">
      <c r="B14" s="26"/>
      <c r="C14" s="12"/>
      <c r="D14" s="12"/>
      <c r="E14" s="12"/>
      <c r="F14" s="12"/>
      <c r="G14" s="12"/>
      <c r="H14" s="12"/>
      <c r="I14" s="12"/>
      <c r="J14" s="12"/>
      <c r="K14" s="12"/>
      <c r="L14" s="12"/>
      <c r="M14" s="12"/>
      <c r="N14" s="12"/>
      <c r="O14" s="12"/>
      <c r="P14" s="12"/>
      <c r="Q14" s="12"/>
      <c r="R14" s="12"/>
      <c r="S14" s="12"/>
      <c r="T14" s="12"/>
      <c r="U14" s="12"/>
      <c r="V14" s="12"/>
      <c r="W14" s="12"/>
      <c r="X14" s="12"/>
      <c r="Y14" s="12"/>
      <c r="Z14" s="18"/>
      <c r="AA14" s="18"/>
      <c r="AB14" s="18"/>
      <c r="AC14" s="18"/>
      <c r="AD14" s="18"/>
      <c r="AE14" s="18"/>
      <c r="AF14" s="18"/>
    </row>
    <row r="15" spans="2:45" s="1" customFormat="1" x14ac:dyDescent="0.3">
      <c r="B15" s="26" t="s">
        <v>81</v>
      </c>
      <c r="C15" s="12"/>
      <c r="D15" s="12"/>
      <c r="E15" s="12"/>
      <c r="F15" s="12"/>
      <c r="G15" s="12">
        <v>119.633</v>
      </c>
      <c r="H15" s="12">
        <v>108.693</v>
      </c>
      <c r="I15" s="12">
        <v>107.509</v>
      </c>
      <c r="J15" s="12">
        <f>464.953-SUM(G15:I15)</f>
        <v>129.11799999999999</v>
      </c>
      <c r="K15" s="12">
        <v>132.57499999999999</v>
      </c>
      <c r="L15" s="12">
        <v>115.736</v>
      </c>
      <c r="M15" s="12">
        <v>122.114</v>
      </c>
      <c r="N15" s="12">
        <f>498.043-SUM(K15:M15)</f>
        <v>127.61800000000005</v>
      </c>
      <c r="O15" s="12">
        <v>138.50299999999999</v>
      </c>
      <c r="P15" s="12">
        <v>24.1</v>
      </c>
      <c r="Q15" s="12">
        <v>41.484000000000002</v>
      </c>
      <c r="R15" s="12">
        <f>291.88-SUM(O15:Q15)</f>
        <v>87.793000000000006</v>
      </c>
      <c r="S15" s="12">
        <v>116.813</v>
      </c>
      <c r="T15" s="12">
        <v>79.506</v>
      </c>
      <c r="U15" s="12">
        <v>83.174999999999997</v>
      </c>
      <c r="V15" s="12">
        <f>389.327-SUM(S15:U15)</f>
        <v>109.83299999999997</v>
      </c>
      <c r="W15" s="12">
        <v>122.76300000000001</v>
      </c>
      <c r="X15" s="12">
        <v>107.285</v>
      </c>
      <c r="Y15" s="12">
        <v>115.901</v>
      </c>
      <c r="Z15" s="12">
        <f>458.3-SUM(W15:Y15)</f>
        <v>112.351</v>
      </c>
      <c r="AA15" s="12">
        <v>134</v>
      </c>
      <c r="AB15" s="12"/>
      <c r="AC15" s="12"/>
      <c r="AD15" s="12"/>
      <c r="AE15" s="12"/>
      <c r="AF15" s="12"/>
      <c r="AJ15" s="2">
        <f t="shared" ref="AJ15:AJ16" si="16">SUM(G15:J15)</f>
        <v>464.95299999999997</v>
      </c>
      <c r="AK15" s="2">
        <f t="shared" ref="AK15:AK16" si="17">SUM(K15:N15)</f>
        <v>498.04300000000001</v>
      </c>
      <c r="AL15" s="2">
        <f t="shared" ref="AL15:AL16" si="18">SUM(O15:R15)</f>
        <v>291.88</v>
      </c>
      <c r="AM15" s="2">
        <f t="shared" ref="AM15:AM16" si="19">SUM(S15:V15)</f>
        <v>389.327</v>
      </c>
      <c r="AN15" s="2">
        <f t="shared" ref="AN15:AN16" si="20">SUM(W15:Z15)</f>
        <v>458.3</v>
      </c>
    </row>
    <row r="16" spans="2:45" s="1" customFormat="1" x14ac:dyDescent="0.3">
      <c r="B16" s="26" t="s">
        <v>82</v>
      </c>
      <c r="C16" s="12"/>
      <c r="D16" s="12"/>
      <c r="E16" s="12"/>
      <c r="F16" s="12"/>
      <c r="G16" s="12">
        <v>114.133</v>
      </c>
      <c r="H16" s="12">
        <v>100.422</v>
      </c>
      <c r="I16" s="12">
        <v>88.075000000000003</v>
      </c>
      <c r="J16" s="12">
        <f>421.587-SUM(G16:I16)</f>
        <v>118.95699999999999</v>
      </c>
      <c r="K16" s="12">
        <v>119.943</v>
      </c>
      <c r="L16" s="12">
        <v>106.137</v>
      </c>
      <c r="M16" s="12">
        <v>90.891999999999996</v>
      </c>
      <c r="N16" s="12">
        <f>439.964-SUM(K16:M16)</f>
        <v>122.99200000000002</v>
      </c>
      <c r="O16" s="12">
        <v>109.1</v>
      </c>
      <c r="P16" s="12">
        <v>61.691000000000003</v>
      </c>
      <c r="Q16" s="12">
        <v>81.430000000000007</v>
      </c>
      <c r="R16" s="12">
        <f>371.511-SUM(O16:Q16)</f>
        <v>119.29000000000002</v>
      </c>
      <c r="S16" s="12">
        <v>116.10299999999999</v>
      </c>
      <c r="T16" s="12">
        <v>112.283</v>
      </c>
      <c r="U16" s="12">
        <v>79.003</v>
      </c>
      <c r="V16" s="12">
        <f>445.322-SUM(S16:U16)</f>
        <v>137.93299999999999</v>
      </c>
      <c r="W16" s="12">
        <v>135.642</v>
      </c>
      <c r="X16" s="12">
        <v>114.563</v>
      </c>
      <c r="Y16" s="12">
        <v>104.745</v>
      </c>
      <c r="Z16" s="12">
        <f>493.8-SUM(W16:Y16)</f>
        <v>138.85000000000002</v>
      </c>
      <c r="AA16" s="12">
        <v>155.5</v>
      </c>
      <c r="AB16" s="12"/>
      <c r="AC16" s="12"/>
      <c r="AD16" s="12"/>
      <c r="AE16" s="12"/>
      <c r="AF16" s="12"/>
      <c r="AJ16" s="2">
        <f t="shared" si="16"/>
        <v>421.58699999999999</v>
      </c>
      <c r="AK16" s="2">
        <f t="shared" si="17"/>
        <v>439.964</v>
      </c>
      <c r="AL16" s="2">
        <f t="shared" si="18"/>
        <v>371.51100000000002</v>
      </c>
      <c r="AM16" s="2">
        <f t="shared" si="19"/>
        <v>445.322</v>
      </c>
      <c r="AN16" s="2">
        <f t="shared" si="20"/>
        <v>493.8</v>
      </c>
    </row>
    <row r="17" spans="1:45" s="19" customFormat="1" x14ac:dyDescent="0.3">
      <c r="B17" s="19" t="s">
        <v>83</v>
      </c>
      <c r="C17" s="27">
        <v>213.767</v>
      </c>
      <c r="D17" s="27">
        <v>185.40600000000001</v>
      </c>
      <c r="E17" s="27">
        <v>181.68799999999999</v>
      </c>
      <c r="F17" s="27">
        <f>817.704-SUM(C17:E17)</f>
        <v>236.84299999999996</v>
      </c>
      <c r="G17" s="27">
        <f t="shared" ref="G17:W17" si="21">+G15+G16</f>
        <v>233.76599999999999</v>
      </c>
      <c r="H17" s="27">
        <f t="shared" si="21"/>
        <v>209.11500000000001</v>
      </c>
      <c r="I17" s="27">
        <f t="shared" si="21"/>
        <v>195.584</v>
      </c>
      <c r="J17" s="27">
        <f t="shared" si="21"/>
        <v>248.07499999999999</v>
      </c>
      <c r="K17" s="27">
        <f t="shared" si="21"/>
        <v>252.51799999999997</v>
      </c>
      <c r="L17" s="27">
        <f t="shared" si="21"/>
        <v>221.87299999999999</v>
      </c>
      <c r="M17" s="27">
        <f t="shared" si="21"/>
        <v>213.006</v>
      </c>
      <c r="N17" s="27">
        <f t="shared" si="21"/>
        <v>250.61000000000007</v>
      </c>
      <c r="O17" s="27">
        <f t="shared" si="21"/>
        <v>247.60299999999998</v>
      </c>
      <c r="P17" s="27">
        <f t="shared" si="21"/>
        <v>85.790999999999997</v>
      </c>
      <c r="Q17" s="27">
        <f t="shared" si="21"/>
        <v>122.91400000000002</v>
      </c>
      <c r="R17" s="27">
        <f t="shared" si="21"/>
        <v>207.08300000000003</v>
      </c>
      <c r="S17" s="27">
        <f t="shared" si="21"/>
        <v>232.916</v>
      </c>
      <c r="T17" s="27">
        <f t="shared" si="21"/>
        <v>191.78899999999999</v>
      </c>
      <c r="U17" s="27">
        <f t="shared" si="21"/>
        <v>162.178</v>
      </c>
      <c r="V17" s="27">
        <f t="shared" si="21"/>
        <v>247.76599999999996</v>
      </c>
      <c r="W17" s="27">
        <f t="shared" si="21"/>
        <v>258.40499999999997</v>
      </c>
      <c r="X17" s="27">
        <f>+X15+X16</f>
        <v>221.84800000000001</v>
      </c>
      <c r="Y17" s="27">
        <f t="shared" ref="Y17:Z17" si="22">+Y15+Y16</f>
        <v>220.64600000000002</v>
      </c>
      <c r="Z17" s="27">
        <f t="shared" si="22"/>
        <v>251.20100000000002</v>
      </c>
      <c r="AA17" s="27">
        <f t="shared" ref="AA17" si="23">+AA15+AA16</f>
        <v>289.5</v>
      </c>
      <c r="AB17" s="27"/>
      <c r="AC17" s="27"/>
      <c r="AD17" s="27"/>
      <c r="AE17" s="27"/>
      <c r="AF17" s="27"/>
      <c r="AI17" s="27">
        <f>SUM(C17:F17)</f>
        <v>817.70399999999995</v>
      </c>
      <c r="AJ17" s="27">
        <f t="shared" ref="AJ17:AN17" si="24">+AJ15+AJ16</f>
        <v>886.54</v>
      </c>
      <c r="AK17" s="27">
        <f t="shared" si="24"/>
        <v>938.00700000000006</v>
      </c>
      <c r="AL17" s="27">
        <f t="shared" si="24"/>
        <v>663.39100000000008</v>
      </c>
      <c r="AM17" s="27">
        <f t="shared" si="24"/>
        <v>834.649</v>
      </c>
      <c r="AN17" s="27">
        <f t="shared" si="24"/>
        <v>952.1</v>
      </c>
    </row>
    <row r="18" spans="1:45" s="19" customFormat="1" x14ac:dyDescent="0.3">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I18" s="27"/>
      <c r="AJ18" s="27"/>
      <c r="AK18" s="27"/>
      <c r="AL18" s="27"/>
      <c r="AM18" s="27"/>
      <c r="AN18" s="27"/>
    </row>
    <row r="19" spans="1:45" s="19" customFormat="1" ht="14.5" x14ac:dyDescent="0.35">
      <c r="B19" s="31" t="s">
        <v>92</v>
      </c>
      <c r="C19" s="27"/>
      <c r="D19" s="27"/>
      <c r="E19" s="27"/>
      <c r="F19" s="27"/>
      <c r="G19" s="33">
        <f>G17/C17-1</f>
        <v>9.3555132457301626E-2</v>
      </c>
      <c r="H19" s="33">
        <f t="shared" ref="H19:Z19" si="25">H17/D17-1</f>
        <v>0.12787612051389918</v>
      </c>
      <c r="I19" s="33">
        <f t="shared" si="25"/>
        <v>7.6482761657346687E-2</v>
      </c>
      <c r="J19" s="33">
        <f t="shared" si="25"/>
        <v>4.7423820843343512E-2</v>
      </c>
      <c r="K19" s="33">
        <f t="shared" si="25"/>
        <v>8.0216969105857849E-2</v>
      </c>
      <c r="L19" s="33">
        <f t="shared" si="25"/>
        <v>6.1009492384572983E-2</v>
      </c>
      <c r="M19" s="33">
        <f t="shared" si="25"/>
        <v>8.9076816099476375E-2</v>
      </c>
      <c r="N19" s="33">
        <f t="shared" si="25"/>
        <v>1.0218683865766742E-2</v>
      </c>
      <c r="O19" s="33">
        <f t="shared" si="25"/>
        <v>-1.9463959004902609E-2</v>
      </c>
      <c r="P19" s="33">
        <f t="shared" si="25"/>
        <v>-0.6133328525778261</v>
      </c>
      <c r="Q19" s="33">
        <f t="shared" si="25"/>
        <v>-0.42295522191863133</v>
      </c>
      <c r="R19" s="33">
        <f t="shared" si="25"/>
        <v>-0.17368421052631589</v>
      </c>
      <c r="S19" s="33">
        <f t="shared" si="25"/>
        <v>-5.9316728795693052E-2</v>
      </c>
      <c r="T19" s="33">
        <f t="shared" si="25"/>
        <v>1.2355375272464477</v>
      </c>
      <c r="U19" s="33">
        <f t="shared" si="25"/>
        <v>0.31944286248921983</v>
      </c>
      <c r="V19" s="33">
        <f t="shared" si="25"/>
        <v>0.19645745908645296</v>
      </c>
      <c r="W19" s="33">
        <f t="shared" si="25"/>
        <v>0.10943430249532016</v>
      </c>
      <c r="X19" s="33">
        <f t="shared" si="25"/>
        <v>0.15672953089071862</v>
      </c>
      <c r="Y19" s="33">
        <f t="shared" si="25"/>
        <v>0.36051745612845165</v>
      </c>
      <c r="Z19" s="33">
        <f t="shared" si="25"/>
        <v>1.3863887700491739E-2</v>
      </c>
      <c r="AA19" s="33">
        <f t="shared" ref="AA19" si="26">AA17/W17-1</f>
        <v>0.12033435885528543</v>
      </c>
      <c r="AB19" s="33"/>
      <c r="AC19" s="33"/>
      <c r="AD19" s="33"/>
      <c r="AE19" s="33"/>
      <c r="AF19" s="33"/>
      <c r="AI19" s="27"/>
      <c r="AJ19" s="34">
        <f t="shared" ref="AJ19:AN19" si="27">AJ17/AI17-1</f>
        <v>8.4182051206793673E-2</v>
      </c>
      <c r="AK19" s="34">
        <f t="shared" si="27"/>
        <v>5.8053782119250164E-2</v>
      </c>
      <c r="AL19" s="34">
        <f t="shared" si="27"/>
        <v>-0.2927654058018756</v>
      </c>
      <c r="AM19" s="34">
        <f t="shared" si="27"/>
        <v>0.25815544678779156</v>
      </c>
      <c r="AN19" s="34">
        <f t="shared" si="27"/>
        <v>0.14071903279102949</v>
      </c>
    </row>
    <row r="20" spans="1:45" s="1" customFormat="1" x14ac:dyDescent="0.3">
      <c r="B20" s="26"/>
      <c r="C20" s="12"/>
      <c r="D20" s="12"/>
      <c r="E20" s="12"/>
      <c r="F20" s="12"/>
      <c r="G20" s="12"/>
      <c r="H20" s="12"/>
      <c r="I20" s="12"/>
      <c r="J20" s="12"/>
      <c r="K20" s="12"/>
      <c r="L20" s="12"/>
      <c r="M20" s="12"/>
      <c r="N20" s="12"/>
      <c r="O20" s="12"/>
      <c r="P20" s="12"/>
      <c r="Q20" s="12"/>
      <c r="R20" s="12"/>
      <c r="S20" s="12"/>
      <c r="T20" s="12"/>
      <c r="U20" s="12"/>
      <c r="V20" s="12"/>
      <c r="W20" s="12"/>
      <c r="X20" s="12"/>
      <c r="Y20" s="12"/>
      <c r="Z20" s="18"/>
      <c r="AA20" s="18"/>
      <c r="AB20" s="18"/>
      <c r="AC20" s="18"/>
      <c r="AD20" s="18"/>
      <c r="AE20" s="18"/>
      <c r="AF20" s="18"/>
    </row>
    <row r="21" spans="1:45" s="1" customFormat="1" x14ac:dyDescent="0.3">
      <c r="B21" s="26" t="s">
        <v>84</v>
      </c>
      <c r="C21" s="12"/>
      <c r="D21" s="12"/>
      <c r="E21" s="12"/>
      <c r="F21" s="12"/>
      <c r="G21" s="12"/>
      <c r="H21" s="12"/>
      <c r="I21" s="12"/>
      <c r="J21" s="12"/>
      <c r="K21" s="12"/>
      <c r="L21" s="12"/>
      <c r="M21" s="12"/>
      <c r="N21" s="12"/>
      <c r="O21" s="12"/>
      <c r="P21" s="12"/>
      <c r="Q21" s="12"/>
      <c r="R21" s="12">
        <f>154.435-SUM(O21:Q21)</f>
        <v>154.435</v>
      </c>
      <c r="S21" s="12">
        <v>33.956000000000003</v>
      </c>
      <c r="T21" s="12">
        <v>52.414999999999999</v>
      </c>
      <c r="U21" s="12">
        <v>51.551000000000002</v>
      </c>
      <c r="V21" s="12">
        <f>206.901-SUM(S21:U21)</f>
        <v>68.978999999999985</v>
      </c>
      <c r="W21" s="12">
        <v>63.853999999999999</v>
      </c>
      <c r="X21" s="12">
        <v>74.872</v>
      </c>
      <c r="Y21" s="12">
        <v>67.375</v>
      </c>
      <c r="Z21" s="12">
        <f>297.9-SUM(W21:Y21)</f>
        <v>91.798999999999978</v>
      </c>
      <c r="AA21" s="12">
        <v>76.2</v>
      </c>
      <c r="AB21" s="12"/>
      <c r="AC21" s="12"/>
      <c r="AD21" s="12"/>
      <c r="AE21" s="12"/>
      <c r="AF21" s="12"/>
      <c r="AJ21" s="2">
        <f t="shared" ref="AJ21:AJ22" si="28">SUM(G21:J21)</f>
        <v>0</v>
      </c>
      <c r="AK21" s="2">
        <f>SUM(K21:N21)</f>
        <v>0</v>
      </c>
      <c r="AL21" s="2">
        <f t="shared" ref="AL21:AL22" si="29">SUM(O21:R21)</f>
        <v>154.435</v>
      </c>
      <c r="AM21" s="2">
        <f t="shared" ref="AM21:AM22" si="30">SUM(S21:V21)</f>
        <v>206.90100000000001</v>
      </c>
      <c r="AN21" s="2">
        <f t="shared" ref="AN21:AN22" si="31">SUM(W21:Z21)</f>
        <v>297.89999999999998</v>
      </c>
    </row>
    <row r="22" spans="1:45" s="1" customFormat="1" x14ac:dyDescent="0.3">
      <c r="B22" s="26" t="s">
        <v>85</v>
      </c>
      <c r="C22" s="12"/>
      <c r="D22" s="12"/>
      <c r="E22" s="12"/>
      <c r="F22" s="12"/>
      <c r="G22" s="12"/>
      <c r="H22" s="12"/>
      <c r="I22" s="12"/>
      <c r="J22" s="12"/>
      <c r="K22" s="12"/>
      <c r="L22" s="12"/>
      <c r="M22" s="12"/>
      <c r="N22" s="12"/>
      <c r="O22" s="12"/>
      <c r="P22" s="12"/>
      <c r="Q22" s="12"/>
      <c r="R22" s="12">
        <f>55.12-SUM(O22:Q22)</f>
        <v>55.12</v>
      </c>
      <c r="S22" s="12">
        <v>15.891999999999999</v>
      </c>
      <c r="T22" s="12">
        <v>15.446</v>
      </c>
      <c r="U22" s="12">
        <v>22.405999999999999</v>
      </c>
      <c r="V22" s="12">
        <f>83.542-SUM(S22:U22)</f>
        <v>29.798000000000002</v>
      </c>
      <c r="W22" s="12">
        <v>34.094000000000001</v>
      </c>
      <c r="X22" s="12">
        <v>31.198</v>
      </c>
      <c r="Y22" s="12">
        <v>33.743000000000002</v>
      </c>
      <c r="Z22" s="12">
        <f>134-SUM(W22:Y22)</f>
        <v>34.965000000000003</v>
      </c>
      <c r="AA22" s="12">
        <v>45.1</v>
      </c>
      <c r="AB22" s="12"/>
      <c r="AC22" s="12"/>
      <c r="AD22" s="12"/>
      <c r="AE22" s="12"/>
      <c r="AF22" s="12"/>
      <c r="AJ22" s="2">
        <f t="shared" si="28"/>
        <v>0</v>
      </c>
      <c r="AK22" s="2">
        <f t="shared" ref="AK22" si="32">SUM(K22:N22)</f>
        <v>0</v>
      </c>
      <c r="AL22" s="2">
        <f t="shared" si="29"/>
        <v>55.12</v>
      </c>
      <c r="AM22" s="2">
        <f t="shared" si="30"/>
        <v>83.542000000000002</v>
      </c>
      <c r="AN22" s="2">
        <f t="shared" si="31"/>
        <v>134</v>
      </c>
    </row>
    <row r="23" spans="1:45" s="19" customFormat="1" x14ac:dyDescent="0.3">
      <c r="B23" s="19" t="s">
        <v>86</v>
      </c>
      <c r="C23" s="27">
        <f t="shared" ref="C23:W23" si="33">+C21+C22</f>
        <v>0</v>
      </c>
      <c r="D23" s="27">
        <f t="shared" si="33"/>
        <v>0</v>
      </c>
      <c r="E23" s="27">
        <f t="shared" si="33"/>
        <v>0</v>
      </c>
      <c r="F23" s="27">
        <f t="shared" si="33"/>
        <v>0</v>
      </c>
      <c r="G23" s="27">
        <f t="shared" si="33"/>
        <v>0</v>
      </c>
      <c r="H23" s="27">
        <f t="shared" si="33"/>
        <v>0</v>
      </c>
      <c r="I23" s="27">
        <f t="shared" si="33"/>
        <v>0</v>
      </c>
      <c r="J23" s="27">
        <f t="shared" si="33"/>
        <v>0</v>
      </c>
      <c r="K23" s="27">
        <f t="shared" si="33"/>
        <v>0</v>
      </c>
      <c r="L23" s="27">
        <f t="shared" si="33"/>
        <v>0</v>
      </c>
      <c r="M23" s="27">
        <f t="shared" si="33"/>
        <v>0</v>
      </c>
      <c r="N23" s="27">
        <f t="shared" si="33"/>
        <v>0</v>
      </c>
      <c r="O23" s="27">
        <f t="shared" si="33"/>
        <v>0</v>
      </c>
      <c r="P23" s="27">
        <f t="shared" si="33"/>
        <v>0</v>
      </c>
      <c r="Q23" s="27">
        <f t="shared" si="33"/>
        <v>0</v>
      </c>
      <c r="R23" s="27">
        <f t="shared" si="33"/>
        <v>209.55500000000001</v>
      </c>
      <c r="S23" s="27">
        <f t="shared" si="33"/>
        <v>49.847999999999999</v>
      </c>
      <c r="T23" s="27">
        <f t="shared" si="33"/>
        <v>67.861000000000004</v>
      </c>
      <c r="U23" s="27">
        <f t="shared" si="33"/>
        <v>73.956999999999994</v>
      </c>
      <c r="V23" s="27">
        <f t="shared" si="33"/>
        <v>98.776999999999987</v>
      </c>
      <c r="W23" s="27">
        <f t="shared" si="33"/>
        <v>97.948000000000008</v>
      </c>
      <c r="X23" s="27">
        <f>+X21+X22</f>
        <v>106.07</v>
      </c>
      <c r="Y23" s="27">
        <f t="shared" ref="Y23:Z23" si="34">+Y21+Y22</f>
        <v>101.11799999999999</v>
      </c>
      <c r="Z23" s="27">
        <f>+Z21+Z22</f>
        <v>126.76399999999998</v>
      </c>
      <c r="AA23" s="27">
        <f t="shared" ref="AA23" si="35">+AA21+AA22</f>
        <v>121.30000000000001</v>
      </c>
      <c r="AB23" s="27"/>
      <c r="AC23" s="27"/>
      <c r="AD23" s="27"/>
      <c r="AE23" s="27"/>
      <c r="AF23" s="27"/>
      <c r="AI23" s="27">
        <f t="shared" ref="AI23:AN23" si="36">+AI21+AI22</f>
        <v>0</v>
      </c>
      <c r="AJ23" s="27">
        <f t="shared" si="36"/>
        <v>0</v>
      </c>
      <c r="AK23" s="27">
        <f t="shared" si="36"/>
        <v>0</v>
      </c>
      <c r="AL23" s="27">
        <f t="shared" si="36"/>
        <v>209.55500000000001</v>
      </c>
      <c r="AM23" s="27">
        <f t="shared" si="36"/>
        <v>290.44299999999998</v>
      </c>
      <c r="AN23" s="27">
        <f t="shared" si="36"/>
        <v>431.9</v>
      </c>
    </row>
    <row r="24" spans="1:45" s="19" customFormat="1" x14ac:dyDescent="0.3">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I24" s="27"/>
      <c r="AJ24" s="27"/>
      <c r="AK24" s="27"/>
      <c r="AL24" s="27"/>
      <c r="AM24" s="27"/>
      <c r="AN24" s="27"/>
    </row>
    <row r="25" spans="1:45" s="31" customFormat="1" ht="14.5" x14ac:dyDescent="0.35">
      <c r="B25" s="31" t="s">
        <v>93</v>
      </c>
      <c r="C25" s="32"/>
      <c r="D25" s="32"/>
      <c r="E25" s="32"/>
      <c r="F25" s="32"/>
      <c r="G25" s="33" t="e">
        <f>G23/C23-1</f>
        <v>#DIV/0!</v>
      </c>
      <c r="H25" s="33" t="e">
        <f t="shared" ref="H25:Z25" si="37">H23/D23-1</f>
        <v>#DIV/0!</v>
      </c>
      <c r="I25" s="33" t="e">
        <f t="shared" si="37"/>
        <v>#DIV/0!</v>
      </c>
      <c r="J25" s="33" t="e">
        <f t="shared" si="37"/>
        <v>#DIV/0!</v>
      </c>
      <c r="K25" s="33" t="e">
        <f t="shared" si="37"/>
        <v>#DIV/0!</v>
      </c>
      <c r="L25" s="33" t="e">
        <f t="shared" si="37"/>
        <v>#DIV/0!</v>
      </c>
      <c r="M25" s="33" t="e">
        <f t="shared" si="37"/>
        <v>#DIV/0!</v>
      </c>
      <c r="N25" s="33" t="e">
        <f t="shared" si="37"/>
        <v>#DIV/0!</v>
      </c>
      <c r="O25" s="33" t="e">
        <f t="shared" si="37"/>
        <v>#DIV/0!</v>
      </c>
      <c r="P25" s="33" t="e">
        <f t="shared" si="37"/>
        <v>#DIV/0!</v>
      </c>
      <c r="Q25" s="33" t="e">
        <f t="shared" si="37"/>
        <v>#DIV/0!</v>
      </c>
      <c r="R25" s="33" t="e">
        <f t="shared" si="37"/>
        <v>#DIV/0!</v>
      </c>
      <c r="S25" s="33" t="e">
        <f t="shared" si="37"/>
        <v>#DIV/0!</v>
      </c>
      <c r="T25" s="33" t="e">
        <f t="shared" si="37"/>
        <v>#DIV/0!</v>
      </c>
      <c r="U25" s="33" t="e">
        <f t="shared" si="37"/>
        <v>#DIV/0!</v>
      </c>
      <c r="V25" s="33">
        <f t="shared" si="37"/>
        <v>-0.52863448736608531</v>
      </c>
      <c r="W25" s="33">
        <f t="shared" si="37"/>
        <v>0.96493339752848684</v>
      </c>
      <c r="X25" s="33">
        <f t="shared" si="37"/>
        <v>0.56304799516659032</v>
      </c>
      <c r="Y25" s="33">
        <f t="shared" si="37"/>
        <v>0.36725394485985108</v>
      </c>
      <c r="Z25" s="33">
        <f t="shared" si="37"/>
        <v>0.28333518936594548</v>
      </c>
      <c r="AA25" s="33">
        <f t="shared" ref="AA25" si="38">AA23/W23-1</f>
        <v>0.23841221872830487</v>
      </c>
      <c r="AB25" s="33"/>
      <c r="AC25" s="33"/>
      <c r="AD25" s="33"/>
      <c r="AE25" s="33"/>
      <c r="AF25" s="33"/>
      <c r="AI25" s="32"/>
      <c r="AJ25" s="34" t="e">
        <f t="shared" ref="AJ25:AN25" si="39">AJ23/AI23-1</f>
        <v>#DIV/0!</v>
      </c>
      <c r="AK25" s="34" t="e">
        <f t="shared" si="39"/>
        <v>#DIV/0!</v>
      </c>
      <c r="AL25" s="34" t="e">
        <f t="shared" si="39"/>
        <v>#DIV/0!</v>
      </c>
      <c r="AM25" s="34">
        <f t="shared" si="39"/>
        <v>0.38599890243611457</v>
      </c>
      <c r="AN25" s="34">
        <f t="shared" si="39"/>
        <v>0.48703876492117204</v>
      </c>
    </row>
    <row r="26" spans="1:45" s="19" customFormat="1" x14ac:dyDescent="0.3">
      <c r="C26" s="27"/>
      <c r="D26" s="27"/>
      <c r="E26" s="27"/>
      <c r="F26" s="27"/>
      <c r="G26" s="27"/>
      <c r="H26" s="27"/>
      <c r="I26" s="27"/>
      <c r="J26" s="27"/>
      <c r="K26" s="27"/>
      <c r="L26" s="27"/>
      <c r="M26" s="27"/>
      <c r="N26" s="27"/>
      <c r="O26" s="27"/>
      <c r="P26" s="27"/>
      <c r="Q26" s="27"/>
      <c r="R26" s="27"/>
      <c r="S26" s="27"/>
      <c r="T26" s="27"/>
      <c r="U26" s="27"/>
      <c r="V26" s="27"/>
      <c r="W26" s="27"/>
      <c r="X26" s="27"/>
      <c r="Y26" s="28"/>
      <c r="Z26" s="28"/>
      <c r="AA26" s="28"/>
      <c r="AB26" s="28"/>
      <c r="AC26" s="28"/>
      <c r="AD26" s="28"/>
      <c r="AE26" s="28"/>
      <c r="AF26" s="28"/>
    </row>
    <row r="27" spans="1:45" s="19" customFormat="1" x14ac:dyDescent="0.3">
      <c r="B27" s="19" t="s">
        <v>88</v>
      </c>
      <c r="C27" s="27">
        <f t="shared" ref="C27:W27" si="40">C3+C9+C15+C21</f>
        <v>0</v>
      </c>
      <c r="D27" s="27">
        <f t="shared" si="40"/>
        <v>0</v>
      </c>
      <c r="E27" s="27">
        <f t="shared" si="40"/>
        <v>0</v>
      </c>
      <c r="F27" s="27">
        <f t="shared" si="40"/>
        <v>0</v>
      </c>
      <c r="G27" s="27">
        <f t="shared" si="40"/>
        <v>828.24</v>
      </c>
      <c r="H27" s="27">
        <f t="shared" si="40"/>
        <v>785.95399999999995</v>
      </c>
      <c r="I27" s="27">
        <f t="shared" si="40"/>
        <v>934.11199999999997</v>
      </c>
      <c r="J27" s="27">
        <f t="shared" si="40"/>
        <v>1051.8609999999999</v>
      </c>
      <c r="K27" s="27">
        <f t="shared" si="40"/>
        <v>869.30899999999997</v>
      </c>
      <c r="L27" s="27">
        <f t="shared" si="40"/>
        <v>811.67399999999998</v>
      </c>
      <c r="M27" s="27">
        <f t="shared" si="40"/>
        <v>942.81200000000013</v>
      </c>
      <c r="N27" s="27">
        <f t="shared" si="40"/>
        <v>1036.7240000000002</v>
      </c>
      <c r="O27" s="27">
        <f t="shared" si="40"/>
        <v>876.32399999999984</v>
      </c>
      <c r="P27" s="27">
        <f t="shared" si="40"/>
        <v>300.726</v>
      </c>
      <c r="Q27" s="27">
        <f t="shared" si="40"/>
        <v>668.79000000000008</v>
      </c>
      <c r="R27" s="27">
        <f t="shared" si="40"/>
        <v>877.46499999999992</v>
      </c>
      <c r="S27" s="27">
        <f t="shared" si="40"/>
        <v>838.75900000000001</v>
      </c>
      <c r="T27" s="27">
        <f t="shared" si="40"/>
        <v>802.48399999999992</v>
      </c>
      <c r="U27" s="27">
        <f t="shared" si="40"/>
        <v>970.71600000000001</v>
      </c>
      <c r="V27" s="27">
        <f t="shared" si="40"/>
        <v>1049.4429999999998</v>
      </c>
      <c r="W27" s="27">
        <f t="shared" si="40"/>
        <v>963.07</v>
      </c>
      <c r="X27" s="27">
        <f>X3+X9+X15+X21</f>
        <v>920.49199999999996</v>
      </c>
      <c r="Y27" s="27">
        <f t="shared" ref="Y27:Z27" si="41">Y3+Y9+Y15+Y21</f>
        <v>980.96999999999991</v>
      </c>
      <c r="Z27" s="27">
        <f t="shared" si="41"/>
        <v>965.16799999999967</v>
      </c>
      <c r="AA27" s="27">
        <f t="shared" ref="AA27" si="42">AA3+AA9+AA15+AA21</f>
        <v>984.90000000000009</v>
      </c>
      <c r="AB27" s="27"/>
      <c r="AC27" s="27"/>
      <c r="AD27" s="27"/>
      <c r="AE27" s="27"/>
      <c r="AF27" s="27"/>
      <c r="AI27" s="27">
        <f t="shared" ref="AI27:AL27" si="43">AI3+AI9+AI15+AI21</f>
        <v>0</v>
      </c>
      <c r="AJ27" s="27">
        <f t="shared" si="43"/>
        <v>3600.1669999999999</v>
      </c>
      <c r="AK27" s="27">
        <f t="shared" si="43"/>
        <v>3660.5190000000002</v>
      </c>
      <c r="AL27" s="27">
        <f t="shared" si="43"/>
        <v>2723.3049999999998</v>
      </c>
      <c r="AM27" s="27">
        <f>AM3+AM9+AM15+AM21</f>
        <v>3661.402</v>
      </c>
      <c r="AN27" s="27">
        <f>AN3+AN9+AN15+AN21</f>
        <v>3829.7000000000003</v>
      </c>
    </row>
    <row r="28" spans="1:45" s="19" customFormat="1" x14ac:dyDescent="0.3">
      <c r="B28" s="19" t="s">
        <v>89</v>
      </c>
      <c r="C28" s="27">
        <f t="shared" ref="C28:W28" si="44">C4+C10+C16+C22</f>
        <v>0</v>
      </c>
      <c r="D28" s="27">
        <f t="shared" si="44"/>
        <v>0</v>
      </c>
      <c r="E28" s="27">
        <f t="shared" si="44"/>
        <v>0</v>
      </c>
      <c r="F28" s="27">
        <f t="shared" si="44"/>
        <v>0</v>
      </c>
      <c r="G28" s="27">
        <f t="shared" si="44"/>
        <v>515.44500000000005</v>
      </c>
      <c r="H28" s="27">
        <f t="shared" si="44"/>
        <v>459.78800000000001</v>
      </c>
      <c r="I28" s="27">
        <f t="shared" si="44"/>
        <v>460.041</v>
      </c>
      <c r="J28" s="27">
        <f t="shared" si="44"/>
        <v>539.99900000000002</v>
      </c>
      <c r="K28" s="27">
        <f t="shared" si="44"/>
        <v>565.149</v>
      </c>
      <c r="L28" s="27">
        <f t="shared" si="44"/>
        <v>501.26600000000002</v>
      </c>
      <c r="M28" s="27">
        <f t="shared" si="44"/>
        <v>504.26900000000001</v>
      </c>
      <c r="N28" s="27">
        <f t="shared" si="44"/>
        <v>531.88400000000001</v>
      </c>
      <c r="O28" s="27">
        <f t="shared" si="44"/>
        <v>629.80200000000002</v>
      </c>
      <c r="P28" s="27">
        <f t="shared" si="44"/>
        <v>196.816</v>
      </c>
      <c r="Q28" s="27">
        <f t="shared" si="44"/>
        <v>394.29500000000002</v>
      </c>
      <c r="R28" s="27">
        <f t="shared" si="44"/>
        <v>508.39100000000002</v>
      </c>
      <c r="S28" s="27">
        <f t="shared" si="44"/>
        <v>466.84299999999996</v>
      </c>
      <c r="T28" s="27">
        <f t="shared" si="44"/>
        <v>473.48700000000008</v>
      </c>
      <c r="U28" s="27">
        <f t="shared" si="44"/>
        <v>526.86599999999999</v>
      </c>
      <c r="V28" s="27">
        <f t="shared" si="44"/>
        <v>635.33799999999997</v>
      </c>
      <c r="W28" s="27">
        <f t="shared" si="44"/>
        <v>628.49199999999996</v>
      </c>
      <c r="X28" s="27">
        <f>X4+X10+X16+X22</f>
        <v>550.65700000000004</v>
      </c>
      <c r="Y28" s="27">
        <f t="shared" ref="Y28:Z28" si="45">Y4+Y10+Y16+Y22</f>
        <v>536.18000000000006</v>
      </c>
      <c r="Z28" s="27">
        <f t="shared" si="45"/>
        <v>623.57100000000003</v>
      </c>
      <c r="AA28" s="27">
        <f t="shared" ref="AA28" si="46">AA4+AA10+AA16+AA22</f>
        <v>704</v>
      </c>
      <c r="AB28" s="27"/>
      <c r="AC28" s="27"/>
      <c r="AD28" s="27"/>
      <c r="AE28" s="27"/>
      <c r="AF28" s="27"/>
      <c r="AI28" s="27">
        <f t="shared" ref="AI28:AL28" si="47">AI4+AI10+AI16+AI22</f>
        <v>0</v>
      </c>
      <c r="AJ28" s="27">
        <f t="shared" si="47"/>
        <v>1975.2730000000001</v>
      </c>
      <c r="AK28" s="27">
        <f t="shared" si="47"/>
        <v>2102.5680000000002</v>
      </c>
      <c r="AL28" s="27">
        <f t="shared" si="47"/>
        <v>1729.3039999999999</v>
      </c>
      <c r="AM28" s="27">
        <f>AM4+AM10+AM16+AM22</f>
        <v>2102.5340000000001</v>
      </c>
      <c r="AN28" s="27">
        <f>AN4+AN10+AN16+AN22</f>
        <v>2338.9</v>
      </c>
    </row>
    <row r="29" spans="1:45" s="19" customFormat="1" x14ac:dyDescent="0.3">
      <c r="B29" s="26"/>
      <c r="C29" s="27"/>
      <c r="D29" s="27"/>
      <c r="E29" s="27"/>
      <c r="F29" s="27"/>
      <c r="G29" s="27"/>
      <c r="H29" s="27"/>
      <c r="I29" s="27"/>
      <c r="J29" s="27"/>
      <c r="K29" s="27"/>
      <c r="L29" s="27"/>
      <c r="M29" s="27"/>
      <c r="N29" s="27"/>
      <c r="O29" s="27"/>
      <c r="P29" s="27"/>
      <c r="Q29" s="27"/>
      <c r="R29" s="27"/>
      <c r="S29" s="27"/>
      <c r="T29" s="27"/>
      <c r="U29" s="27"/>
      <c r="V29" s="27"/>
      <c r="W29" s="27"/>
      <c r="X29" s="27"/>
      <c r="Y29" s="28"/>
      <c r="Z29" s="28"/>
      <c r="AA29" s="28"/>
      <c r="AB29" s="28"/>
      <c r="AC29" s="28"/>
      <c r="AD29" s="28"/>
      <c r="AE29" s="28"/>
      <c r="AF29" s="28"/>
    </row>
    <row r="30" spans="1:45" s="20" customFormat="1" x14ac:dyDescent="0.3">
      <c r="A30" s="19"/>
      <c r="B30" s="19" t="s">
        <v>87</v>
      </c>
      <c r="C30" s="20">
        <f>C5+C11+C17</f>
        <v>1101.991</v>
      </c>
      <c r="D30" s="20">
        <f>D5+D11+D17</f>
        <v>1067.855</v>
      </c>
      <c r="E30" s="20">
        <f>E5+E11+E17</f>
        <v>1268.3910000000001</v>
      </c>
      <c r="F30" s="20">
        <f>F5+F11+F17</f>
        <v>1465.7930000000001</v>
      </c>
      <c r="G30" s="20">
        <f t="shared" ref="G30:W30" si="48">G27+G28</f>
        <v>1343.6849999999999</v>
      </c>
      <c r="H30" s="20">
        <f t="shared" si="48"/>
        <v>1245.742</v>
      </c>
      <c r="I30" s="20">
        <f t="shared" si="48"/>
        <v>1394.153</v>
      </c>
      <c r="J30" s="20">
        <f t="shared" si="48"/>
        <v>1591.86</v>
      </c>
      <c r="K30" s="20">
        <f t="shared" si="48"/>
        <v>1434.4580000000001</v>
      </c>
      <c r="L30" s="20">
        <f t="shared" si="48"/>
        <v>1312.94</v>
      </c>
      <c r="M30" s="20">
        <f t="shared" si="48"/>
        <v>1447.0810000000001</v>
      </c>
      <c r="N30" s="20">
        <f t="shared" si="48"/>
        <v>1568.6080000000002</v>
      </c>
      <c r="O30" s="20">
        <f t="shared" si="48"/>
        <v>1506.1259999999997</v>
      </c>
      <c r="P30" s="20">
        <f t="shared" si="48"/>
        <v>497.54200000000003</v>
      </c>
      <c r="Q30" s="20">
        <f t="shared" si="48"/>
        <v>1063.085</v>
      </c>
      <c r="R30" s="20">
        <f t="shared" si="48"/>
        <v>1385.856</v>
      </c>
      <c r="S30" s="20">
        <f t="shared" si="48"/>
        <v>1305.6019999999999</v>
      </c>
      <c r="T30" s="20">
        <f t="shared" si="48"/>
        <v>1275.971</v>
      </c>
      <c r="U30" s="20">
        <f t="shared" si="48"/>
        <v>1497.5819999999999</v>
      </c>
      <c r="V30" s="20">
        <f t="shared" si="48"/>
        <v>1684.7809999999997</v>
      </c>
      <c r="W30" s="20">
        <f t="shared" si="48"/>
        <v>1591.5619999999999</v>
      </c>
      <c r="X30" s="20">
        <f>X27+X28</f>
        <v>1471.1489999999999</v>
      </c>
      <c r="Y30" s="20">
        <f>Y27+Y28</f>
        <v>1517.15</v>
      </c>
      <c r="Z30" s="20">
        <f>Z27+Z28</f>
        <v>1588.7389999999996</v>
      </c>
      <c r="AA30" s="20">
        <f>AA27+AA28</f>
        <v>1688.9</v>
      </c>
      <c r="AB30" s="20">
        <f>X30*1.04</f>
        <v>1529.99496</v>
      </c>
      <c r="AC30" s="20">
        <f t="shared" ref="AC30:AD30" si="49">Y30*1.04</f>
        <v>1577.8360000000002</v>
      </c>
      <c r="AD30" s="20">
        <f t="shared" si="49"/>
        <v>1652.2885599999995</v>
      </c>
      <c r="AI30" s="20">
        <f>AI5+AI11+AI17</f>
        <v>4904.03</v>
      </c>
      <c r="AJ30" s="20">
        <f t="shared" ref="AJ30:AL30" si="50">AJ27+AJ28</f>
        <v>5575.4400000000005</v>
      </c>
      <c r="AK30" s="20">
        <f t="shared" si="50"/>
        <v>5763.0870000000004</v>
      </c>
      <c r="AL30" s="20">
        <f t="shared" si="50"/>
        <v>4452.6089999999995</v>
      </c>
      <c r="AM30" s="20">
        <f>AM27+AM28</f>
        <v>5763.9359999999997</v>
      </c>
      <c r="AN30" s="20">
        <f>AN27+AN28</f>
        <v>6168.6</v>
      </c>
      <c r="AO30" s="20">
        <f>SUM(AA30:AD30)</f>
        <v>6449.0195199999998</v>
      </c>
      <c r="AP30" s="20">
        <f t="shared" ref="AP30:AQ30" si="51">AO30*1.05</f>
        <v>6771.4704959999999</v>
      </c>
      <c r="AQ30" s="20">
        <f t="shared" si="51"/>
        <v>7110.0440208</v>
      </c>
    </row>
    <row r="31" spans="1:45" x14ac:dyDescent="0.3">
      <c r="B31" s="1" t="s">
        <v>10</v>
      </c>
      <c r="C31" s="2">
        <v>537.43799999999999</v>
      </c>
      <c r="D31" s="2">
        <v>509.46300000000002</v>
      </c>
      <c r="E31" s="2">
        <v>611.76199999999994</v>
      </c>
      <c r="F31" s="2">
        <f>AI31-SUM(C31:E31)</f>
        <v>682.63799999999992</v>
      </c>
      <c r="G31" s="2">
        <v>605.56100000000004</v>
      </c>
      <c r="H31" s="2">
        <v>574.86500000000001</v>
      </c>
      <c r="I31" s="2">
        <v>652.59100000000001</v>
      </c>
      <c r="J31" s="2">
        <f>AJ31-SUM(G31:I31)</f>
        <v>744.44800000000032</v>
      </c>
      <c r="K31" s="2">
        <v>651.65</v>
      </c>
      <c r="L31" s="2">
        <v>612.51700000000005</v>
      </c>
      <c r="M31" s="2">
        <v>680.33500000000004</v>
      </c>
      <c r="N31" s="2">
        <f>AK31-SUM(K31:M31)</f>
        <v>717.21199999999999</v>
      </c>
      <c r="O31" s="2">
        <v>666.79899999999998</v>
      </c>
      <c r="P31" s="2">
        <v>327.89</v>
      </c>
      <c r="Q31" s="2">
        <v>485.68700000000001</v>
      </c>
      <c r="R31" s="2">
        <v>619.30899999999997</v>
      </c>
      <c r="S31" s="2">
        <v>545.57299999999998</v>
      </c>
      <c r="T31" s="2">
        <v>525.77</v>
      </c>
      <c r="U31" s="2">
        <v>635.42700000000002</v>
      </c>
      <c r="V31" s="2">
        <v>710.45500000000004</v>
      </c>
      <c r="W31" s="2">
        <v>647.95399999999995</v>
      </c>
      <c r="X31" s="2">
        <v>616.12599999999998</v>
      </c>
      <c r="Y31" s="2">
        <v>654.26900000000001</v>
      </c>
      <c r="Z31" s="2">
        <v>701.4</v>
      </c>
      <c r="AA31" s="2">
        <v>746.6</v>
      </c>
      <c r="AB31" s="2">
        <f>X31*1.03</f>
        <v>634.60978</v>
      </c>
      <c r="AC31" s="2">
        <f t="shared" ref="AC30:AD31" si="52">Y31*1.03</f>
        <v>673.89706999999999</v>
      </c>
      <c r="AD31" s="2">
        <f t="shared" si="52"/>
        <v>722.44200000000001</v>
      </c>
      <c r="AI31" s="2">
        <v>2341.3009999999999</v>
      </c>
      <c r="AJ31" s="2">
        <v>2577.4650000000001</v>
      </c>
      <c r="AK31" s="2">
        <v>2661.7139999999999</v>
      </c>
      <c r="AL31" s="24">
        <f>SUM(O31:R31)</f>
        <v>2099.6849999999999</v>
      </c>
      <c r="AM31" s="2">
        <f>SUM(S31:V31)</f>
        <v>2417.2249999999999</v>
      </c>
      <c r="AN31" s="2">
        <f>SUM(W31:Z31)</f>
        <v>2619.7489999999998</v>
      </c>
      <c r="AO31" s="25">
        <f>SUM(AA31:AD31)</f>
        <v>2777.5488500000001</v>
      </c>
      <c r="AP31" s="25">
        <f t="shared" ref="AP31:AQ31" si="53">AO31*1.06</f>
        <v>2944.2017810000002</v>
      </c>
      <c r="AQ31" s="25">
        <f t="shared" si="53"/>
        <v>3120.8538878600002</v>
      </c>
    </row>
    <row r="32" spans="1:45" s="20" customFormat="1" x14ac:dyDescent="0.3">
      <c r="A32" s="19"/>
      <c r="B32" s="19" t="s">
        <v>11</v>
      </c>
      <c r="C32" s="20">
        <f t="shared" ref="C32:AD32" si="54">+C30-C31</f>
        <v>564.553</v>
      </c>
      <c r="D32" s="20">
        <f t="shared" si="54"/>
        <v>558.39200000000005</v>
      </c>
      <c r="E32" s="20">
        <f t="shared" si="54"/>
        <v>656.62900000000013</v>
      </c>
      <c r="F32" s="20">
        <f t="shared" si="54"/>
        <v>783.1550000000002</v>
      </c>
      <c r="G32" s="20">
        <f t="shared" si="54"/>
        <v>738.12399999999991</v>
      </c>
      <c r="H32" s="20">
        <f t="shared" si="54"/>
        <v>670.87699999999995</v>
      </c>
      <c r="I32" s="20">
        <f t="shared" si="54"/>
        <v>741.56200000000001</v>
      </c>
      <c r="J32" s="20">
        <f t="shared" si="54"/>
        <v>847.41199999999958</v>
      </c>
      <c r="K32" s="20">
        <f t="shared" si="54"/>
        <v>782.80800000000011</v>
      </c>
      <c r="L32" s="20">
        <f t="shared" si="54"/>
        <v>700.423</v>
      </c>
      <c r="M32" s="20">
        <f t="shared" si="54"/>
        <v>766.74600000000009</v>
      </c>
      <c r="N32" s="20">
        <f t="shared" si="54"/>
        <v>851.39600000000019</v>
      </c>
      <c r="O32" s="20">
        <f t="shared" si="54"/>
        <v>839.32699999999977</v>
      </c>
      <c r="P32" s="20">
        <f t="shared" si="54"/>
        <v>169.65200000000004</v>
      </c>
      <c r="Q32" s="20">
        <f t="shared" si="54"/>
        <v>577.39800000000002</v>
      </c>
      <c r="R32" s="20">
        <f t="shared" si="54"/>
        <v>766.54700000000003</v>
      </c>
      <c r="S32" s="20">
        <f>+S30-S31</f>
        <v>760.02899999999988</v>
      </c>
      <c r="T32" s="20">
        <f t="shared" si="54"/>
        <v>750.20100000000002</v>
      </c>
      <c r="U32" s="20">
        <f t="shared" si="54"/>
        <v>862.15499999999986</v>
      </c>
      <c r="V32" s="20">
        <f t="shared" si="54"/>
        <v>974.32599999999968</v>
      </c>
      <c r="W32" s="20">
        <f t="shared" ref="W32" si="55">+W30-W31</f>
        <v>943.60799999999995</v>
      </c>
      <c r="X32" s="20">
        <f t="shared" si="54"/>
        <v>855.02299999999991</v>
      </c>
      <c r="Y32" s="20">
        <f t="shared" si="54"/>
        <v>862.88100000000009</v>
      </c>
      <c r="Z32" s="20">
        <f t="shared" si="54"/>
        <v>887.3389999999996</v>
      </c>
      <c r="AA32" s="20">
        <f t="shared" si="54"/>
        <v>942.30000000000007</v>
      </c>
      <c r="AB32" s="20">
        <f t="shared" si="54"/>
        <v>895.38517999999999</v>
      </c>
      <c r="AC32" s="20">
        <f t="shared" si="54"/>
        <v>903.93893000000025</v>
      </c>
      <c r="AD32" s="20">
        <f t="shared" si="54"/>
        <v>929.8465599999995</v>
      </c>
      <c r="AI32" s="20">
        <f>+AI30-AI31</f>
        <v>2562.7289999999998</v>
      </c>
      <c r="AJ32" s="20">
        <f t="shared" ref="AJ32:AS32" si="56">+AJ30-AJ31</f>
        <v>2997.9750000000004</v>
      </c>
      <c r="AK32" s="20">
        <f t="shared" si="56"/>
        <v>3101.3730000000005</v>
      </c>
      <c r="AL32" s="20">
        <f>+AL30-AL31</f>
        <v>2352.9239999999995</v>
      </c>
      <c r="AM32" s="20">
        <f>+AM30-AM31</f>
        <v>3346.7109999999998</v>
      </c>
      <c r="AN32" s="20">
        <f>+AN30-AN31</f>
        <v>3548.8510000000006</v>
      </c>
      <c r="AO32" s="20">
        <f t="shared" si="56"/>
        <v>3671.4706699999997</v>
      </c>
      <c r="AP32" s="20">
        <f t="shared" si="56"/>
        <v>3827.2687149999997</v>
      </c>
      <c r="AQ32" s="20">
        <f t="shared" si="56"/>
        <v>3989.1901329399998</v>
      </c>
      <c r="AR32" s="20">
        <f t="shared" si="56"/>
        <v>0</v>
      </c>
      <c r="AS32" s="20">
        <f t="shared" si="56"/>
        <v>0</v>
      </c>
    </row>
    <row r="33" spans="1:273" x14ac:dyDescent="0.3">
      <c r="B33" s="1" t="s">
        <v>12</v>
      </c>
      <c r="C33" s="2">
        <v>456.21300000000002</v>
      </c>
      <c r="D33" s="2">
        <v>495.74099999999999</v>
      </c>
      <c r="E33" s="2">
        <v>510.30900000000003</v>
      </c>
      <c r="F33" s="2">
        <f>AI33-SUM(C33:E33)</f>
        <v>633.29700000000003</v>
      </c>
      <c r="G33" s="2">
        <v>564.02499999999998</v>
      </c>
      <c r="H33" s="2">
        <v>594.35299999999995</v>
      </c>
      <c r="I33" s="2">
        <v>582.95299999999997</v>
      </c>
      <c r="J33" s="2">
        <f>AJ33-SUM(G33:I33)</f>
        <v>716.23299999999995</v>
      </c>
      <c r="K33" s="2">
        <v>581.89599999999996</v>
      </c>
      <c r="L33" s="2">
        <v>637.52499999999998</v>
      </c>
      <c r="M33" s="2">
        <v>595.52800000000002</v>
      </c>
      <c r="N33" s="2">
        <f>AK33-SUM(K33:M33)</f>
        <v>719.74900000000002</v>
      </c>
      <c r="O33" s="2">
        <v>660.54499999999996</v>
      </c>
      <c r="P33" s="2">
        <v>550.52499999999998</v>
      </c>
      <c r="Q33" s="2">
        <v>484.00200000000001</v>
      </c>
      <c r="R33" s="2">
        <v>652.55600000000004</v>
      </c>
      <c r="S33" s="2">
        <v>582.90599999999995</v>
      </c>
      <c r="T33" s="2">
        <v>628.23099999999999</v>
      </c>
      <c r="U33" s="2">
        <v>649.46</v>
      </c>
      <c r="V33" s="2">
        <v>790.83900000000006</v>
      </c>
      <c r="W33" s="2">
        <v>709.37599999999998</v>
      </c>
      <c r="X33" s="2">
        <v>778.85699999999997</v>
      </c>
      <c r="Y33" s="2">
        <v>663.75300000000004</v>
      </c>
      <c r="Z33" s="2">
        <v>737.9</v>
      </c>
      <c r="AA33" s="2">
        <v>784.9</v>
      </c>
      <c r="AB33" s="2">
        <f t="shared" ref="AB33:AB34" si="57">X33*1.03</f>
        <v>802.22271000000001</v>
      </c>
      <c r="AC33" s="2">
        <f t="shared" ref="AC33:AC34" si="58">Y33*1.03</f>
        <v>683.66559000000007</v>
      </c>
      <c r="AD33" s="2">
        <f t="shared" ref="AD33:AD34" si="59">Z33*1.03</f>
        <v>760.03700000000003</v>
      </c>
      <c r="AI33" s="2">
        <v>2095.56</v>
      </c>
      <c r="AJ33" s="2">
        <v>2457.5639999999999</v>
      </c>
      <c r="AK33" s="2">
        <v>2534.6979999999999</v>
      </c>
      <c r="AL33" s="24">
        <f>SUM(O33:R33)</f>
        <v>2347.6279999999997</v>
      </c>
      <c r="AM33" s="2">
        <f>SUM(S33:V33)</f>
        <v>2651.4360000000001</v>
      </c>
      <c r="AN33" s="2">
        <f>SUM(W33:Z33)</f>
        <v>2889.886</v>
      </c>
      <c r="AO33" s="25">
        <f t="shared" ref="AO33:AO34" si="60">SUM(AA33:AD33)</f>
        <v>3030.8253000000004</v>
      </c>
      <c r="AP33" s="2">
        <f t="shared" ref="AP33:AQ33" si="61">AO33*1.05</f>
        <v>3182.3665650000007</v>
      </c>
      <c r="AQ33" s="2">
        <f t="shared" si="61"/>
        <v>3341.4848932500008</v>
      </c>
    </row>
    <row r="34" spans="1:273" x14ac:dyDescent="0.3">
      <c r="B34" s="23" t="s">
        <v>74</v>
      </c>
      <c r="C34" s="2">
        <v>0</v>
      </c>
      <c r="D34" s="2">
        <v>0</v>
      </c>
      <c r="E34" s="2">
        <v>0</v>
      </c>
      <c r="F34" s="2">
        <v>0</v>
      </c>
      <c r="G34" s="2">
        <v>0</v>
      </c>
      <c r="H34" s="2">
        <v>0</v>
      </c>
      <c r="I34" s="2">
        <v>0</v>
      </c>
      <c r="J34" s="2">
        <v>0</v>
      </c>
      <c r="K34" s="2">
        <v>0</v>
      </c>
      <c r="L34" s="2">
        <v>0</v>
      </c>
      <c r="M34" s="2">
        <v>0</v>
      </c>
      <c r="N34" s="2">
        <v>0</v>
      </c>
      <c r="O34" s="2">
        <v>0</v>
      </c>
      <c r="P34" s="2">
        <v>67.370999999999995</v>
      </c>
      <c r="Q34" s="2">
        <v>1.071</v>
      </c>
      <c r="R34" s="2">
        <v>21.972999999999999</v>
      </c>
      <c r="S34" s="2">
        <v>0</v>
      </c>
      <c r="T34" s="2">
        <v>15.515000000000001</v>
      </c>
      <c r="U34" s="2">
        <v>-3.6150000000000002</v>
      </c>
      <c r="V34" s="2">
        <v>-2.8359999999999999</v>
      </c>
      <c r="W34" s="2">
        <v>0</v>
      </c>
      <c r="X34" s="2">
        <v>0</v>
      </c>
      <c r="Y34" s="2">
        <v>0</v>
      </c>
      <c r="Z34" s="2">
        <v>12.4</v>
      </c>
      <c r="AA34" s="2">
        <v>0</v>
      </c>
      <c r="AB34" s="2">
        <f t="shared" si="57"/>
        <v>0</v>
      </c>
      <c r="AC34" s="2">
        <f t="shared" si="58"/>
        <v>0</v>
      </c>
      <c r="AD34" s="2">
        <f t="shared" si="59"/>
        <v>12.772</v>
      </c>
      <c r="AI34" s="2">
        <f>SUM(C34:F34)</f>
        <v>0</v>
      </c>
      <c r="AJ34" s="2">
        <f>SUM(G34:J34)</f>
        <v>0</v>
      </c>
      <c r="AK34" s="2">
        <f>SUM(K34:N34)</f>
        <v>0</v>
      </c>
      <c r="AL34" s="24">
        <f>SUM(O34:R34)</f>
        <v>90.414999999999992</v>
      </c>
      <c r="AM34" s="2">
        <f>SUM(S34:V34)</f>
        <v>9.0640000000000001</v>
      </c>
      <c r="AN34" s="2">
        <f>SUM(W34:Z34)</f>
        <v>12.4</v>
      </c>
      <c r="AO34" s="25">
        <f t="shared" si="60"/>
        <v>12.772</v>
      </c>
      <c r="AP34" s="2">
        <v>0</v>
      </c>
      <c r="AQ34" s="2">
        <v>0</v>
      </c>
    </row>
    <row r="35" spans="1:273" s="20" customFormat="1" x14ac:dyDescent="0.3">
      <c r="A35" s="19"/>
      <c r="B35" s="20" t="s">
        <v>13</v>
      </c>
      <c r="C35" s="20">
        <f t="shared" ref="C35:U35" si="62">+C33+C34</f>
        <v>456.21300000000002</v>
      </c>
      <c r="D35" s="20">
        <f t="shared" si="62"/>
        <v>495.74099999999999</v>
      </c>
      <c r="E35" s="20">
        <f t="shared" si="62"/>
        <v>510.30900000000003</v>
      </c>
      <c r="F35" s="20">
        <f t="shared" si="62"/>
        <v>633.29700000000003</v>
      </c>
      <c r="G35" s="20">
        <f t="shared" si="62"/>
        <v>564.02499999999998</v>
      </c>
      <c r="H35" s="20">
        <f t="shared" si="62"/>
        <v>594.35299999999995</v>
      </c>
      <c r="I35" s="20">
        <f t="shared" si="62"/>
        <v>582.95299999999997</v>
      </c>
      <c r="J35" s="20">
        <f t="shared" si="62"/>
        <v>716.23299999999995</v>
      </c>
      <c r="K35" s="20">
        <f t="shared" si="62"/>
        <v>581.89599999999996</v>
      </c>
      <c r="L35" s="20">
        <f t="shared" si="62"/>
        <v>637.52499999999998</v>
      </c>
      <c r="M35" s="20">
        <f t="shared" si="62"/>
        <v>595.52800000000002</v>
      </c>
      <c r="N35" s="20">
        <f t="shared" si="62"/>
        <v>719.74900000000002</v>
      </c>
      <c r="O35" s="20">
        <f t="shared" si="62"/>
        <v>660.54499999999996</v>
      </c>
      <c r="P35" s="20">
        <f t="shared" si="62"/>
        <v>617.89599999999996</v>
      </c>
      <c r="Q35" s="20">
        <f t="shared" si="62"/>
        <v>485.07300000000004</v>
      </c>
      <c r="R35" s="20">
        <f t="shared" si="62"/>
        <v>674.529</v>
      </c>
      <c r="S35" s="20">
        <f t="shared" si="62"/>
        <v>582.90599999999995</v>
      </c>
      <c r="T35" s="20">
        <f t="shared" si="62"/>
        <v>643.74599999999998</v>
      </c>
      <c r="U35" s="20">
        <f t="shared" si="62"/>
        <v>645.84500000000003</v>
      </c>
      <c r="V35" s="20">
        <f>+V33+V34</f>
        <v>788.00300000000004</v>
      </c>
      <c r="W35" s="20">
        <f t="shared" ref="W35:Z35" si="63">+W33+W34</f>
        <v>709.37599999999998</v>
      </c>
      <c r="X35" s="20">
        <f t="shared" si="63"/>
        <v>778.85699999999997</v>
      </c>
      <c r="Y35" s="20">
        <f t="shared" si="63"/>
        <v>663.75300000000004</v>
      </c>
      <c r="Z35" s="20">
        <f t="shared" si="63"/>
        <v>750.3</v>
      </c>
      <c r="AA35" s="20">
        <f t="shared" ref="AA35:AD35" si="64">+AA33+AA34</f>
        <v>784.9</v>
      </c>
      <c r="AB35" s="20">
        <f t="shared" si="64"/>
        <v>802.22271000000001</v>
      </c>
      <c r="AC35" s="20">
        <f t="shared" si="64"/>
        <v>683.66559000000007</v>
      </c>
      <c r="AD35" s="20">
        <f t="shared" si="64"/>
        <v>772.80900000000008</v>
      </c>
      <c r="AI35" s="20">
        <f t="shared" ref="AI35" si="65">+AI33+AI34</f>
        <v>2095.56</v>
      </c>
      <c r="AJ35" s="20">
        <f t="shared" ref="AJ35" si="66">+AJ33+AJ34</f>
        <v>2457.5639999999999</v>
      </c>
      <c r="AK35" s="20">
        <f t="shared" ref="AK35" si="67">+AK33+AK34</f>
        <v>2534.6979999999999</v>
      </c>
      <c r="AL35" s="20">
        <f t="shared" ref="AL35" si="68">+AL33+AL34</f>
        <v>2438.0429999999997</v>
      </c>
      <c r="AM35" s="20">
        <f t="shared" ref="AM35" si="69">+AM33+AM34</f>
        <v>2660.5</v>
      </c>
      <c r="AN35" s="20">
        <f t="shared" ref="AN35" si="70">+AN33+AN34</f>
        <v>2902.2860000000001</v>
      </c>
      <c r="AO35" s="20">
        <f t="shared" ref="AO35" si="71">+AO33+AO34</f>
        <v>3043.5973000000004</v>
      </c>
      <c r="AP35" s="20">
        <f t="shared" ref="AP35" si="72">+AP33+AP34</f>
        <v>3182.3665650000007</v>
      </c>
      <c r="AQ35" s="20">
        <f t="shared" ref="AQ35:AS35" si="73">+AQ33+AQ34</f>
        <v>3341.4848932500008</v>
      </c>
      <c r="AR35" s="20">
        <f t="shared" si="73"/>
        <v>0</v>
      </c>
      <c r="AS35" s="20">
        <f t="shared" si="73"/>
        <v>0</v>
      </c>
    </row>
    <row r="36" spans="1:273" s="20" customFormat="1" x14ac:dyDescent="0.3">
      <c r="A36" s="19"/>
      <c r="B36" s="19" t="s">
        <v>14</v>
      </c>
      <c r="C36" s="20">
        <f t="shared" ref="C36:R36" si="74">+C32-C35</f>
        <v>108.33999999999997</v>
      </c>
      <c r="D36" s="20">
        <f t="shared" si="74"/>
        <v>62.651000000000067</v>
      </c>
      <c r="E36" s="20">
        <f t="shared" si="74"/>
        <v>146.32000000000011</v>
      </c>
      <c r="F36" s="20">
        <f t="shared" si="74"/>
        <v>149.85800000000017</v>
      </c>
      <c r="G36" s="20">
        <f t="shared" si="74"/>
        <v>174.09899999999993</v>
      </c>
      <c r="H36" s="20">
        <f t="shared" si="74"/>
        <v>76.524000000000001</v>
      </c>
      <c r="I36" s="20">
        <f t="shared" si="74"/>
        <v>158.60900000000004</v>
      </c>
      <c r="J36" s="20">
        <f t="shared" si="74"/>
        <v>131.17899999999963</v>
      </c>
      <c r="K36" s="20">
        <f t="shared" si="74"/>
        <v>200.91200000000015</v>
      </c>
      <c r="L36" s="20">
        <f t="shared" si="74"/>
        <v>62.898000000000025</v>
      </c>
      <c r="M36" s="20">
        <f t="shared" si="74"/>
        <v>171.21800000000007</v>
      </c>
      <c r="N36" s="20">
        <f t="shared" si="74"/>
        <v>131.64700000000016</v>
      </c>
      <c r="O36" s="20">
        <f t="shared" si="74"/>
        <v>178.78199999999981</v>
      </c>
      <c r="P36" s="20">
        <f t="shared" si="74"/>
        <v>-448.24399999999991</v>
      </c>
      <c r="Q36" s="20">
        <f t="shared" si="74"/>
        <v>92.324999999999989</v>
      </c>
      <c r="R36" s="20">
        <f t="shared" si="74"/>
        <v>92.018000000000029</v>
      </c>
      <c r="S36" s="20">
        <f>+S32-S35</f>
        <v>177.12299999999993</v>
      </c>
      <c r="T36" s="20">
        <f>+T32-T35</f>
        <v>106.45500000000004</v>
      </c>
      <c r="U36" s="20">
        <f>+U32-U35</f>
        <v>216.30999999999983</v>
      </c>
      <c r="V36" s="20">
        <f>+V32-V35</f>
        <v>186.32299999999964</v>
      </c>
      <c r="W36" s="20">
        <f t="shared" ref="W36" si="75">+W32-W35</f>
        <v>234.23199999999997</v>
      </c>
      <c r="X36" s="20">
        <f>+X32-X35</f>
        <v>76.16599999999994</v>
      </c>
      <c r="Y36" s="20">
        <f>+Y32-Y35</f>
        <v>199.12800000000004</v>
      </c>
      <c r="Z36" s="20">
        <f t="shared" ref="Z36:AD36" si="76">+Z32-Z35</f>
        <v>137.03899999999965</v>
      </c>
      <c r="AA36" s="20">
        <f t="shared" si="76"/>
        <v>157.40000000000009</v>
      </c>
      <c r="AB36" s="20">
        <f t="shared" si="76"/>
        <v>93.162469999999985</v>
      </c>
      <c r="AC36" s="20">
        <f t="shared" si="76"/>
        <v>220.27334000000019</v>
      </c>
      <c r="AD36" s="20">
        <f t="shared" si="76"/>
        <v>157.03755999999942</v>
      </c>
      <c r="AI36" s="20">
        <f t="shared" ref="AI36:AQ36" si="77">+AI32-AI35</f>
        <v>467.16899999999987</v>
      </c>
      <c r="AJ36" s="20">
        <f t="shared" si="77"/>
        <v>540.41100000000051</v>
      </c>
      <c r="AK36" s="20">
        <f t="shared" si="77"/>
        <v>566.67500000000064</v>
      </c>
      <c r="AL36" s="20">
        <f t="shared" si="77"/>
        <v>-85.119000000000142</v>
      </c>
      <c r="AM36" s="20">
        <f t="shared" si="77"/>
        <v>686.21099999999979</v>
      </c>
      <c r="AN36" s="20">
        <f t="shared" si="77"/>
        <v>646.56500000000051</v>
      </c>
      <c r="AO36" s="20">
        <f t="shared" si="77"/>
        <v>627.87336999999934</v>
      </c>
      <c r="AP36" s="20">
        <f t="shared" si="77"/>
        <v>644.90214999999898</v>
      </c>
      <c r="AQ36" s="20">
        <f t="shared" si="77"/>
        <v>647.70523968999896</v>
      </c>
      <c r="AR36" s="20">
        <f t="shared" ref="AR36:AS36" si="78">+AR32-AR35</f>
        <v>0</v>
      </c>
      <c r="AS36" s="20">
        <f t="shared" si="78"/>
        <v>0</v>
      </c>
    </row>
    <row r="37" spans="1:273" x14ac:dyDescent="0.3">
      <c r="B37" s="1" t="s">
        <v>16</v>
      </c>
      <c r="C37" s="2">
        <f>-19.934+0.408</f>
        <v>-19.526</v>
      </c>
      <c r="D37" s="2">
        <f>-17.895-22.793-18.087</f>
        <v>-58.775000000000006</v>
      </c>
      <c r="E37" s="2">
        <f>-14.476-14.734</f>
        <v>-29.21</v>
      </c>
      <c r="F37" s="2">
        <f>AI37-SUM(C37:E37)</f>
        <v>-10.876999999999995</v>
      </c>
      <c r="G37" s="2">
        <f>-15.497-9.577</f>
        <v>-25.073999999999998</v>
      </c>
      <c r="H37" s="2">
        <f>-14.465+13.653</f>
        <v>-0.81199999999999939</v>
      </c>
      <c r="I37" s="2">
        <f>-15.697-3.032</f>
        <v>-18.728999999999999</v>
      </c>
      <c r="J37" s="2">
        <f>AJ37-SUM(G37:I37)</f>
        <v>4.2259999999999991</v>
      </c>
      <c r="K37" s="2">
        <f>-17.544-1.646</f>
        <v>-19.190000000000001</v>
      </c>
      <c r="L37" s="2">
        <f>-15.126-24.86+3.166</f>
        <v>-36.82</v>
      </c>
      <c r="M37" s="2">
        <f>-15.292-4.369</f>
        <v>-19.661000000000001</v>
      </c>
      <c r="N37" s="2">
        <f>AK37-SUM(K37:M37)</f>
        <v>-13.420000000000002</v>
      </c>
      <c r="O37" s="2">
        <f>-16.654+2.7</f>
        <v>-13.954000000000001</v>
      </c>
      <c r="P37" s="2">
        <f>-11.246+1.305</f>
        <v>-9.9410000000000007</v>
      </c>
      <c r="Q37" s="2">
        <f>-28.437-12.274</f>
        <v>-40.710999999999999</v>
      </c>
      <c r="R37" s="2">
        <f>-25.853-14.205</f>
        <v>-40.058</v>
      </c>
      <c r="S37" s="2">
        <f>-23.31+0.858</f>
        <v>-22.451999999999998</v>
      </c>
      <c r="T37" s="2">
        <f>-19.933-30.108-0.715</f>
        <v>-50.756</v>
      </c>
      <c r="U37" s="2">
        <f>-18.118+4.847</f>
        <v>-13.270999999999997</v>
      </c>
      <c r="V37" s="2">
        <f>-11.541-6.183-1.768</f>
        <v>-19.492000000000001</v>
      </c>
      <c r="W37" s="2">
        <f>-4.248+15.897</f>
        <v>11.649000000000001</v>
      </c>
      <c r="X37" s="2">
        <f>-4.36+6.004</f>
        <v>1.6439999999999992</v>
      </c>
      <c r="Y37" s="2">
        <f>-7.654-5.178</f>
        <v>-12.832000000000001</v>
      </c>
      <c r="Z37" s="2">
        <f>-9.4+12.2</f>
        <v>2.7999999999999989</v>
      </c>
      <c r="AA37" s="2">
        <f>-10.7-7.5</f>
        <v>-18.2</v>
      </c>
      <c r="AB37" s="2">
        <f t="shared" ref="AB37:AD37" si="79">X37*1.03</f>
        <v>1.6933199999999993</v>
      </c>
      <c r="AC37" s="2">
        <f t="shared" si="79"/>
        <v>-13.21696</v>
      </c>
      <c r="AD37" s="2">
        <f t="shared" si="79"/>
        <v>2.883999999999999</v>
      </c>
      <c r="AI37" s="2">
        <f>-68.603-22.793-26.992</f>
        <v>-118.38799999999999</v>
      </c>
      <c r="AJ37" s="2">
        <f>-55.296+14.907</f>
        <v>-40.388999999999996</v>
      </c>
      <c r="AK37" s="2">
        <f>-66.248-24.86+2.017</f>
        <v>-89.091000000000008</v>
      </c>
      <c r="AL37" s="24">
        <f>SUM(O37:R37)</f>
        <v>-104.66399999999999</v>
      </c>
      <c r="AM37" s="2">
        <f>SUM(S37:V37)</f>
        <v>-105.971</v>
      </c>
      <c r="AN37" s="2">
        <f>SUM(W37:Z37)</f>
        <v>3.2609999999999975</v>
      </c>
      <c r="AO37" s="25">
        <f>SUM(AA37:AD37)</f>
        <v>-26.839639999999999</v>
      </c>
      <c r="AP37" s="2">
        <f t="shared" ref="AP37:AQ37" si="80">AO37*1.05</f>
        <v>-28.181622000000001</v>
      </c>
      <c r="AQ37" s="2">
        <f t="shared" si="80"/>
        <v>-29.590703100000002</v>
      </c>
    </row>
    <row r="38" spans="1:273" x14ac:dyDescent="0.3">
      <c r="B38" s="1" t="s">
        <v>15</v>
      </c>
      <c r="C38" s="2">
        <f t="shared" ref="C38:Y38" si="81">+C36+C37</f>
        <v>88.813999999999979</v>
      </c>
      <c r="D38" s="2">
        <f t="shared" si="81"/>
        <v>3.8760000000000616</v>
      </c>
      <c r="E38" s="2">
        <f t="shared" si="81"/>
        <v>117.1100000000001</v>
      </c>
      <c r="F38" s="2">
        <f t="shared" si="81"/>
        <v>138.98100000000017</v>
      </c>
      <c r="G38" s="2">
        <f t="shared" si="81"/>
        <v>149.02499999999992</v>
      </c>
      <c r="H38" s="2">
        <f t="shared" si="81"/>
        <v>75.712000000000003</v>
      </c>
      <c r="I38" s="2">
        <f t="shared" si="81"/>
        <v>139.88000000000005</v>
      </c>
      <c r="J38" s="2">
        <f t="shared" si="81"/>
        <v>135.40499999999963</v>
      </c>
      <c r="K38" s="2">
        <f t="shared" si="81"/>
        <v>181.72200000000015</v>
      </c>
      <c r="L38" s="2">
        <f t="shared" si="81"/>
        <v>26.078000000000024</v>
      </c>
      <c r="M38" s="2">
        <f t="shared" si="81"/>
        <v>151.55700000000007</v>
      </c>
      <c r="N38" s="2">
        <f t="shared" si="81"/>
        <v>118.22700000000016</v>
      </c>
      <c r="O38" s="2">
        <f t="shared" si="81"/>
        <v>164.8279999999998</v>
      </c>
      <c r="P38" s="2">
        <f t="shared" si="81"/>
        <v>-458.18499999999989</v>
      </c>
      <c r="Q38" s="2">
        <f t="shared" si="81"/>
        <v>51.61399999999999</v>
      </c>
      <c r="R38" s="2">
        <f t="shared" si="81"/>
        <v>51.960000000000029</v>
      </c>
      <c r="S38" s="2">
        <f>+S36+S37</f>
        <v>154.67099999999994</v>
      </c>
      <c r="T38" s="2">
        <f t="shared" si="81"/>
        <v>55.699000000000041</v>
      </c>
      <c r="U38" s="2">
        <f t="shared" si="81"/>
        <v>203.03899999999985</v>
      </c>
      <c r="V38" s="2">
        <f t="shared" ref="V38" si="82">+V36+V37</f>
        <v>166.83099999999965</v>
      </c>
      <c r="W38" s="2">
        <f t="shared" ref="W38" si="83">+W36+W37</f>
        <v>245.88099999999997</v>
      </c>
      <c r="X38" s="2">
        <f t="shared" si="81"/>
        <v>77.809999999999945</v>
      </c>
      <c r="Y38" s="2">
        <f t="shared" si="81"/>
        <v>186.29600000000005</v>
      </c>
      <c r="Z38" s="2">
        <f t="shared" ref="Z38:AD38" si="84">+Z36+Z37</f>
        <v>139.83899999999966</v>
      </c>
      <c r="AA38" s="2">
        <f t="shared" si="84"/>
        <v>139.2000000000001</v>
      </c>
      <c r="AB38" s="2">
        <f t="shared" si="84"/>
        <v>94.855789999999985</v>
      </c>
      <c r="AC38" s="2">
        <f t="shared" si="84"/>
        <v>207.05638000000019</v>
      </c>
      <c r="AD38" s="2">
        <f t="shared" si="84"/>
        <v>159.9215599999994</v>
      </c>
      <c r="AI38" s="2">
        <f>+AI36+AI37</f>
        <v>348.78099999999989</v>
      </c>
      <c r="AJ38" s="2">
        <f t="shared" ref="AJ38:AS38" si="85">+AJ36+AJ37</f>
        <v>500.0220000000005</v>
      </c>
      <c r="AK38" s="2">
        <f t="shared" si="85"/>
        <v>477.58400000000063</v>
      </c>
      <c r="AL38" s="2">
        <f>+AL36+AL37</f>
        <v>-189.78300000000013</v>
      </c>
      <c r="AM38" s="2">
        <f t="shared" si="85"/>
        <v>580.23999999999978</v>
      </c>
      <c r="AN38" s="2">
        <f t="shared" si="85"/>
        <v>649.82600000000048</v>
      </c>
      <c r="AO38" s="2">
        <f t="shared" si="85"/>
        <v>601.03372999999931</v>
      </c>
      <c r="AP38" s="2">
        <f t="shared" si="85"/>
        <v>616.72052799999904</v>
      </c>
      <c r="AQ38" s="2">
        <f t="shared" si="85"/>
        <v>618.11453658999892</v>
      </c>
      <c r="AR38" s="2">
        <f t="shared" si="85"/>
        <v>0</v>
      </c>
      <c r="AS38" s="2">
        <f t="shared" si="85"/>
        <v>0</v>
      </c>
    </row>
    <row r="39" spans="1:273" x14ac:dyDescent="0.3">
      <c r="B39" s="1" t="s">
        <v>17</v>
      </c>
      <c r="C39" s="2">
        <v>28.693000000000001</v>
      </c>
      <c r="D39" s="2">
        <v>-13.847</v>
      </c>
      <c r="E39" s="2">
        <v>27.631</v>
      </c>
      <c r="F39" s="2">
        <f>AI39-SUM(C39:E39)</f>
        <v>21.74799999999999</v>
      </c>
      <c r="G39" s="2">
        <v>167.654</v>
      </c>
      <c r="H39" s="2">
        <v>-1.32</v>
      </c>
      <c r="I39" s="2">
        <v>10.298999999999999</v>
      </c>
      <c r="J39" s="2">
        <f>AJ39-SUM(G39:I39)</f>
        <v>38.144999999999982</v>
      </c>
      <c r="K39" s="2">
        <v>35.271000000000001</v>
      </c>
      <c r="L39" s="2">
        <v>-2.4289999999999998</v>
      </c>
      <c r="M39" s="2">
        <v>27.34</v>
      </c>
      <c r="N39" s="2">
        <f>AK39-SUM(K39:M39)</f>
        <v>22.421999999999997</v>
      </c>
      <c r="O39" s="2">
        <v>12.138999999999999</v>
      </c>
      <c r="P39" s="2">
        <v>-94.635999999999996</v>
      </c>
      <c r="Q39" s="2">
        <v>24.565000000000001</v>
      </c>
      <c r="R39" s="2">
        <v>-4.71</v>
      </c>
      <c r="S39" s="2">
        <v>12.167</v>
      </c>
      <c r="T39" s="2">
        <v>-9.02</v>
      </c>
      <c r="U39" s="2">
        <v>9.7059999999999995</v>
      </c>
      <c r="V39" s="2">
        <v>13.846</v>
      </c>
      <c r="W39" s="2">
        <v>50.037999999999997</v>
      </c>
      <c r="X39" s="2">
        <v>28.068000000000001</v>
      </c>
      <c r="Y39" s="2">
        <v>13.339</v>
      </c>
      <c r="Z39" s="2">
        <v>-10.8</v>
      </c>
      <c r="AA39" s="2">
        <v>24.5</v>
      </c>
      <c r="AB39" s="2">
        <f>0.21*AB38</f>
        <v>19.919715899999996</v>
      </c>
      <c r="AC39" s="2">
        <f t="shared" ref="AC39:AD39" si="86">0.21*AC38</f>
        <v>43.481839800000039</v>
      </c>
      <c r="AD39" s="2">
        <f t="shared" si="86"/>
        <v>33.583527599999876</v>
      </c>
      <c r="AI39" s="2">
        <v>64.224999999999994</v>
      </c>
      <c r="AJ39" s="2">
        <v>214.77799999999999</v>
      </c>
      <c r="AK39" s="2">
        <v>82.603999999999999</v>
      </c>
      <c r="AL39" s="24">
        <f>SUM(O39:R39)</f>
        <v>-62.642000000000003</v>
      </c>
      <c r="AM39" s="2">
        <f>SUM(S39:V39)</f>
        <v>26.698999999999998</v>
      </c>
      <c r="AN39" s="2">
        <f>SUM(W39:Z39)</f>
        <v>80.644999999999996</v>
      </c>
      <c r="AO39" s="25">
        <f>SUM(AA39:AD39)</f>
        <v>121.48508329999993</v>
      </c>
      <c r="AP39" s="2">
        <f t="shared" ref="AO39:AQ39" si="87">AP38*0.21</f>
        <v>129.5113108799998</v>
      </c>
      <c r="AQ39" s="2">
        <f t="shared" si="87"/>
        <v>129.80405268389976</v>
      </c>
    </row>
    <row r="40" spans="1:273" x14ac:dyDescent="0.3">
      <c r="B40" s="1" t="s">
        <v>18</v>
      </c>
      <c r="C40" s="2">
        <f t="shared" ref="C40" si="88">+C38-C39</f>
        <v>60.120999999999981</v>
      </c>
      <c r="D40" s="2">
        <f t="shared" ref="D40" si="89">+D38-D39</f>
        <v>17.723000000000063</v>
      </c>
      <c r="E40" s="2">
        <f t="shared" ref="E40" si="90">+E38-E39</f>
        <v>89.479000000000099</v>
      </c>
      <c r="F40" s="2">
        <f t="shared" ref="F40:P40" si="91">+F38-F39</f>
        <v>117.23300000000017</v>
      </c>
      <c r="G40" s="2">
        <f t="shared" si="91"/>
        <v>-18.629000000000076</v>
      </c>
      <c r="H40" s="2">
        <f t="shared" si="91"/>
        <v>77.031999999999996</v>
      </c>
      <c r="I40" s="2">
        <f t="shared" si="91"/>
        <v>129.58100000000005</v>
      </c>
      <c r="J40" s="2">
        <f t="shared" si="91"/>
        <v>97.25999999999965</v>
      </c>
      <c r="K40" s="2">
        <f t="shared" si="91"/>
        <v>146.45100000000014</v>
      </c>
      <c r="L40" s="2">
        <f t="shared" si="91"/>
        <v>28.507000000000023</v>
      </c>
      <c r="M40" s="2">
        <f t="shared" si="91"/>
        <v>124.21700000000007</v>
      </c>
      <c r="N40" s="2">
        <f t="shared" si="91"/>
        <v>95.805000000000163</v>
      </c>
      <c r="O40" s="2">
        <f t="shared" si="91"/>
        <v>152.68899999999979</v>
      </c>
      <c r="P40" s="2">
        <f t="shared" si="91"/>
        <v>-363.54899999999986</v>
      </c>
      <c r="Q40" s="2">
        <f>+Q38-Q39</f>
        <v>27.048999999999989</v>
      </c>
      <c r="R40" s="2">
        <f>+R38-R39</f>
        <v>56.67000000000003</v>
      </c>
      <c r="S40" s="2">
        <f>+S38-S39</f>
        <v>142.50399999999993</v>
      </c>
      <c r="T40" s="2">
        <f t="shared" ref="T40:Y40" si="92">+T38-T39</f>
        <v>64.719000000000037</v>
      </c>
      <c r="U40" s="2">
        <f t="shared" si="92"/>
        <v>193.33299999999986</v>
      </c>
      <c r="V40" s="2">
        <f t="shared" ref="V40" si="93">+V38-V39</f>
        <v>152.98499999999964</v>
      </c>
      <c r="W40" s="2">
        <f t="shared" si="92"/>
        <v>195.84299999999996</v>
      </c>
      <c r="X40" s="2">
        <f t="shared" si="92"/>
        <v>49.741999999999948</v>
      </c>
      <c r="Y40" s="2">
        <f t="shared" si="92"/>
        <v>172.95700000000005</v>
      </c>
      <c r="Z40" s="2">
        <f t="shared" ref="Z40:AD40" si="94">+Z38-Z39</f>
        <v>150.63899999999967</v>
      </c>
      <c r="AA40" s="2">
        <f t="shared" si="94"/>
        <v>114.7000000000001</v>
      </c>
      <c r="AB40" s="2">
        <f t="shared" si="94"/>
        <v>74.936074099999985</v>
      </c>
      <c r="AC40" s="2">
        <f t="shared" si="94"/>
        <v>163.57454020000014</v>
      </c>
      <c r="AD40" s="2">
        <f t="shared" si="94"/>
        <v>126.33803239999952</v>
      </c>
      <c r="AI40" s="2">
        <f>+AI38-AI39</f>
        <v>284.55599999999993</v>
      </c>
      <c r="AJ40" s="2">
        <f t="shared" ref="AJ40:AS40" si="95">+AJ38-AJ39</f>
        <v>285.24400000000048</v>
      </c>
      <c r="AK40" s="2">
        <f t="shared" si="95"/>
        <v>394.98000000000064</v>
      </c>
      <c r="AL40" s="2">
        <f>+AL38-AL39</f>
        <v>-127.14100000000013</v>
      </c>
      <c r="AM40" s="2">
        <f t="shared" si="95"/>
        <v>553.54099999999983</v>
      </c>
      <c r="AN40" s="2">
        <f t="shared" si="95"/>
        <v>569.18100000000049</v>
      </c>
      <c r="AO40" s="2">
        <f t="shared" si="95"/>
        <v>479.54864669999938</v>
      </c>
      <c r="AP40" s="2">
        <f t="shared" si="95"/>
        <v>487.20921711999927</v>
      </c>
      <c r="AQ40" s="2">
        <f t="shared" si="95"/>
        <v>488.31048390609919</v>
      </c>
      <c r="AR40" s="2">
        <f t="shared" si="95"/>
        <v>0</v>
      </c>
      <c r="AS40" s="2">
        <f t="shared" si="95"/>
        <v>0</v>
      </c>
    </row>
    <row r="41" spans="1:273" x14ac:dyDescent="0.3">
      <c r="B41" s="1" t="s">
        <v>34</v>
      </c>
      <c r="C41" s="2">
        <v>-2.1999999999999999E-2</v>
      </c>
      <c r="D41" s="2">
        <v>0.20699999999999999</v>
      </c>
      <c r="E41" s="2">
        <v>1.4870000000000001</v>
      </c>
      <c r="F41" s="2">
        <f>AI41-SUM(C41:E41)</f>
        <v>1.4809999999999999</v>
      </c>
      <c r="G41" s="2">
        <v>0.38300000000000001</v>
      </c>
      <c r="H41" s="2">
        <v>2.1</v>
      </c>
      <c r="I41" s="2">
        <v>-0.54300000000000004</v>
      </c>
      <c r="J41" s="2">
        <f>AJ41-SUM(G41:I41)</f>
        <v>0.16199999999999992</v>
      </c>
      <c r="K41" s="2">
        <v>-0.126</v>
      </c>
      <c r="L41" s="2">
        <v>0.27700000000000002</v>
      </c>
      <c r="M41" s="2">
        <v>-0.29199999999999998</v>
      </c>
      <c r="N41" s="2">
        <f>AK41-SUM(K41:M41)</f>
        <v>0.5089999999999999</v>
      </c>
      <c r="O41" s="2">
        <v>0</v>
      </c>
      <c r="P41" s="2">
        <v>0</v>
      </c>
      <c r="Q41" s="2">
        <v>0</v>
      </c>
      <c r="R41" s="2">
        <v>0</v>
      </c>
      <c r="S41" s="2">
        <v>0</v>
      </c>
      <c r="T41" s="2">
        <v>0</v>
      </c>
      <c r="U41" s="2">
        <v>0</v>
      </c>
      <c r="V41" s="2">
        <v>0</v>
      </c>
      <c r="W41" s="2">
        <v>0</v>
      </c>
      <c r="X41" s="2">
        <v>0</v>
      </c>
      <c r="Y41" s="2">
        <v>0</v>
      </c>
      <c r="Z41" s="2">
        <v>0</v>
      </c>
      <c r="AA41" s="2">
        <v>0</v>
      </c>
      <c r="AB41" s="2">
        <v>0</v>
      </c>
      <c r="AC41" s="2">
        <v>0</v>
      </c>
      <c r="AD41" s="2">
        <v>0</v>
      </c>
      <c r="AI41" s="2">
        <v>3.153</v>
      </c>
      <c r="AJ41" s="2">
        <v>2.1019999999999999</v>
      </c>
      <c r="AK41" s="2">
        <v>0.36799999999999999</v>
      </c>
      <c r="AL41" s="24">
        <f>SUM(O41:R41)</f>
        <v>0</v>
      </c>
      <c r="AM41" s="2">
        <f>SUM(S41:V41)</f>
        <v>0</v>
      </c>
      <c r="AN41" s="2">
        <f>SUM(W41:Z41)</f>
        <v>0</v>
      </c>
      <c r="AO41" s="25">
        <f>SUM(AA41:AD41)</f>
        <v>0</v>
      </c>
      <c r="AP41" s="2">
        <v>0</v>
      </c>
      <c r="AQ41" s="2">
        <v>0</v>
      </c>
    </row>
    <row r="42" spans="1:273" s="20" customFormat="1" x14ac:dyDescent="0.3">
      <c r="A42" s="19"/>
      <c r="B42" s="19" t="s">
        <v>18</v>
      </c>
      <c r="C42" s="20">
        <f t="shared" ref="C42:Y42" si="96">+C38-C39-C41</f>
        <v>60.142999999999979</v>
      </c>
      <c r="D42" s="20">
        <f t="shared" si="96"/>
        <v>17.516000000000062</v>
      </c>
      <c r="E42" s="20">
        <f t="shared" si="96"/>
        <v>87.992000000000104</v>
      </c>
      <c r="F42" s="20">
        <f t="shared" si="96"/>
        <v>115.75200000000018</v>
      </c>
      <c r="G42" s="20">
        <f t="shared" si="96"/>
        <v>-19.012000000000075</v>
      </c>
      <c r="H42" s="20">
        <f t="shared" si="96"/>
        <v>74.932000000000002</v>
      </c>
      <c r="I42" s="20">
        <f t="shared" si="96"/>
        <v>130.12400000000005</v>
      </c>
      <c r="J42" s="20">
        <f t="shared" si="96"/>
        <v>97.097999999999644</v>
      </c>
      <c r="K42" s="20">
        <f t="shared" si="96"/>
        <v>146.57700000000014</v>
      </c>
      <c r="L42" s="20">
        <f t="shared" si="96"/>
        <v>28.230000000000022</v>
      </c>
      <c r="M42" s="20">
        <f>+M38-M39-M41</f>
        <v>124.50900000000007</v>
      </c>
      <c r="N42" s="20">
        <f>+N38-N39-N41</f>
        <v>95.296000000000163</v>
      </c>
      <c r="O42" s="20">
        <f t="shared" si="96"/>
        <v>152.68899999999979</v>
      </c>
      <c r="P42" s="20">
        <f t="shared" si="96"/>
        <v>-363.54899999999986</v>
      </c>
      <c r="Q42" s="20">
        <f t="shared" si="96"/>
        <v>27.048999999999989</v>
      </c>
      <c r="R42" s="20">
        <f t="shared" si="96"/>
        <v>56.67000000000003</v>
      </c>
      <c r="S42" s="20">
        <f>+S38-S39-S41</f>
        <v>142.50399999999993</v>
      </c>
      <c r="T42" s="20">
        <f t="shared" si="96"/>
        <v>64.719000000000037</v>
      </c>
      <c r="U42" s="20">
        <f t="shared" si="96"/>
        <v>193.33299999999986</v>
      </c>
      <c r="V42" s="20">
        <f t="shared" ref="V42" si="97">+V38-V39-V41</f>
        <v>152.98499999999964</v>
      </c>
      <c r="W42" s="20">
        <f t="shared" ref="W42" si="98">+W38-W39-W41</f>
        <v>195.84299999999996</v>
      </c>
      <c r="X42" s="20">
        <f t="shared" si="96"/>
        <v>49.741999999999948</v>
      </c>
      <c r="Y42" s="20">
        <f t="shared" si="96"/>
        <v>172.95700000000005</v>
      </c>
      <c r="Z42" s="20">
        <f t="shared" ref="Z42:AD42" si="99">+Z38-Z39-Z41</f>
        <v>150.63899999999967</v>
      </c>
      <c r="AA42" s="20">
        <f t="shared" si="99"/>
        <v>114.7000000000001</v>
      </c>
      <c r="AB42" s="20">
        <f t="shared" si="99"/>
        <v>74.936074099999985</v>
      </c>
      <c r="AC42" s="20">
        <f t="shared" si="99"/>
        <v>163.57454020000014</v>
      </c>
      <c r="AD42" s="20">
        <f t="shared" si="99"/>
        <v>126.33803239999952</v>
      </c>
      <c r="AI42" s="20">
        <f>+AI38-AI39-AI41</f>
        <v>281.40299999999991</v>
      </c>
      <c r="AJ42" s="20">
        <f t="shared" ref="AJ42:AS42" si="100">+AJ38-AJ39-AJ41</f>
        <v>283.14200000000051</v>
      </c>
      <c r="AK42" s="20">
        <f t="shared" si="100"/>
        <v>394.61200000000065</v>
      </c>
      <c r="AL42" s="20">
        <f>+AL38-AL39-AL41</f>
        <v>-127.14100000000013</v>
      </c>
      <c r="AM42" s="20">
        <f t="shared" si="100"/>
        <v>553.54099999999983</v>
      </c>
      <c r="AN42" s="20">
        <f t="shared" si="100"/>
        <v>569.18100000000049</v>
      </c>
      <c r="AO42" s="20">
        <f t="shared" si="100"/>
        <v>479.54864669999938</v>
      </c>
      <c r="AP42" s="20">
        <f t="shared" si="100"/>
        <v>487.20921711999927</v>
      </c>
      <c r="AQ42" s="20">
        <f t="shared" si="100"/>
        <v>488.31048390609919</v>
      </c>
      <c r="AR42" s="20">
        <f t="shared" si="100"/>
        <v>0</v>
      </c>
      <c r="AS42" s="20">
        <f t="shared" si="100"/>
        <v>0</v>
      </c>
      <c r="AT42" s="20">
        <f>AQ42*(1+$AU$47)</f>
        <v>483.4273790670382</v>
      </c>
      <c r="AU42" s="20">
        <f t="shared" ref="AU42:DF42" si="101">AT42*(1+$AU$47)</f>
        <v>478.59310527636779</v>
      </c>
      <c r="AV42" s="20">
        <f t="shared" si="101"/>
        <v>473.80717422360414</v>
      </c>
      <c r="AW42" s="20">
        <f t="shared" si="101"/>
        <v>469.06910248136808</v>
      </c>
      <c r="AX42" s="20">
        <f t="shared" si="101"/>
        <v>464.37841145655437</v>
      </c>
      <c r="AY42" s="20">
        <f t="shared" si="101"/>
        <v>459.73462734198881</v>
      </c>
      <c r="AZ42" s="20">
        <f t="shared" si="101"/>
        <v>455.13728106856894</v>
      </c>
      <c r="BA42" s="20">
        <f t="shared" si="101"/>
        <v>450.58590825788326</v>
      </c>
      <c r="BB42" s="20">
        <f t="shared" si="101"/>
        <v>446.08004917530445</v>
      </c>
      <c r="BC42" s="20">
        <f t="shared" si="101"/>
        <v>441.6192486835514</v>
      </c>
      <c r="BD42" s="20">
        <f t="shared" si="101"/>
        <v>437.20305619671586</v>
      </c>
      <c r="BE42" s="20">
        <f t="shared" si="101"/>
        <v>432.8310256347487</v>
      </c>
      <c r="BF42" s="20">
        <f t="shared" si="101"/>
        <v>428.50271537840121</v>
      </c>
      <c r="BG42" s="20">
        <f t="shared" si="101"/>
        <v>424.21768822461718</v>
      </c>
      <c r="BH42" s="20">
        <f t="shared" si="101"/>
        <v>419.97551134237102</v>
      </c>
      <c r="BI42" s="20">
        <f t="shared" si="101"/>
        <v>415.77575622894733</v>
      </c>
      <c r="BJ42" s="20">
        <f t="shared" si="101"/>
        <v>411.61799866665785</v>
      </c>
      <c r="BK42" s="20">
        <f t="shared" si="101"/>
        <v>407.50181867999129</v>
      </c>
      <c r="BL42" s="20">
        <f t="shared" si="101"/>
        <v>403.42680049319137</v>
      </c>
      <c r="BM42" s="20">
        <f t="shared" si="101"/>
        <v>399.39253248825946</v>
      </c>
      <c r="BN42" s="20">
        <f t="shared" si="101"/>
        <v>395.39860716337688</v>
      </c>
      <c r="BO42" s="20">
        <f t="shared" si="101"/>
        <v>391.4446210917431</v>
      </c>
      <c r="BP42" s="20">
        <f t="shared" si="101"/>
        <v>387.53017488082565</v>
      </c>
      <c r="BQ42" s="20">
        <f t="shared" si="101"/>
        <v>383.65487313201737</v>
      </c>
      <c r="BR42" s="20">
        <f t="shared" si="101"/>
        <v>379.81832440069718</v>
      </c>
      <c r="BS42" s="20">
        <f t="shared" si="101"/>
        <v>376.02014115669022</v>
      </c>
      <c r="BT42" s="20">
        <f t="shared" si="101"/>
        <v>372.25993974512329</v>
      </c>
      <c r="BU42" s="20">
        <f t="shared" si="101"/>
        <v>368.53734034767206</v>
      </c>
      <c r="BV42" s="20">
        <f t="shared" si="101"/>
        <v>364.85196694419534</v>
      </c>
      <c r="BW42" s="20">
        <f t="shared" si="101"/>
        <v>361.20344727475339</v>
      </c>
      <c r="BX42" s="20">
        <f t="shared" si="101"/>
        <v>357.59141280200583</v>
      </c>
      <c r="BY42" s="20">
        <f t="shared" si="101"/>
        <v>354.01549867398575</v>
      </c>
      <c r="BZ42" s="20">
        <f t="shared" si="101"/>
        <v>350.47534368724587</v>
      </c>
      <c r="CA42" s="20">
        <f t="shared" si="101"/>
        <v>346.97059025037339</v>
      </c>
      <c r="CB42" s="20">
        <f t="shared" si="101"/>
        <v>343.50088434786966</v>
      </c>
      <c r="CC42" s="20">
        <f t="shared" si="101"/>
        <v>340.06587550439093</v>
      </c>
      <c r="CD42" s="20">
        <f t="shared" si="101"/>
        <v>336.665216749347</v>
      </c>
      <c r="CE42" s="20">
        <f t="shared" si="101"/>
        <v>333.2985645818535</v>
      </c>
      <c r="CF42" s="20">
        <f t="shared" si="101"/>
        <v>329.96557893603494</v>
      </c>
      <c r="CG42" s="20">
        <f t="shared" si="101"/>
        <v>326.66592314667457</v>
      </c>
      <c r="CH42" s="20">
        <f t="shared" si="101"/>
        <v>323.39926391520783</v>
      </c>
      <c r="CI42" s="20">
        <f t="shared" si="101"/>
        <v>320.16527127605576</v>
      </c>
      <c r="CJ42" s="20">
        <f t="shared" si="101"/>
        <v>316.9636185632952</v>
      </c>
      <c r="CK42" s="20">
        <f t="shared" si="101"/>
        <v>313.79398237766225</v>
      </c>
      <c r="CL42" s="20">
        <f t="shared" si="101"/>
        <v>310.65604255388564</v>
      </c>
      <c r="CM42" s="20">
        <f t="shared" si="101"/>
        <v>307.54948212834677</v>
      </c>
      <c r="CN42" s="20">
        <f t="shared" si="101"/>
        <v>304.47398730706328</v>
      </c>
      <c r="CO42" s="20">
        <f t="shared" si="101"/>
        <v>301.42924743399266</v>
      </c>
      <c r="CP42" s="20">
        <f t="shared" si="101"/>
        <v>298.41495495965273</v>
      </c>
      <c r="CQ42" s="20">
        <f t="shared" si="101"/>
        <v>295.43080541005622</v>
      </c>
      <c r="CR42" s="20">
        <f t="shared" si="101"/>
        <v>292.47649735595564</v>
      </c>
      <c r="CS42" s="20">
        <f t="shared" si="101"/>
        <v>289.5517323823961</v>
      </c>
      <c r="CT42" s="20">
        <f t="shared" si="101"/>
        <v>286.65621505857212</v>
      </c>
      <c r="CU42" s="20">
        <f t="shared" si="101"/>
        <v>283.78965290798641</v>
      </c>
      <c r="CV42" s="20">
        <f t="shared" si="101"/>
        <v>280.95175637890657</v>
      </c>
      <c r="CW42" s="20">
        <f t="shared" si="101"/>
        <v>278.14223881511748</v>
      </c>
      <c r="CX42" s="20">
        <f t="shared" si="101"/>
        <v>275.36081642696632</v>
      </c>
      <c r="CY42" s="20">
        <f t="shared" si="101"/>
        <v>272.60720826269664</v>
      </c>
      <c r="CZ42" s="20">
        <f t="shared" si="101"/>
        <v>269.88113618006969</v>
      </c>
      <c r="DA42" s="20">
        <f t="shared" si="101"/>
        <v>267.18232481826897</v>
      </c>
      <c r="DB42" s="20">
        <f t="shared" si="101"/>
        <v>264.51050157008626</v>
      </c>
      <c r="DC42" s="20">
        <f t="shared" si="101"/>
        <v>261.86539655438537</v>
      </c>
      <c r="DD42" s="20">
        <f t="shared" si="101"/>
        <v>259.24674258884153</v>
      </c>
      <c r="DE42" s="20">
        <f t="shared" si="101"/>
        <v>256.65427516295313</v>
      </c>
      <c r="DF42" s="20">
        <f t="shared" si="101"/>
        <v>254.0877324113236</v>
      </c>
      <c r="DG42" s="20">
        <f t="shared" ref="DG42:FA42" si="102">DF42*(1+$AU$47)</f>
        <v>251.54685508721036</v>
      </c>
      <c r="DH42" s="20">
        <f t="shared" si="102"/>
        <v>249.03138653633826</v>
      </c>
      <c r="DI42" s="20">
        <f t="shared" si="102"/>
        <v>246.54107267097487</v>
      </c>
      <c r="DJ42" s="20">
        <f t="shared" si="102"/>
        <v>244.07566194426511</v>
      </c>
      <c r="DK42" s="20">
        <f t="shared" si="102"/>
        <v>241.63490532482245</v>
      </c>
      <c r="DL42" s="20">
        <f t="shared" si="102"/>
        <v>239.21855627157422</v>
      </c>
      <c r="DM42" s="20">
        <f t="shared" si="102"/>
        <v>236.82637070885846</v>
      </c>
      <c r="DN42" s="20">
        <f t="shared" si="102"/>
        <v>234.45810700176989</v>
      </c>
      <c r="DO42" s="20">
        <f t="shared" si="102"/>
        <v>232.11352593175218</v>
      </c>
      <c r="DP42" s="20">
        <f t="shared" si="102"/>
        <v>229.79239067243466</v>
      </c>
      <c r="DQ42" s="20">
        <f t="shared" si="102"/>
        <v>227.49446676571031</v>
      </c>
      <c r="DR42" s="20">
        <f t="shared" si="102"/>
        <v>225.2195220980532</v>
      </c>
      <c r="DS42" s="20">
        <f t="shared" si="102"/>
        <v>222.96732687707268</v>
      </c>
      <c r="DT42" s="20">
        <f t="shared" si="102"/>
        <v>220.73765360830194</v>
      </c>
      <c r="DU42" s="20">
        <f t="shared" si="102"/>
        <v>218.53027707221892</v>
      </c>
      <c r="DV42" s="20">
        <f t="shared" si="102"/>
        <v>216.34497430149673</v>
      </c>
      <c r="DW42" s="20">
        <f t="shared" si="102"/>
        <v>214.18152455848175</v>
      </c>
      <c r="DX42" s="20">
        <f t="shared" si="102"/>
        <v>212.03970931289695</v>
      </c>
      <c r="DY42" s="20">
        <f t="shared" si="102"/>
        <v>209.91931221976799</v>
      </c>
      <c r="DZ42" s="20">
        <f t="shared" si="102"/>
        <v>207.82011909757031</v>
      </c>
      <c r="EA42" s="20">
        <f t="shared" si="102"/>
        <v>205.74191790659461</v>
      </c>
      <c r="EB42" s="20">
        <f t="shared" si="102"/>
        <v>203.68449872752865</v>
      </c>
      <c r="EC42" s="20">
        <f t="shared" si="102"/>
        <v>201.64765374025336</v>
      </c>
      <c r="ED42" s="20">
        <f t="shared" si="102"/>
        <v>199.63117720285084</v>
      </c>
      <c r="EE42" s="20">
        <f t="shared" si="102"/>
        <v>197.63486543082232</v>
      </c>
      <c r="EF42" s="20">
        <f t="shared" si="102"/>
        <v>195.65851677651409</v>
      </c>
      <c r="EG42" s="20">
        <f t="shared" si="102"/>
        <v>193.70193160874894</v>
      </c>
      <c r="EH42" s="20">
        <f t="shared" si="102"/>
        <v>191.76491229266145</v>
      </c>
      <c r="EI42" s="20">
        <f t="shared" si="102"/>
        <v>189.84726316973484</v>
      </c>
      <c r="EJ42" s="20">
        <f t="shared" si="102"/>
        <v>187.94879053803749</v>
      </c>
      <c r="EK42" s="20">
        <f t="shared" si="102"/>
        <v>186.0693026326571</v>
      </c>
      <c r="EL42" s="20">
        <f t="shared" si="102"/>
        <v>184.20860960633053</v>
      </c>
      <c r="EM42" s="20">
        <f t="shared" si="102"/>
        <v>182.36652351026723</v>
      </c>
      <c r="EN42" s="20">
        <f t="shared" si="102"/>
        <v>180.54285827516455</v>
      </c>
      <c r="EO42" s="20">
        <f t="shared" si="102"/>
        <v>178.73742969241289</v>
      </c>
      <c r="EP42" s="20">
        <f t="shared" si="102"/>
        <v>176.95005539548876</v>
      </c>
      <c r="EQ42" s="20">
        <f t="shared" si="102"/>
        <v>175.18055484153388</v>
      </c>
      <c r="ER42" s="20">
        <f t="shared" si="102"/>
        <v>173.42874929311853</v>
      </c>
      <c r="ES42" s="20">
        <f t="shared" si="102"/>
        <v>171.69446180018736</v>
      </c>
      <c r="ET42" s="20">
        <f t="shared" si="102"/>
        <v>169.97751718218549</v>
      </c>
      <c r="EU42" s="20">
        <f t="shared" si="102"/>
        <v>168.27774201036362</v>
      </c>
      <c r="EV42" s="20">
        <f t="shared" si="102"/>
        <v>166.59496459025999</v>
      </c>
      <c r="EW42" s="20">
        <f t="shared" si="102"/>
        <v>164.92901494435739</v>
      </c>
      <c r="EX42" s="20">
        <f t="shared" si="102"/>
        <v>163.27972479491382</v>
      </c>
      <c r="EY42" s="20">
        <f t="shared" si="102"/>
        <v>161.64692754696469</v>
      </c>
      <c r="EZ42" s="20">
        <f t="shared" si="102"/>
        <v>160.03045827149504</v>
      </c>
      <c r="FA42" s="20">
        <f t="shared" si="102"/>
        <v>158.43015368878008</v>
      </c>
      <c r="FB42" s="20">
        <f>FA42*(1+$AU$47)</f>
        <v>156.84585215189227</v>
      </c>
      <c r="FC42" s="20">
        <f t="shared" ref="FC42:HI42" si="103">FB42*(1+$AU$47)</f>
        <v>155.27739363037335</v>
      </c>
      <c r="FD42" s="20">
        <f t="shared" si="103"/>
        <v>153.72461969406962</v>
      </c>
      <c r="FE42" s="20">
        <f t="shared" si="103"/>
        <v>152.18737349712893</v>
      </c>
      <c r="FF42" s="20">
        <f t="shared" si="103"/>
        <v>150.66549976215765</v>
      </c>
      <c r="FG42" s="20">
        <f t="shared" si="103"/>
        <v>149.15884476453607</v>
      </c>
      <c r="FH42" s="20">
        <f t="shared" si="103"/>
        <v>147.6672563168907</v>
      </c>
      <c r="FI42" s="20">
        <f t="shared" si="103"/>
        <v>146.1905837537218</v>
      </c>
      <c r="FJ42" s="20">
        <f t="shared" si="103"/>
        <v>144.72867791618458</v>
      </c>
      <c r="FK42" s="20">
        <f t="shared" si="103"/>
        <v>143.28139113702272</v>
      </c>
      <c r="FL42" s="20">
        <f t="shared" si="103"/>
        <v>141.84857722565249</v>
      </c>
      <c r="FM42" s="20">
        <f t="shared" si="103"/>
        <v>140.43009145339596</v>
      </c>
      <c r="FN42" s="20">
        <f t="shared" si="103"/>
        <v>139.025790538862</v>
      </c>
      <c r="FO42" s="20">
        <f t="shared" si="103"/>
        <v>137.63553263347339</v>
      </c>
      <c r="FP42" s="20">
        <f t="shared" si="103"/>
        <v>136.25917730713866</v>
      </c>
      <c r="FQ42" s="20">
        <f t="shared" si="103"/>
        <v>134.89658553406727</v>
      </c>
      <c r="FR42" s="20">
        <f t="shared" si="103"/>
        <v>133.54761967872659</v>
      </c>
      <c r="FS42" s="20">
        <f t="shared" si="103"/>
        <v>132.21214348193934</v>
      </c>
      <c r="FT42" s="20">
        <f t="shared" si="103"/>
        <v>130.89002204711994</v>
      </c>
      <c r="FU42" s="20">
        <f t="shared" si="103"/>
        <v>129.58112182664874</v>
      </c>
      <c r="FV42" s="20">
        <f t="shared" si="103"/>
        <v>128.28531060838225</v>
      </c>
      <c r="FW42" s="20">
        <f t="shared" si="103"/>
        <v>127.00245750229843</v>
      </c>
      <c r="FX42" s="20">
        <f t="shared" si="103"/>
        <v>125.73243292727544</v>
      </c>
      <c r="FY42" s="20">
        <f t="shared" si="103"/>
        <v>124.47510859800268</v>
      </c>
      <c r="FZ42" s="20">
        <f t="shared" si="103"/>
        <v>123.23035751202265</v>
      </c>
      <c r="GA42" s="20">
        <f t="shared" si="103"/>
        <v>121.99805393690242</v>
      </c>
      <c r="GB42" s="20">
        <f t="shared" si="103"/>
        <v>120.7780733975334</v>
      </c>
      <c r="GC42" s="20">
        <f t="shared" si="103"/>
        <v>119.57029266355806</v>
      </c>
      <c r="GD42" s="20">
        <f t="shared" si="103"/>
        <v>118.37458973692249</v>
      </c>
      <c r="GE42" s="20">
        <f t="shared" si="103"/>
        <v>117.19084383955327</v>
      </c>
      <c r="GF42" s="20">
        <f t="shared" si="103"/>
        <v>116.01893540115773</v>
      </c>
      <c r="GG42" s="20">
        <f t="shared" si="103"/>
        <v>114.85874604714616</v>
      </c>
      <c r="GH42" s="20">
        <f t="shared" si="103"/>
        <v>113.71015858667469</v>
      </c>
      <c r="GI42" s="20">
        <f t="shared" si="103"/>
        <v>112.57305700080795</v>
      </c>
      <c r="GJ42" s="20">
        <f t="shared" si="103"/>
        <v>111.44732643079988</v>
      </c>
      <c r="GK42" s="20">
        <f t="shared" si="103"/>
        <v>110.33285316649187</v>
      </c>
      <c r="GL42" s="20">
        <f t="shared" si="103"/>
        <v>109.22952463482696</v>
      </c>
      <c r="GM42" s="20">
        <f t="shared" si="103"/>
        <v>108.13722938847869</v>
      </c>
      <c r="GN42" s="20">
        <f t="shared" si="103"/>
        <v>107.0558570945939</v>
      </c>
      <c r="GO42" s="20">
        <f t="shared" si="103"/>
        <v>105.98529852364797</v>
      </c>
      <c r="GP42" s="20">
        <f t="shared" si="103"/>
        <v>104.92544553841149</v>
      </c>
      <c r="GQ42" s="20">
        <f t="shared" si="103"/>
        <v>103.87619108302738</v>
      </c>
      <c r="GR42" s="20">
        <f t="shared" si="103"/>
        <v>102.8374291721971</v>
      </c>
      <c r="GS42" s="20">
        <f t="shared" si="103"/>
        <v>101.80905488047513</v>
      </c>
      <c r="GT42" s="20">
        <f t="shared" si="103"/>
        <v>100.79096433167038</v>
      </c>
      <c r="GU42" s="20">
        <f t="shared" si="103"/>
        <v>99.783054688353673</v>
      </c>
      <c r="GV42" s="20">
        <f t="shared" si="103"/>
        <v>98.785224141470138</v>
      </c>
      <c r="GW42" s="20">
        <f t="shared" si="103"/>
        <v>97.797371900055438</v>
      </c>
      <c r="GX42" s="20">
        <f t="shared" si="103"/>
        <v>96.819398181054879</v>
      </c>
      <c r="GY42" s="20">
        <f t="shared" si="103"/>
        <v>95.851204199244336</v>
      </c>
      <c r="GZ42" s="20">
        <f t="shared" si="103"/>
        <v>94.892692157251886</v>
      </c>
      <c r="HA42" s="20">
        <f t="shared" si="103"/>
        <v>93.943765235679365</v>
      </c>
      <c r="HB42" s="20">
        <f t="shared" si="103"/>
        <v>93.004327583322564</v>
      </c>
      <c r="HC42" s="20">
        <f t="shared" si="103"/>
        <v>92.074284307489336</v>
      </c>
      <c r="HD42" s="20">
        <f t="shared" si="103"/>
        <v>91.153541464414445</v>
      </c>
      <c r="HE42" s="20">
        <f t="shared" si="103"/>
        <v>90.242006049770296</v>
      </c>
      <c r="HF42" s="20">
        <f t="shared" si="103"/>
        <v>89.339585989272592</v>
      </c>
      <c r="HG42" s="20">
        <f t="shared" si="103"/>
        <v>88.446190129379872</v>
      </c>
      <c r="HH42" s="20">
        <f t="shared" si="103"/>
        <v>87.561728228086068</v>
      </c>
      <c r="HI42" s="20">
        <f t="shared" si="103"/>
        <v>86.686110945805211</v>
      </c>
      <c r="HJ42" s="20">
        <f>HI42*(1+$AU$47)</f>
        <v>85.819249836347154</v>
      </c>
      <c r="HK42" s="20">
        <f t="shared" ref="HK42:HM42" si="104">HJ42*(1+$AU$47)</f>
        <v>84.961057337983675</v>
      </c>
      <c r="HL42" s="20">
        <f t="shared" si="104"/>
        <v>84.111446764603841</v>
      </c>
      <c r="HM42" s="20">
        <f t="shared" si="104"/>
        <v>83.270332296957804</v>
      </c>
      <c r="HN42" s="20">
        <f>HM42*(1+$AU$47)</f>
        <v>82.437628973988225</v>
      </c>
      <c r="HO42" s="20">
        <f t="shared" ref="HO42:JM42" si="105">HN42*(1+$AU$47)</f>
        <v>81.613252684248337</v>
      </c>
      <c r="HP42" s="20">
        <f t="shared" si="105"/>
        <v>80.797120157405857</v>
      </c>
      <c r="HQ42" s="20">
        <f t="shared" si="105"/>
        <v>79.989148955831794</v>
      </c>
      <c r="HR42" s="20">
        <f t="shared" si="105"/>
        <v>79.189257466273475</v>
      </c>
      <c r="HS42" s="20">
        <f t="shared" si="105"/>
        <v>78.397364891610735</v>
      </c>
      <c r="HT42" s="20">
        <f t="shared" si="105"/>
        <v>77.613391242694632</v>
      </c>
      <c r="HU42" s="20">
        <f t="shared" si="105"/>
        <v>76.83725733026769</v>
      </c>
      <c r="HV42" s="20">
        <f t="shared" si="105"/>
        <v>76.068884756965019</v>
      </c>
      <c r="HW42" s="20">
        <f t="shared" si="105"/>
        <v>75.308195909395366</v>
      </c>
      <c r="HX42" s="20">
        <f t="shared" si="105"/>
        <v>74.555113950301418</v>
      </c>
      <c r="HY42" s="20">
        <f t="shared" si="105"/>
        <v>73.809562810798397</v>
      </c>
      <c r="HZ42" s="20">
        <f t="shared" si="105"/>
        <v>73.071467182690412</v>
      </c>
      <c r="IA42" s="20">
        <f t="shared" si="105"/>
        <v>72.34075251086351</v>
      </c>
      <c r="IB42" s="20">
        <f t="shared" si="105"/>
        <v>71.617344985754869</v>
      </c>
      <c r="IC42" s="20">
        <f t="shared" si="105"/>
        <v>70.901171535897319</v>
      </c>
      <c r="ID42" s="20">
        <f t="shared" si="105"/>
        <v>70.19215982053835</v>
      </c>
      <c r="IE42" s="20">
        <f t="shared" si="105"/>
        <v>69.490238222332962</v>
      </c>
      <c r="IF42" s="20">
        <f t="shared" si="105"/>
        <v>68.79533584010963</v>
      </c>
      <c r="IG42" s="20">
        <f t="shared" si="105"/>
        <v>68.107382481708527</v>
      </c>
      <c r="IH42" s="20">
        <f t="shared" si="105"/>
        <v>67.426308656891436</v>
      </c>
      <c r="II42" s="20">
        <f t="shared" si="105"/>
        <v>66.752045570322522</v>
      </c>
      <c r="IJ42" s="20">
        <f t="shared" si="105"/>
        <v>66.084525114619296</v>
      </c>
      <c r="IK42" s="20">
        <f t="shared" si="105"/>
        <v>65.423679863473097</v>
      </c>
      <c r="IL42" s="20">
        <f t="shared" si="105"/>
        <v>64.76944306483837</v>
      </c>
      <c r="IM42" s="20">
        <f t="shared" si="105"/>
        <v>64.121748634189984</v>
      </c>
      <c r="IN42" s="20">
        <f t="shared" si="105"/>
        <v>63.480531147848083</v>
      </c>
      <c r="IO42" s="20">
        <f t="shared" si="105"/>
        <v>62.845725836369603</v>
      </c>
      <c r="IP42" s="20">
        <f t="shared" si="105"/>
        <v>62.217268578005907</v>
      </c>
      <c r="IQ42" s="20">
        <f t="shared" si="105"/>
        <v>61.595095892225849</v>
      </c>
      <c r="IR42" s="20">
        <f t="shared" si="105"/>
        <v>60.979144933303587</v>
      </c>
      <c r="IS42" s="20">
        <f t="shared" si="105"/>
        <v>60.369353483970549</v>
      </c>
      <c r="IT42" s="20">
        <f t="shared" si="105"/>
        <v>59.765659949130843</v>
      </c>
      <c r="IU42" s="20">
        <f t="shared" si="105"/>
        <v>59.168003349639534</v>
      </c>
      <c r="IV42" s="20">
        <f t="shared" si="105"/>
        <v>58.576323316143139</v>
      </c>
      <c r="IW42" s="20">
        <f t="shared" si="105"/>
        <v>57.990560082981709</v>
      </c>
      <c r="IX42" s="20">
        <f t="shared" si="105"/>
        <v>57.410654482151891</v>
      </c>
      <c r="IY42" s="20">
        <f t="shared" si="105"/>
        <v>56.836547937330373</v>
      </c>
      <c r="IZ42" s="20">
        <f t="shared" si="105"/>
        <v>56.268182457957067</v>
      </c>
      <c r="JA42" s="20">
        <f t="shared" si="105"/>
        <v>55.705500633377497</v>
      </c>
      <c r="JB42" s="20">
        <f t="shared" si="105"/>
        <v>55.148445627043721</v>
      </c>
      <c r="JC42" s="20">
        <f t="shared" si="105"/>
        <v>54.596961170773284</v>
      </c>
      <c r="JD42" s="20">
        <f t="shared" si="105"/>
        <v>54.050991559065551</v>
      </c>
      <c r="JE42" s="20">
        <f t="shared" si="105"/>
        <v>53.510481643474897</v>
      </c>
      <c r="JF42" s="20">
        <f t="shared" si="105"/>
        <v>52.975376827040151</v>
      </c>
      <c r="JG42" s="20">
        <f t="shared" si="105"/>
        <v>52.445623058769748</v>
      </c>
      <c r="JH42" s="20">
        <f t="shared" si="105"/>
        <v>51.921166828182052</v>
      </c>
      <c r="JI42" s="20">
        <f t="shared" si="105"/>
        <v>51.401955159900233</v>
      </c>
      <c r="JJ42" s="20">
        <f t="shared" si="105"/>
        <v>50.887935608301227</v>
      </c>
      <c r="JK42" s="20">
        <f t="shared" si="105"/>
        <v>50.379056252218213</v>
      </c>
      <c r="JL42" s="20">
        <f t="shared" si="105"/>
        <v>49.875265689696029</v>
      </c>
      <c r="JM42" s="20">
        <f t="shared" si="105"/>
        <v>49.376513032799068</v>
      </c>
    </row>
    <row r="43" spans="1:273" x14ac:dyDescent="0.3">
      <c r="B43" s="1" t="s">
        <v>3</v>
      </c>
      <c r="C43" s="2">
        <v>375</v>
      </c>
      <c r="D43" s="2">
        <v>375</v>
      </c>
      <c r="E43" s="2">
        <v>375</v>
      </c>
      <c r="F43" s="2">
        <f>AI43</f>
        <v>384.33832999999998</v>
      </c>
      <c r="G43" s="2">
        <v>377</v>
      </c>
      <c r="H43" s="2">
        <v>377</v>
      </c>
      <c r="I43" s="2">
        <v>376</v>
      </c>
      <c r="J43" s="2">
        <v>388.60736100000003</v>
      </c>
      <c r="K43" s="2">
        <v>393.234825</v>
      </c>
      <c r="L43" s="2">
        <v>409.33299699999998</v>
      </c>
      <c r="M43" s="2">
        <v>407.67738500000002</v>
      </c>
      <c r="N43" s="2">
        <v>408.36590200000001</v>
      </c>
      <c r="O43" s="2">
        <v>410.06837300000001</v>
      </c>
      <c r="P43" s="2">
        <v>397.484849</v>
      </c>
      <c r="Q43" s="2">
        <v>407.67738500000002</v>
      </c>
      <c r="R43" s="2">
        <v>408.78491400000001</v>
      </c>
      <c r="S43" s="2">
        <v>411.872771</v>
      </c>
      <c r="T43" s="2">
        <v>412.10284100000001</v>
      </c>
      <c r="U43" s="2">
        <v>413.10541899999998</v>
      </c>
      <c r="V43" s="2">
        <v>410.07578000000001</v>
      </c>
      <c r="W43" s="2">
        <v>407.01709199999999</v>
      </c>
      <c r="X43" s="2">
        <v>403.78241600000001</v>
      </c>
      <c r="Y43" s="2">
        <v>402.91785199999998</v>
      </c>
      <c r="Z43" s="2">
        <v>400.20153900000003</v>
      </c>
      <c r="AA43" s="2">
        <v>400.36052899999999</v>
      </c>
      <c r="AB43" s="2">
        <f>X43*0.99</f>
        <v>399.74459184</v>
      </c>
      <c r="AC43" s="2">
        <f t="shared" ref="AC43:AD43" si="106">Y43*0.99</f>
        <v>398.88867347999997</v>
      </c>
      <c r="AD43" s="2">
        <f t="shared" si="106"/>
        <v>396.19952361000003</v>
      </c>
      <c r="AI43" s="2">
        <v>384.33832999999998</v>
      </c>
      <c r="AJ43" s="2">
        <v>388.60736100000003</v>
      </c>
      <c r="AK43" s="2">
        <f>N43</f>
        <v>408.36590200000001</v>
      </c>
      <c r="AL43" s="2">
        <f>R43</f>
        <v>408.78491400000001</v>
      </c>
      <c r="AM43" s="2">
        <f>V43</f>
        <v>410.07578000000001</v>
      </c>
      <c r="AN43" s="2">
        <f>Z43</f>
        <v>400.20153900000003</v>
      </c>
      <c r="AO43" s="2">
        <f>AD43</f>
        <v>396.19952361000003</v>
      </c>
      <c r="AP43" s="2">
        <f t="shared" ref="AO43:AQ43" si="107">AO43*1.01</f>
        <v>400.16151884610002</v>
      </c>
      <c r="AQ43" s="2">
        <f t="shared" si="107"/>
        <v>404.16313403456104</v>
      </c>
    </row>
    <row r="44" spans="1:273" x14ac:dyDescent="0.3">
      <c r="B44" s="1" t="s">
        <v>19</v>
      </c>
      <c r="C44" s="21">
        <f t="shared" ref="C44:Y44" si="108">C42/C43</f>
        <v>0.16038133333333326</v>
      </c>
      <c r="D44" s="21">
        <f t="shared" si="108"/>
        <v>4.6709333333333498E-2</v>
      </c>
      <c r="E44" s="21">
        <f t="shared" si="108"/>
        <v>0.23464533333333362</v>
      </c>
      <c r="F44" s="21">
        <f t="shared" si="108"/>
        <v>0.30117214694667632</v>
      </c>
      <c r="G44" s="21">
        <f t="shared" si="108"/>
        <v>-5.042970822281187E-2</v>
      </c>
      <c r="H44" s="21">
        <f t="shared" si="108"/>
        <v>0.19875862068965519</v>
      </c>
      <c r="I44" s="21">
        <f t="shared" si="108"/>
        <v>0.3460744680851065</v>
      </c>
      <c r="J44" s="21">
        <f t="shared" si="108"/>
        <v>0.24986145334493454</v>
      </c>
      <c r="K44" s="21">
        <f t="shared" si="108"/>
        <v>0.37274674235680966</v>
      </c>
      <c r="L44" s="21">
        <f t="shared" si="108"/>
        <v>6.8965854712172217E-2</v>
      </c>
      <c r="M44" s="21">
        <f t="shared" si="108"/>
        <v>0.30541061285506449</v>
      </c>
      <c r="N44" s="21">
        <f t="shared" si="108"/>
        <v>0.23335934644220163</v>
      </c>
      <c r="O44" s="21">
        <f t="shared" si="108"/>
        <v>0.37235010074771063</v>
      </c>
      <c r="P44" s="21">
        <f t="shared" si="108"/>
        <v>-0.91462354078305985</v>
      </c>
      <c r="Q44" s="21">
        <f t="shared" si="108"/>
        <v>6.6349032335948646E-2</v>
      </c>
      <c r="R44" s="21">
        <f t="shared" si="108"/>
        <v>0.13863036051276595</v>
      </c>
      <c r="S44" s="21">
        <f>S42/S43</f>
        <v>0.34599033981782673</v>
      </c>
      <c r="T44" s="21">
        <f t="shared" si="108"/>
        <v>0.15704575062611625</v>
      </c>
      <c r="U44" s="21">
        <f t="shared" si="108"/>
        <v>0.46799918642558369</v>
      </c>
      <c r="V44" s="21">
        <f t="shared" ref="V44" si="109">V42/V43</f>
        <v>0.37306519297481955</v>
      </c>
      <c r="W44" s="21">
        <f t="shared" ref="W44" si="110">W42/W43</f>
        <v>0.48116652555711337</v>
      </c>
      <c r="X44" s="21">
        <f t="shared" si="108"/>
        <v>0.12319010939792868</v>
      </c>
      <c r="Y44" s="21">
        <f t="shared" si="108"/>
        <v>0.42926119838442911</v>
      </c>
      <c r="Z44" s="21">
        <f t="shared" ref="Z44:AD44" si="111">Z42/Z43</f>
        <v>0.37640784784688114</v>
      </c>
      <c r="AA44" s="21">
        <f t="shared" si="111"/>
        <v>0.28649177851396063</v>
      </c>
      <c r="AB44" s="21">
        <f t="shared" si="111"/>
        <v>0.187459882208972</v>
      </c>
      <c r="AC44" s="21">
        <f t="shared" si="111"/>
        <v>0.41007567041935994</v>
      </c>
      <c r="AD44" s="21">
        <f t="shared" si="111"/>
        <v>0.31887477109730367</v>
      </c>
      <c r="AE44" s="21"/>
      <c r="AF44" s="21"/>
      <c r="AI44" s="21">
        <f>AI42/AI43</f>
        <v>0.73217521655984696</v>
      </c>
      <c r="AJ44" s="21">
        <f t="shared" ref="AJ44:AS44" si="112">AJ42/AJ43</f>
        <v>0.72860688812325536</v>
      </c>
      <c r="AK44" s="21">
        <f t="shared" si="112"/>
        <v>0.96631966103771472</v>
      </c>
      <c r="AL44" s="21">
        <f>AL42/AL43</f>
        <v>-0.31102175164908391</v>
      </c>
      <c r="AM44" s="21">
        <f t="shared" si="112"/>
        <v>1.3498505081182794</v>
      </c>
      <c r="AN44" s="21">
        <f t="shared" si="112"/>
        <v>1.4222359099923412</v>
      </c>
      <c r="AO44" s="21">
        <f t="shared" si="112"/>
        <v>1.2103715883617374</v>
      </c>
      <c r="AP44" s="21">
        <f t="shared" si="112"/>
        <v>1.2175314071300727</v>
      </c>
      <c r="AQ44" s="21">
        <f t="shared" si="112"/>
        <v>1.2082014483397749</v>
      </c>
      <c r="AR44" s="21" t="e">
        <f t="shared" si="112"/>
        <v>#DIV/0!</v>
      </c>
      <c r="AS44" s="21" t="e">
        <f t="shared" si="112"/>
        <v>#DIV/0!</v>
      </c>
    </row>
    <row r="45" spans="1:273" x14ac:dyDescent="0.3">
      <c r="R45" s="21"/>
      <c r="S45" s="21"/>
      <c r="T45" s="21"/>
      <c r="U45" s="21"/>
      <c r="V45" s="21"/>
      <c r="W45" s="21"/>
      <c r="X45" s="21"/>
      <c r="Y45" s="21"/>
      <c r="Z45" s="21"/>
      <c r="AA45" s="21"/>
      <c r="AB45" s="21"/>
      <c r="AC45" s="21"/>
      <c r="AD45" s="21"/>
      <c r="AE45" s="21"/>
      <c r="AF45" s="21"/>
    </row>
    <row r="47" spans="1:273" x14ac:dyDescent="0.3">
      <c r="B47" s="1" t="s">
        <v>35</v>
      </c>
      <c r="G47" s="4">
        <f t="shared" ref="G47:P48" si="113">G30/C30-1</f>
        <v>0.21932484022101817</v>
      </c>
      <c r="H47" s="4">
        <f t="shared" si="113"/>
        <v>0.16658347809393592</v>
      </c>
      <c r="I47" s="4">
        <f t="shared" si="113"/>
        <v>9.9150813905175772E-2</v>
      </c>
      <c r="J47" s="4">
        <f t="shared" si="113"/>
        <v>8.6006004940670122E-2</v>
      </c>
      <c r="K47" s="4">
        <f t="shared" si="113"/>
        <v>6.7555267789697782E-2</v>
      </c>
      <c r="L47" s="4">
        <f t="shared" si="113"/>
        <v>5.3942148534768863E-2</v>
      </c>
      <c r="M47" s="4">
        <f t="shared" si="113"/>
        <v>3.7964269344899826E-2</v>
      </c>
      <c r="N47" s="4">
        <f t="shared" si="113"/>
        <v>-1.4606812156847782E-2</v>
      </c>
      <c r="O47" s="4">
        <f t="shared" si="113"/>
        <v>4.9961727704819214E-2</v>
      </c>
      <c r="P47" s="4">
        <f t="shared" si="113"/>
        <v>-0.62104742029338733</v>
      </c>
      <c r="Q47" s="4">
        <f t="shared" ref="Q47:Z48" si="114">Q30/M30-1</f>
        <v>-0.26535902274993595</v>
      </c>
      <c r="R47" s="4">
        <f t="shared" si="114"/>
        <v>-0.11650584467247405</v>
      </c>
      <c r="S47" s="4">
        <f t="shared" si="114"/>
        <v>-0.133138927287624</v>
      </c>
      <c r="T47" s="4">
        <f t="shared" si="114"/>
        <v>1.5645493244791391</v>
      </c>
      <c r="U47" s="4">
        <f t="shared" si="114"/>
        <v>0.40871332019546869</v>
      </c>
      <c r="V47" s="4">
        <f t="shared" si="114"/>
        <v>0.215697013253902</v>
      </c>
      <c r="W47" s="4">
        <f t="shared" si="114"/>
        <v>0.21902539977726754</v>
      </c>
      <c r="X47" s="4">
        <f t="shared" si="114"/>
        <v>0.15296429150819257</v>
      </c>
      <c r="Y47" s="4">
        <f t="shared" si="114"/>
        <v>1.3066396364272759E-2</v>
      </c>
      <c r="Z47" s="4">
        <f t="shared" si="114"/>
        <v>-5.7005628624729354E-2</v>
      </c>
      <c r="AA47" s="4">
        <f t="shared" ref="AA47:AA48" si="115">AA30/W30-1</f>
        <v>6.1158786148450606E-2</v>
      </c>
      <c r="AB47" s="4">
        <f t="shared" ref="AB47:AB48" si="116">AB30/X30-1</f>
        <v>4.0000000000000036E-2</v>
      </c>
      <c r="AC47" s="4">
        <f t="shared" ref="AC47:AC48" si="117">AC30/Y30-1</f>
        <v>4.0000000000000036E-2</v>
      </c>
      <c r="AD47" s="4">
        <f t="shared" ref="AD47:AD48" si="118">AD30/Z30-1</f>
        <v>4.0000000000000036E-2</v>
      </c>
      <c r="AE47" s="4"/>
      <c r="AF47" s="4"/>
      <c r="AJ47" s="4">
        <f t="shared" ref="AJ47:AQ48" si="119">AJ30/AI30-1</f>
        <v>0.13690984761512492</v>
      </c>
      <c r="AK47" s="4">
        <f t="shared" si="119"/>
        <v>3.3655998450346614E-2</v>
      </c>
      <c r="AL47" s="4">
        <f t="shared" si="119"/>
        <v>-0.2273916739414138</v>
      </c>
      <c r="AM47" s="4">
        <f>AM30/AL30-1</f>
        <v>0.29450755725463429</v>
      </c>
      <c r="AN47" s="4">
        <f>AN30/AM30-1</f>
        <v>7.0206192435169346E-2</v>
      </c>
      <c r="AO47" s="4">
        <f>AO30/AN30-1</f>
        <v>4.5459183607301501E-2</v>
      </c>
      <c r="AP47" s="4">
        <f t="shared" si="119"/>
        <v>5.0000000000000044E-2</v>
      </c>
      <c r="AQ47" s="4">
        <f t="shared" si="119"/>
        <v>5.0000000000000044E-2</v>
      </c>
      <c r="AT47" s="1" t="s">
        <v>44</v>
      </c>
      <c r="AU47" s="4">
        <v>-0.01</v>
      </c>
    </row>
    <row r="48" spans="1:273" x14ac:dyDescent="0.3">
      <c r="B48" s="1" t="s">
        <v>36</v>
      </c>
      <c r="G48" s="4">
        <f t="shared" si="113"/>
        <v>0.12675508616807907</v>
      </c>
      <c r="H48" s="4">
        <f t="shared" si="113"/>
        <v>0.12837438636368104</v>
      </c>
      <c r="I48" s="4">
        <f t="shared" si="113"/>
        <v>6.6740006734645307E-2</v>
      </c>
      <c r="J48" s="4">
        <f t="shared" si="113"/>
        <v>9.0545794403476432E-2</v>
      </c>
      <c r="K48" s="4">
        <f t="shared" si="113"/>
        <v>7.6109590941292327E-2</v>
      </c>
      <c r="L48" s="4">
        <f t="shared" si="113"/>
        <v>6.5497116714359205E-2</v>
      </c>
      <c r="M48" s="4">
        <f t="shared" si="113"/>
        <v>4.2513611128562889E-2</v>
      </c>
      <c r="N48" s="4">
        <f t="shared" si="113"/>
        <v>-3.6585496905089832E-2</v>
      </c>
      <c r="O48" s="4">
        <f t="shared" si="113"/>
        <v>2.3247141870636145E-2</v>
      </c>
      <c r="P48" s="4">
        <f t="shared" si="113"/>
        <v>-0.46468424549849241</v>
      </c>
      <c r="Q48" s="4">
        <f t="shared" si="114"/>
        <v>-0.28610610949017767</v>
      </c>
      <c r="R48" s="4">
        <f t="shared" si="114"/>
        <v>-0.13650496645343357</v>
      </c>
      <c r="S48" s="4">
        <f t="shared" si="114"/>
        <v>-0.18180291212194377</v>
      </c>
      <c r="T48" s="4">
        <f t="shared" si="114"/>
        <v>0.60349507456769036</v>
      </c>
      <c r="U48" s="4">
        <f t="shared" si="114"/>
        <v>0.30830555481204969</v>
      </c>
      <c r="V48" s="4">
        <f t="shared" si="114"/>
        <v>0.14717370488722126</v>
      </c>
      <c r="W48" s="4">
        <f t="shared" si="114"/>
        <v>0.18765774699261129</v>
      </c>
      <c r="X48" s="4">
        <f t="shared" si="114"/>
        <v>0.17185461323392359</v>
      </c>
      <c r="Y48" s="4">
        <f t="shared" si="114"/>
        <v>2.9652501388829799E-2</v>
      </c>
      <c r="Z48" s="4">
        <f t="shared" si="114"/>
        <v>-1.2745353329908338E-2</v>
      </c>
      <c r="AA48" s="4">
        <f t="shared" si="115"/>
        <v>0.15224228880445234</v>
      </c>
      <c r="AB48" s="4">
        <f t="shared" si="116"/>
        <v>3.0000000000000027E-2</v>
      </c>
      <c r="AC48" s="4">
        <f t="shared" si="117"/>
        <v>3.0000000000000027E-2</v>
      </c>
      <c r="AD48" s="4">
        <f t="shared" si="118"/>
        <v>3.0000000000000027E-2</v>
      </c>
      <c r="AE48" s="4"/>
      <c r="AF48" s="4"/>
      <c r="AJ48" s="4">
        <f t="shared" si="119"/>
        <v>0.10086870504903045</v>
      </c>
      <c r="AK48" s="4">
        <f t="shared" si="119"/>
        <v>3.2686767812559969E-2</v>
      </c>
      <c r="AL48" s="4">
        <f t="shared" si="119"/>
        <v>-0.21115303898164872</v>
      </c>
      <c r="AM48" s="4">
        <f t="shared" si="119"/>
        <v>0.15123220864081999</v>
      </c>
      <c r="AN48" s="4">
        <f t="shared" si="119"/>
        <v>8.3783677564148951E-2</v>
      </c>
      <c r="AO48" s="4">
        <f t="shared" si="119"/>
        <v>6.0234720959908783E-2</v>
      </c>
      <c r="AP48" s="4">
        <f t="shared" si="119"/>
        <v>6.0000000000000053E-2</v>
      </c>
      <c r="AQ48" s="4">
        <f t="shared" si="119"/>
        <v>6.0000000000000053E-2</v>
      </c>
      <c r="AT48" s="1" t="s">
        <v>45</v>
      </c>
      <c r="AU48" s="4">
        <f>WACC!C18</f>
        <v>5.2029969189364277E-2</v>
      </c>
    </row>
    <row r="49" spans="2:47" x14ac:dyDescent="0.3">
      <c r="B49" s="1" t="s">
        <v>37</v>
      </c>
      <c r="G49" s="4">
        <f>G35/C35-1</f>
        <v>0.23631943850788995</v>
      </c>
      <c r="H49" s="4">
        <f t="shared" ref="H49:R49" si="120">H35/D35-1</f>
        <v>0.19891838681892349</v>
      </c>
      <c r="I49" s="4">
        <f t="shared" si="120"/>
        <v>0.14235296653596152</v>
      </c>
      <c r="J49" s="4">
        <f t="shared" si="120"/>
        <v>0.13095909186369092</v>
      </c>
      <c r="K49" s="4">
        <f t="shared" si="120"/>
        <v>3.1684765746199162E-2</v>
      </c>
      <c r="L49" s="4">
        <f t="shared" si="120"/>
        <v>7.2636968266333257E-2</v>
      </c>
      <c r="M49" s="4">
        <f t="shared" si="120"/>
        <v>2.1571207284292404E-2</v>
      </c>
      <c r="N49" s="4">
        <f t="shared" si="120"/>
        <v>4.9090170377517062E-3</v>
      </c>
      <c r="O49" s="4">
        <f t="shared" si="120"/>
        <v>0.1351598911145635</v>
      </c>
      <c r="P49" s="4">
        <f t="shared" si="120"/>
        <v>-3.0789380808595723E-2</v>
      </c>
      <c r="Q49" s="4">
        <f t="shared" si="120"/>
        <v>-0.18547406671054922</v>
      </c>
      <c r="R49" s="4">
        <f t="shared" si="120"/>
        <v>-6.282745790546429E-2</v>
      </c>
      <c r="S49" s="4">
        <f t="shared" ref="S49:S50" si="121">S35/O35-1</f>
        <v>-0.11753779076368753</v>
      </c>
      <c r="T49" s="4">
        <f t="shared" ref="T49:T50" si="122">T35/P35-1</f>
        <v>4.1835519245957187E-2</v>
      </c>
      <c r="U49" s="4">
        <f t="shared" ref="U49:U50" si="123">U35/Q35-1</f>
        <v>0.33143877313311609</v>
      </c>
      <c r="V49" s="4">
        <f t="shared" ref="V49:V50" si="124">V35/R35-1</f>
        <v>0.16822701470211077</v>
      </c>
      <c r="W49" s="4">
        <f t="shared" ref="W49:W50" si="125">W35/S35-1</f>
        <v>0.21696465639399842</v>
      </c>
      <c r="X49" s="4">
        <f t="shared" ref="X49:X50" si="126">X35/T35-1</f>
        <v>0.20988246917262399</v>
      </c>
      <c r="Y49" s="4">
        <f t="shared" ref="Y49:Y50" si="127">Y35/U35-1</f>
        <v>2.7728015235853887E-2</v>
      </c>
      <c r="Z49" s="4">
        <f t="shared" ref="Z49:Z50" si="128">Z35/V35-1</f>
        <v>-4.7846264544678219E-2</v>
      </c>
      <c r="AA49" s="4">
        <f t="shared" ref="AA49:AA50" si="129">AA35/W35-1</f>
        <v>0.10646540057740883</v>
      </c>
      <c r="AB49" s="4">
        <f t="shared" ref="AB49:AB50" si="130">AB35/X35-1</f>
        <v>3.0000000000000027E-2</v>
      </c>
      <c r="AC49" s="4">
        <f t="shared" ref="AC49:AC50" si="131">AC35/Y35-1</f>
        <v>3.0000000000000027E-2</v>
      </c>
      <c r="AD49" s="4">
        <f t="shared" ref="AD49:AD50" si="132">AD35/Z35-1</f>
        <v>3.0000000000000249E-2</v>
      </c>
      <c r="AE49" s="4"/>
      <c r="AF49" s="4"/>
      <c r="AJ49" s="4">
        <f>AJ35/AI35-1</f>
        <v>0.17274809597434571</v>
      </c>
      <c r="AK49" s="4">
        <f t="shared" ref="AK49:AQ49" si="133">AK35/AJ35-1</f>
        <v>3.1386364709118375E-2</v>
      </c>
      <c r="AL49" s="4">
        <f t="shared" si="133"/>
        <v>-3.8132747964451874E-2</v>
      </c>
      <c r="AM49" s="4">
        <f t="shared" si="133"/>
        <v>9.1244083882031868E-2</v>
      </c>
      <c r="AN49" s="4">
        <f t="shared" si="133"/>
        <v>9.0879909791392599E-2</v>
      </c>
      <c r="AO49" s="4">
        <f t="shared" si="133"/>
        <v>4.8689653604090166E-2</v>
      </c>
      <c r="AP49" s="4">
        <f t="shared" si="133"/>
        <v>4.559383233780645E-2</v>
      </c>
      <c r="AQ49" s="4">
        <f t="shared" si="133"/>
        <v>5.0000000000000044E-2</v>
      </c>
      <c r="AT49" s="1" t="s">
        <v>46</v>
      </c>
      <c r="AU49" s="2">
        <f>NPV(AU48,AN42:JM42)</f>
        <v>7539.979635792708</v>
      </c>
    </row>
    <row r="50" spans="2:47" x14ac:dyDescent="0.3">
      <c r="B50" s="1" t="s">
        <v>38</v>
      </c>
      <c r="G50" s="4">
        <f>G36/C36-1</f>
        <v>0.60696880191988156</v>
      </c>
      <c r="H50" s="4">
        <f t="shared" ref="H50:R50" si="134">H36/D36-1</f>
        <v>0.22143301782892411</v>
      </c>
      <c r="I50" s="4">
        <f t="shared" si="134"/>
        <v>8.3987151448878583E-2</v>
      </c>
      <c r="J50" s="4">
        <f t="shared" si="134"/>
        <v>-0.12464466361489224</v>
      </c>
      <c r="K50" s="4">
        <f t="shared" si="134"/>
        <v>0.15401007472759876</v>
      </c>
      <c r="L50" s="4">
        <f t="shared" si="134"/>
        <v>-0.17806178453818378</v>
      </c>
      <c r="M50" s="4">
        <f t="shared" si="134"/>
        <v>7.9497380350421754E-2</v>
      </c>
      <c r="N50" s="4">
        <f t="shared" si="134"/>
        <v>3.5676442113488083E-3</v>
      </c>
      <c r="O50" s="4">
        <f t="shared" si="134"/>
        <v>-0.1101477263677646</v>
      </c>
      <c r="P50" s="4">
        <f t="shared" si="134"/>
        <v>-8.126522305955671</v>
      </c>
      <c r="Q50" s="4">
        <f t="shared" si="134"/>
        <v>-0.46077515214521869</v>
      </c>
      <c r="R50" s="4">
        <f t="shared" si="134"/>
        <v>-0.30102471001997833</v>
      </c>
      <c r="S50" s="4">
        <f t="shared" si="121"/>
        <v>-9.2794576635224502E-3</v>
      </c>
      <c r="T50" s="4">
        <f t="shared" si="122"/>
        <v>-1.2374934187629953</v>
      </c>
      <c r="U50" s="4">
        <f t="shared" si="123"/>
        <v>1.342919036014079</v>
      </c>
      <c r="V50" s="4">
        <f t="shared" si="124"/>
        <v>1.0248538329457233</v>
      </c>
      <c r="W50" s="4">
        <f t="shared" si="125"/>
        <v>0.32242565900532427</v>
      </c>
      <c r="X50" s="4">
        <f t="shared" si="126"/>
        <v>-0.28452397726739087</v>
      </c>
      <c r="Y50" s="4">
        <f t="shared" si="127"/>
        <v>-7.9432296241504385E-2</v>
      </c>
      <c r="Z50" s="4">
        <f t="shared" si="128"/>
        <v>-0.26450840744298931</v>
      </c>
      <c r="AA50" s="4">
        <f t="shared" si="129"/>
        <v>-0.32801666723590239</v>
      </c>
      <c r="AB50" s="4">
        <f t="shared" si="130"/>
        <v>0.2231503558018022</v>
      </c>
      <c r="AC50" s="4">
        <f t="shared" si="131"/>
        <v>0.10618968703547549</v>
      </c>
      <c r="AD50" s="4">
        <f t="shared" si="132"/>
        <v>0.14593334744123809</v>
      </c>
      <c r="AE50" s="4"/>
      <c r="AF50" s="4"/>
      <c r="AJ50" s="4">
        <f>AJ36/AI36-1</f>
        <v>0.15677838212724016</v>
      </c>
      <c r="AK50" s="4">
        <f t="shared" ref="AK50:AQ50" si="135">AK36/AJ36-1</f>
        <v>4.8600047001263968E-2</v>
      </c>
      <c r="AL50" s="4">
        <f t="shared" si="135"/>
        <v>-1.1502077910618962</v>
      </c>
      <c r="AM50" s="4">
        <f t="shared" si="135"/>
        <v>-9.0617840905085654</v>
      </c>
      <c r="AN50" s="4">
        <f t="shared" si="135"/>
        <v>-5.7775232399362997E-2</v>
      </c>
      <c r="AO50" s="4">
        <f t="shared" si="135"/>
        <v>-2.8909127465917783E-2</v>
      </c>
      <c r="AP50" s="4">
        <f t="shared" si="135"/>
        <v>2.7121360474325673E-2</v>
      </c>
      <c r="AQ50" s="4">
        <f t="shared" si="135"/>
        <v>4.3465348812994353E-3</v>
      </c>
      <c r="AT50" s="1" t="s">
        <v>47</v>
      </c>
      <c r="AU50" s="2">
        <f>Main!C7-Main!C8</f>
        <v>-1302.7</v>
      </c>
    </row>
    <row r="51" spans="2:47" x14ac:dyDescent="0.3">
      <c r="B51" s="1" t="s">
        <v>39</v>
      </c>
      <c r="G51" s="4">
        <f>G42/C42-1</f>
        <v>-1.3161132633889245</v>
      </c>
      <c r="H51" s="4">
        <f t="shared" ref="H51:R51" si="136">H42/D42-1</f>
        <v>3.2779173327243516</v>
      </c>
      <c r="I51" s="4">
        <f t="shared" si="136"/>
        <v>0.4788162560232736</v>
      </c>
      <c r="J51" s="4">
        <f t="shared" si="136"/>
        <v>-0.16115488285300039</v>
      </c>
      <c r="K51" s="4">
        <f t="shared" si="136"/>
        <v>-8.7097096570586778</v>
      </c>
      <c r="L51" s="4">
        <f t="shared" si="136"/>
        <v>-0.62325842096834427</v>
      </c>
      <c r="M51" s="4">
        <f t="shared" si="136"/>
        <v>-4.3151148135624262E-2</v>
      </c>
      <c r="N51" s="4">
        <f t="shared" si="136"/>
        <v>-1.8558569692470384E-2</v>
      </c>
      <c r="O51" s="4">
        <f t="shared" si="136"/>
        <v>4.1698220048163481E-2</v>
      </c>
      <c r="P51" s="4">
        <f t="shared" si="136"/>
        <v>-13.878108395324109</v>
      </c>
      <c r="Q51" s="4">
        <f t="shared" si="136"/>
        <v>-0.78275466030568097</v>
      </c>
      <c r="R51" s="4">
        <f t="shared" si="136"/>
        <v>-0.40532656145063872</v>
      </c>
      <c r="S51" s="4">
        <f t="shared" ref="S51:S53" si="137">S42/O42-1</f>
        <v>-6.6704215758829233E-2</v>
      </c>
      <c r="T51" s="4">
        <f t="shared" ref="T51:T53" si="138">T42/P42-1</f>
        <v>-1.1780200193096393</v>
      </c>
      <c r="U51" s="4">
        <f t="shared" ref="U51:U53" si="139">U42/Q42-1</f>
        <v>6.1475100743095838</v>
      </c>
      <c r="V51" s="4">
        <f t="shared" ref="V51:V53" si="140">V42/R42-1</f>
        <v>1.6995764955002568</v>
      </c>
      <c r="W51" s="4">
        <f t="shared" ref="W51:W53" si="141">W42/S42-1</f>
        <v>0.37429826531185117</v>
      </c>
      <c r="X51" s="4">
        <f t="shared" ref="X51:X53" si="142">X42/T42-1</f>
        <v>-0.23141581297609792</v>
      </c>
      <c r="Y51" s="4">
        <f t="shared" ref="Y51:Y53" si="143">Y42/U42-1</f>
        <v>-0.10539328516083557</v>
      </c>
      <c r="Z51" s="4">
        <f t="shared" ref="Z51:Z53" si="144">Z42/V42-1</f>
        <v>-1.5334836748700731E-2</v>
      </c>
      <c r="AA51" s="4">
        <f t="shared" ref="AA51:AA53" si="145">AA42/W42-1</f>
        <v>-0.41432678216734764</v>
      </c>
      <c r="AB51" s="4">
        <f t="shared" ref="AB51:AB53" si="146">AB42/X42-1</f>
        <v>0.50649499618029159</v>
      </c>
      <c r="AC51" s="4">
        <f t="shared" ref="AC51:AC53" si="147">AC42/Y42-1</f>
        <v>-5.4247355122949092E-2</v>
      </c>
      <c r="AD51" s="4">
        <f t="shared" ref="AD51:AD53" si="148">AD42/Z42-1</f>
        <v>-0.1613192307436998</v>
      </c>
      <c r="AE51" s="4"/>
      <c r="AF51" s="4"/>
      <c r="AJ51" s="4">
        <f>AJ42/AI42-1</f>
        <v>6.1797493274791115E-3</v>
      </c>
      <c r="AK51" s="4">
        <f t="shared" ref="AK51:AQ51" si="149">AK42/AJ42-1</f>
        <v>0.39368938553799837</v>
      </c>
      <c r="AL51" s="4">
        <f t="shared" si="149"/>
        <v>-1.3221924320598459</v>
      </c>
      <c r="AM51" s="4">
        <f t="shared" si="149"/>
        <v>-5.3537568526281785</v>
      </c>
      <c r="AN51" s="4">
        <f t="shared" si="149"/>
        <v>2.8254456309470655E-2</v>
      </c>
      <c r="AO51" s="4">
        <f t="shared" si="149"/>
        <v>-0.15747601079445916</v>
      </c>
      <c r="AP51" s="4">
        <f t="shared" si="149"/>
        <v>1.5974542880510478E-2</v>
      </c>
      <c r="AQ51" s="4">
        <f t="shared" si="149"/>
        <v>2.2603570445767218E-3</v>
      </c>
      <c r="AT51" s="1" t="s">
        <v>48</v>
      </c>
      <c r="AU51" s="2">
        <f>AU49+AU50</f>
        <v>6237.2796357927082</v>
      </c>
    </row>
    <row r="52" spans="2:47" x14ac:dyDescent="0.3">
      <c r="B52" s="1" t="s">
        <v>40</v>
      </c>
      <c r="G52" s="4">
        <f>G43/C43-1</f>
        <v>5.3333333333334121E-3</v>
      </c>
      <c r="H52" s="4">
        <f t="shared" ref="H52:R52" si="150">H43/D43-1</f>
        <v>5.3333333333334121E-3</v>
      </c>
      <c r="I52" s="4">
        <f t="shared" si="150"/>
        <v>2.666666666666595E-3</v>
      </c>
      <c r="J52" s="4">
        <f t="shared" si="150"/>
        <v>1.1107481785644469E-2</v>
      </c>
      <c r="K52" s="4">
        <f t="shared" si="150"/>
        <v>4.3063196286472261E-2</v>
      </c>
      <c r="L52" s="4">
        <f t="shared" si="150"/>
        <v>8.5763917771883191E-2</v>
      </c>
      <c r="M52" s="4">
        <f t="shared" si="150"/>
        <v>8.4248364361702244E-2</v>
      </c>
      <c r="N52" s="4">
        <f t="shared" si="150"/>
        <v>5.0844484646805244E-2</v>
      </c>
      <c r="O52" s="4">
        <f t="shared" si="150"/>
        <v>4.2807876947317691E-2</v>
      </c>
      <c r="P52" s="4">
        <f t="shared" si="150"/>
        <v>-2.8945010753677392E-2</v>
      </c>
      <c r="Q52" s="4">
        <f t="shared" si="150"/>
        <v>0</v>
      </c>
      <c r="R52" s="4">
        <f t="shared" si="150"/>
        <v>1.0260699973916321E-3</v>
      </c>
      <c r="S52" s="4">
        <f t="shared" si="137"/>
        <v>4.4002369331710423E-3</v>
      </c>
      <c r="T52" s="4">
        <f t="shared" si="138"/>
        <v>3.677622439390138E-2</v>
      </c>
      <c r="U52" s="4">
        <f t="shared" si="139"/>
        <v>1.3314533009967988E-2</v>
      </c>
      <c r="V52" s="4">
        <f t="shared" si="140"/>
        <v>3.1578122278748122E-3</v>
      </c>
      <c r="W52" s="4">
        <f t="shared" si="141"/>
        <v>-1.1789269264415703E-2</v>
      </c>
      <c r="X52" s="4">
        <f t="shared" si="142"/>
        <v>-2.0190166560875467E-2</v>
      </c>
      <c r="Y52" s="4">
        <f t="shared" si="143"/>
        <v>-2.4660937696389773E-2</v>
      </c>
      <c r="Z52" s="4">
        <f t="shared" si="144"/>
        <v>-2.4079064118344151E-2</v>
      </c>
      <c r="AA52" s="4">
        <f t="shared" si="145"/>
        <v>-1.6354504837354567E-2</v>
      </c>
      <c r="AB52" s="4">
        <f t="shared" si="146"/>
        <v>-1.0000000000000009E-2</v>
      </c>
      <c r="AC52" s="4">
        <f t="shared" si="147"/>
        <v>-1.0000000000000009E-2</v>
      </c>
      <c r="AD52" s="4">
        <f t="shared" si="148"/>
        <v>-1.0000000000000009E-2</v>
      </c>
      <c r="AE52" s="4"/>
      <c r="AF52" s="4"/>
      <c r="AJ52" s="4">
        <f>AJ43/AI43-1</f>
        <v>1.1107481785644469E-2</v>
      </c>
      <c r="AK52" s="4">
        <f t="shared" ref="AK52:AQ52" si="151">AK43/AJ43-1</f>
        <v>5.0844484646805244E-2</v>
      </c>
      <c r="AL52" s="4">
        <f t="shared" si="151"/>
        <v>1.0260699973916321E-3</v>
      </c>
      <c r="AM52" s="4">
        <f t="shared" si="151"/>
        <v>3.1578122278748122E-3</v>
      </c>
      <c r="AN52" s="4">
        <f t="shared" si="151"/>
        <v>-2.4079064118344151E-2</v>
      </c>
      <c r="AO52" s="4">
        <f t="shared" si="151"/>
        <v>-1.0000000000000009E-2</v>
      </c>
      <c r="AP52" s="4">
        <f t="shared" si="151"/>
        <v>1.0000000000000009E-2</v>
      </c>
      <c r="AQ52" s="4">
        <f t="shared" si="151"/>
        <v>1.0000000000000009E-2</v>
      </c>
      <c r="AT52" s="1" t="s">
        <v>49</v>
      </c>
      <c r="AU52" s="21">
        <f>AU51/Main!C5</f>
        <v>15.579157244526241</v>
      </c>
    </row>
    <row r="53" spans="2:47" x14ac:dyDescent="0.3">
      <c r="B53" s="1" t="s">
        <v>41</v>
      </c>
      <c r="G53" s="4">
        <f>G44/C44-1</f>
        <v>-1.3144362699491954</v>
      </c>
      <c r="H53" s="4">
        <f t="shared" ref="H53:R53" si="152">H44/D44-1</f>
        <v>3.2552228110653365</v>
      </c>
      <c r="I53" s="4">
        <f t="shared" si="152"/>
        <v>0.47488323406576471</v>
      </c>
      <c r="J53" s="4">
        <f t="shared" si="152"/>
        <v>-0.17036998315394203</v>
      </c>
      <c r="K53" s="4">
        <f t="shared" si="152"/>
        <v>-8.3914118382346246</v>
      </c>
      <c r="L53" s="4">
        <f t="shared" si="152"/>
        <v>-0.65301703909559439</v>
      </c>
      <c r="M53" s="4">
        <f t="shared" si="152"/>
        <v>-0.11750030406762624</v>
      </c>
      <c r="N53" s="4">
        <f t="shared" si="152"/>
        <v>-6.6045028882273038E-2</v>
      </c>
      <c r="O53" s="4">
        <f t="shared" si="152"/>
        <v>-1.0641048305107814E-3</v>
      </c>
      <c r="P53" s="4">
        <f t="shared" si="152"/>
        <v>-14.26197644617362</v>
      </c>
      <c r="Q53" s="4">
        <f t="shared" si="152"/>
        <v>-0.78275466030568097</v>
      </c>
      <c r="R53" s="4">
        <f t="shared" si="152"/>
        <v>-0.4059361125820522</v>
      </c>
      <c r="S53" s="4">
        <f t="shared" si="137"/>
        <v>-7.0792946952213165E-2</v>
      </c>
      <c r="T53" s="4">
        <f t="shared" si="138"/>
        <v>-1.1717053450118513</v>
      </c>
      <c r="U53" s="4">
        <f t="shared" si="139"/>
        <v>6.0535947541169568</v>
      </c>
      <c r="V53" s="4">
        <f t="shared" si="140"/>
        <v>1.6910785746709891</v>
      </c>
      <c r="W53" s="4">
        <f t="shared" si="141"/>
        <v>0.39069352575121186</v>
      </c>
      <c r="X53" s="4">
        <f t="shared" si="142"/>
        <v>-0.21557820630746483</v>
      </c>
      <c r="Y53" s="4">
        <f t="shared" si="143"/>
        <v>-8.2773622614650155E-2</v>
      </c>
      <c r="Z53" s="4">
        <f t="shared" si="144"/>
        <v>8.959975186661806E-3</v>
      </c>
      <c r="AA53" s="4">
        <f t="shared" si="145"/>
        <v>-0.4045891322505254</v>
      </c>
      <c r="AB53" s="4">
        <f t="shared" si="146"/>
        <v>0.52171211735382994</v>
      </c>
      <c r="AC53" s="4">
        <f t="shared" si="147"/>
        <v>-4.4694298103988839E-2</v>
      </c>
      <c r="AD53" s="4">
        <f t="shared" si="148"/>
        <v>-0.15284770782191914</v>
      </c>
      <c r="AE53" s="4"/>
      <c r="AF53" s="4"/>
      <c r="AJ53" s="4">
        <f>AJ44/AI44-1</f>
        <v>-4.8735990455365252E-3</v>
      </c>
      <c r="AK53" s="4">
        <f t="shared" ref="AK53:AQ53" si="153">AK44/AJ44-1</f>
        <v>0.3262565545142726</v>
      </c>
      <c r="AL53" s="4">
        <f t="shared" si="153"/>
        <v>-1.321862178934746</v>
      </c>
      <c r="AM53" s="4">
        <f t="shared" si="153"/>
        <v>-5.3400517840349426</v>
      </c>
      <c r="AN53" s="4">
        <f t="shared" si="153"/>
        <v>5.3624754325550139E-2</v>
      </c>
      <c r="AO53" s="4">
        <f t="shared" si="153"/>
        <v>-0.14896566746915052</v>
      </c>
      <c r="AP53" s="4">
        <f t="shared" si="153"/>
        <v>5.9153889906042867E-3</v>
      </c>
      <c r="AQ53" s="4">
        <f t="shared" si="153"/>
        <v>-7.6630128271516496E-3</v>
      </c>
      <c r="AT53" s="1" t="s">
        <v>50</v>
      </c>
      <c r="AU53" s="21">
        <f>Main!C4</f>
        <v>14.84</v>
      </c>
    </row>
    <row r="54" spans="2:47" x14ac:dyDescent="0.3">
      <c r="B54" s="1" t="s">
        <v>42</v>
      </c>
      <c r="C54" s="4">
        <f t="shared" ref="C54:R54" si="154">C32/C30</f>
        <v>0.51230273205498045</v>
      </c>
      <c r="D54" s="4">
        <f t="shared" si="154"/>
        <v>0.52290994563868698</v>
      </c>
      <c r="E54" s="4">
        <f t="shared" si="154"/>
        <v>0.51768658087293284</v>
      </c>
      <c r="F54" s="4">
        <f t="shared" si="154"/>
        <v>0.53428758358103778</v>
      </c>
      <c r="G54" s="4">
        <f t="shared" si="154"/>
        <v>0.54932815354789255</v>
      </c>
      <c r="H54" s="4">
        <f t="shared" si="154"/>
        <v>0.53853606926634889</v>
      </c>
      <c r="I54" s="4">
        <f t="shared" si="154"/>
        <v>0.53190862122019611</v>
      </c>
      <c r="J54" s="4">
        <f t="shared" si="154"/>
        <v>0.53234078373726312</v>
      </c>
      <c r="K54" s="4">
        <f t="shared" si="154"/>
        <v>0.54571691886412854</v>
      </c>
      <c r="L54" s="4">
        <f t="shared" si="154"/>
        <v>0.53347677730894028</v>
      </c>
      <c r="M54" s="4">
        <f t="shared" si="154"/>
        <v>0.52985700178497264</v>
      </c>
      <c r="N54" s="4">
        <f t="shared" si="154"/>
        <v>0.54277168036883661</v>
      </c>
      <c r="O54" s="4">
        <f t="shared" si="154"/>
        <v>0.55727542051594614</v>
      </c>
      <c r="P54" s="4">
        <f t="shared" si="154"/>
        <v>0.34098025895301309</v>
      </c>
      <c r="Q54" s="4">
        <f t="shared" si="154"/>
        <v>0.54313436837129669</v>
      </c>
      <c r="R54" s="4">
        <f t="shared" si="154"/>
        <v>0.55312168075182422</v>
      </c>
      <c r="S54" s="4">
        <f t="shared" ref="S54:Z54" si="155">S32/S30</f>
        <v>0.58212916340508059</v>
      </c>
      <c r="T54" s="4">
        <f t="shared" si="155"/>
        <v>0.58794518057228573</v>
      </c>
      <c r="U54" s="4">
        <f t="shared" si="155"/>
        <v>0.57569802521664915</v>
      </c>
      <c r="V54" s="4">
        <f t="shared" si="155"/>
        <v>0.57831017799939566</v>
      </c>
      <c r="W54" s="4">
        <f t="shared" si="155"/>
        <v>0.59288170991767841</v>
      </c>
      <c r="X54" s="4">
        <f t="shared" si="155"/>
        <v>0.58119401909663804</v>
      </c>
      <c r="Y54" s="4">
        <f t="shared" si="155"/>
        <v>0.56875127706555051</v>
      </c>
      <c r="Z54" s="4">
        <f t="shared" si="155"/>
        <v>0.55851779304215476</v>
      </c>
      <c r="AA54" s="4">
        <f t="shared" ref="AA54:AD54" si="156">AA32/AA30</f>
        <v>0.55793711883474451</v>
      </c>
      <c r="AB54" s="4">
        <f t="shared" si="156"/>
        <v>0.58522099968224728</v>
      </c>
      <c r="AC54" s="4">
        <f t="shared" si="156"/>
        <v>0.57289789940145874</v>
      </c>
      <c r="AD54" s="4">
        <f t="shared" si="156"/>
        <v>0.5627628142629032</v>
      </c>
      <c r="AE54" s="4"/>
      <c r="AF54" s="4"/>
      <c r="AG54" s="4"/>
      <c r="AH54" s="4"/>
      <c r="AI54" s="4">
        <f t="shared" ref="AI54:AQ54" si="157">AI32/AI30</f>
        <v>0.52257612616562299</v>
      </c>
      <c r="AJ54" s="4">
        <f t="shared" si="157"/>
        <v>0.53771092505703588</v>
      </c>
      <c r="AK54" s="4">
        <f t="shared" si="157"/>
        <v>0.53814440073523095</v>
      </c>
      <c r="AL54" s="4">
        <f t="shared" si="157"/>
        <v>0.52843714774865702</v>
      </c>
      <c r="AM54" s="4">
        <f>AM32/AM30</f>
        <v>0.5806294518190348</v>
      </c>
      <c r="AN54" s="4">
        <f>AN32/AN30</f>
        <v>0.5753089842103557</v>
      </c>
      <c r="AO54" s="4">
        <f t="shared" si="157"/>
        <v>0.56930680060959094</v>
      </c>
      <c r="AP54" s="4">
        <f t="shared" si="157"/>
        <v>0.5652049606153966</v>
      </c>
      <c r="AQ54" s="4">
        <f t="shared" si="157"/>
        <v>0.56106405547840033</v>
      </c>
      <c r="AT54" s="1" t="s">
        <v>51</v>
      </c>
      <c r="AU54" s="22">
        <f>AU52/AU53-1</f>
        <v>4.9808439658102444E-2</v>
      </c>
    </row>
    <row r="55" spans="2:47" x14ac:dyDescent="0.3">
      <c r="B55" s="1" t="s">
        <v>43</v>
      </c>
      <c r="C55" s="4">
        <f t="shared" ref="C55:R55" si="158">C36/C30</f>
        <v>9.8312962628551395E-2</v>
      </c>
      <c r="D55" s="4">
        <f t="shared" si="158"/>
        <v>5.8669950508261952E-2</v>
      </c>
      <c r="E55" s="4">
        <f t="shared" si="158"/>
        <v>0.11535874978614646</v>
      </c>
      <c r="F55" s="4">
        <f t="shared" si="158"/>
        <v>0.10223680969959617</v>
      </c>
      <c r="G55" s="4">
        <f t="shared" si="158"/>
        <v>0.12956831400216565</v>
      </c>
      <c r="H55" s="4">
        <f t="shared" si="158"/>
        <v>6.1428449871642768E-2</v>
      </c>
      <c r="I55" s="4">
        <f t="shared" si="158"/>
        <v>0.11376728379166422</v>
      </c>
      <c r="J55" s="4">
        <f t="shared" si="158"/>
        <v>8.2406116115738601E-2</v>
      </c>
      <c r="K55" s="4">
        <f t="shared" si="158"/>
        <v>0.14006126355738555</v>
      </c>
      <c r="L55" s="4">
        <f t="shared" si="158"/>
        <v>4.7906225722424499E-2</v>
      </c>
      <c r="M55" s="4">
        <f t="shared" si="158"/>
        <v>0.11831956884237997</v>
      </c>
      <c r="N55" s="4">
        <f t="shared" si="158"/>
        <v>8.3926003182439562E-2</v>
      </c>
      <c r="O55" s="4">
        <f t="shared" si="158"/>
        <v>0.11870321606558804</v>
      </c>
      <c r="P55" s="4">
        <f t="shared" si="158"/>
        <v>-0.90091690751735509</v>
      </c>
      <c r="Q55" s="4">
        <f t="shared" si="158"/>
        <v>8.6846301095396872E-2</v>
      </c>
      <c r="R55" s="4">
        <f t="shared" si="158"/>
        <v>6.639795187956038E-2</v>
      </c>
      <c r="S55" s="4">
        <f t="shared" ref="S55:Z55" si="159">S36/S30</f>
        <v>0.13566385468159511</v>
      </c>
      <c r="T55" s="4">
        <f t="shared" si="159"/>
        <v>8.343057953511486E-2</v>
      </c>
      <c r="U55" s="4">
        <f t="shared" si="159"/>
        <v>0.1444395031457375</v>
      </c>
      <c r="V55" s="4">
        <f t="shared" si="159"/>
        <v>0.11059182172638442</v>
      </c>
      <c r="W55" s="4">
        <f t="shared" si="159"/>
        <v>0.14717114381971924</v>
      </c>
      <c r="X55" s="4">
        <f t="shared" si="159"/>
        <v>5.177313786706849E-2</v>
      </c>
      <c r="Y55" s="4">
        <f t="shared" si="159"/>
        <v>0.13125135945687641</v>
      </c>
      <c r="Z55" s="4">
        <f t="shared" si="159"/>
        <v>8.6256458738659836E-2</v>
      </c>
      <c r="AA55" s="4">
        <f t="shared" ref="AA55:AD55" si="160">AA36/AA30</f>
        <v>9.3196755284504759E-2</v>
      </c>
      <c r="AB55" s="4">
        <f t="shared" si="160"/>
        <v>6.0890703849115935E-2</v>
      </c>
      <c r="AC55" s="4">
        <f t="shared" si="160"/>
        <v>0.13960471176979114</v>
      </c>
      <c r="AD55" s="4">
        <f t="shared" si="160"/>
        <v>9.5042454327711051E-2</v>
      </c>
      <c r="AE55" s="4"/>
      <c r="AF55" s="4"/>
      <c r="AG55" s="4"/>
      <c r="AH55" s="4"/>
      <c r="AI55" s="4">
        <f t="shared" ref="AI55:AQ55" si="161">AI36/AI30</f>
        <v>9.5262263893165389E-2</v>
      </c>
      <c r="AJ55" s="4">
        <f t="shared" si="161"/>
        <v>9.6927058671602687E-2</v>
      </c>
      <c r="AK55" s="4">
        <f t="shared" si="161"/>
        <v>9.8328378523524038E-2</v>
      </c>
      <c r="AL55" s="4">
        <f t="shared" si="161"/>
        <v>-1.9116657222765385E-2</v>
      </c>
      <c r="AM55" s="4">
        <f>AM36/AM30</f>
        <v>0.11905250162389031</v>
      </c>
      <c r="AN55" s="4">
        <f>AN36/AN30</f>
        <v>0.10481551729727985</v>
      </c>
      <c r="AO55" s="4">
        <f t="shared" si="161"/>
        <v>9.7359508379965237E-2</v>
      </c>
      <c r="AP55" s="4">
        <f t="shared" si="161"/>
        <v>9.523812447842038E-2</v>
      </c>
      <c r="AQ55" s="4">
        <f t="shared" si="161"/>
        <v>9.109721934142416E-2</v>
      </c>
    </row>
    <row r="56" spans="2:47" x14ac:dyDescent="0.3">
      <c r="B56" s="1" t="s">
        <v>17</v>
      </c>
      <c r="C56" s="4">
        <f>C39/C38</f>
        <v>0.32306843515661954</v>
      </c>
      <c r="D56" s="4">
        <f t="shared" ref="D56:AK56" si="162">D39/D38</f>
        <v>-3.572497420020583</v>
      </c>
      <c r="E56" s="4">
        <f t="shared" si="162"/>
        <v>0.2359405686960975</v>
      </c>
      <c r="F56" s="4">
        <f t="shared" si="162"/>
        <v>0.15648182125614268</v>
      </c>
      <c r="G56" s="4">
        <f t="shared" si="162"/>
        <v>1.1250058714980713</v>
      </c>
      <c r="H56" s="4">
        <f t="shared" si="162"/>
        <v>-1.7434488588334743E-2</v>
      </c>
      <c r="I56" s="4">
        <f t="shared" si="162"/>
        <v>7.3627394909922761E-2</v>
      </c>
      <c r="J56" s="4">
        <f t="shared" si="162"/>
        <v>0.28171042428270804</v>
      </c>
      <c r="K56" s="4">
        <f t="shared" si="162"/>
        <v>0.19409317528972811</v>
      </c>
      <c r="L56" s="4">
        <f t="shared" si="162"/>
        <v>-9.3143645985121468E-2</v>
      </c>
      <c r="M56" s="4">
        <f t="shared" si="162"/>
        <v>0.18039417512882933</v>
      </c>
      <c r="N56" s="4">
        <f t="shared" si="162"/>
        <v>0.18965210992412873</v>
      </c>
      <c r="O56" s="4">
        <f t="shared" si="162"/>
        <v>7.3646467833135235E-2</v>
      </c>
      <c r="P56" s="4">
        <f t="shared" si="162"/>
        <v>0.20654539105383202</v>
      </c>
      <c r="Q56" s="4">
        <f t="shared" si="162"/>
        <v>0.47593676134382157</v>
      </c>
      <c r="R56" s="4">
        <f t="shared" si="162"/>
        <v>-9.0646651270207795E-2</v>
      </c>
      <c r="S56" s="4">
        <f t="shared" ref="S56:Z56" si="163">S39/S38</f>
        <v>7.8663744334749278E-2</v>
      </c>
      <c r="T56" s="4">
        <f t="shared" si="163"/>
        <v>-0.16194186610172523</v>
      </c>
      <c r="U56" s="4">
        <f t="shared" si="163"/>
        <v>4.7803623934318071E-2</v>
      </c>
      <c r="V56" s="4">
        <f t="shared" si="163"/>
        <v>8.2994167750598091E-2</v>
      </c>
      <c r="W56" s="4">
        <f t="shared" si="163"/>
        <v>0.20350494751526146</v>
      </c>
      <c r="X56" s="4">
        <f t="shared" si="163"/>
        <v>0.36072484256522325</v>
      </c>
      <c r="Y56" s="4">
        <f t="shared" si="163"/>
        <v>7.1601107914286921E-2</v>
      </c>
      <c r="Z56" s="4">
        <f t="shared" si="163"/>
        <v>-7.7231673567459913E-2</v>
      </c>
      <c r="AA56" s="4">
        <f t="shared" ref="AA56:AD56" si="164">AA39/AA38</f>
        <v>0.17600574712643666</v>
      </c>
      <c r="AB56" s="4">
        <f t="shared" si="164"/>
        <v>0.21</v>
      </c>
      <c r="AC56" s="4">
        <f t="shared" si="164"/>
        <v>0.21</v>
      </c>
      <c r="AD56" s="4">
        <f t="shared" si="164"/>
        <v>0.21000000000000002</v>
      </c>
      <c r="AE56" s="4"/>
      <c r="AF56" s="4"/>
      <c r="AG56" s="4"/>
      <c r="AH56" s="4"/>
      <c r="AI56" s="4">
        <f t="shared" si="162"/>
        <v>0.18414133797425897</v>
      </c>
      <c r="AJ56" s="4">
        <f t="shared" si="162"/>
        <v>0.42953710036758336</v>
      </c>
      <c r="AK56" s="4">
        <f t="shared" si="162"/>
        <v>0.1729622432912323</v>
      </c>
      <c r="AL56" s="4">
        <f>AL39/AL38</f>
        <v>0.33007171348329389</v>
      </c>
      <c r="AM56" s="4">
        <f>AM39/AM38</f>
        <v>4.6013718461326361E-2</v>
      </c>
      <c r="AN56" s="4">
        <f t="shared" ref="AN56:AQ56" si="165">AN39/AN38</f>
        <v>0.12410245204100781</v>
      </c>
      <c r="AO56" s="4">
        <f t="shared" si="165"/>
        <v>0.20212689776994724</v>
      </c>
      <c r="AP56" s="4">
        <f t="shared" si="165"/>
        <v>0.21</v>
      </c>
      <c r="AQ56" s="4">
        <f t="shared" si="165"/>
        <v>0.20999999999999996</v>
      </c>
    </row>
  </sheetData>
  <phoneticPr fontId="8" type="noConversion"/>
  <conditionalFormatting sqref="AU54">
    <cfRule type="cellIs" dxfId="2" priority="1" operator="lessThan">
      <formula>0</formula>
    </cfRule>
    <cfRule type="cellIs" dxfId="1" priority="2" operator="greaterThan">
      <formula>0</formula>
    </cfRule>
    <cfRule type="cellIs" dxfId="0" priority="3" operator="greaterThan">
      <formula>0.5996</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9417-4560-409F-96AE-2E17B41680A1}">
  <dimension ref="B3:D18"/>
  <sheetViews>
    <sheetView workbookViewId="0">
      <selection activeCell="D15" sqref="D15"/>
    </sheetView>
  </sheetViews>
  <sheetFormatPr defaultColWidth="9.1796875" defaultRowHeight="14" x14ac:dyDescent="0.3"/>
  <cols>
    <col min="1" max="1" width="9.1796875" style="1"/>
    <col min="2" max="2" width="16.453125" style="1" bestFit="1" customWidth="1"/>
    <col min="3" max="3" width="8" style="1" bestFit="1" customWidth="1"/>
    <col min="4" max="4" width="17.26953125" style="1" bestFit="1" customWidth="1"/>
    <col min="5" max="16384" width="9.1796875" style="1"/>
  </cols>
  <sheetData>
    <row r="3" spans="2:4" x14ac:dyDescent="0.3">
      <c r="B3" s="1" t="s">
        <v>7</v>
      </c>
      <c r="C3" s="2">
        <f>Main!C8</f>
        <v>1624.5</v>
      </c>
    </row>
    <row r="4" spans="2:4" x14ac:dyDescent="0.3">
      <c r="B4" s="1" t="s">
        <v>52</v>
      </c>
      <c r="C4" s="2">
        <f>Main!C6</f>
        <v>5941.3502503599993</v>
      </c>
    </row>
    <row r="5" spans="2:4" x14ac:dyDescent="0.3">
      <c r="B5" s="1" t="s">
        <v>53</v>
      </c>
      <c r="C5" s="2">
        <f>+C3+C4</f>
        <v>7565.8502503599993</v>
      </c>
    </row>
    <row r="6" spans="2:4" x14ac:dyDescent="0.3">
      <c r="B6" s="1" t="s">
        <v>54</v>
      </c>
      <c r="C6" s="3">
        <f>C3/C5</f>
        <v>0.21471479691561471</v>
      </c>
    </row>
    <row r="7" spans="2:4" x14ac:dyDescent="0.3">
      <c r="B7" s="1" t="s">
        <v>55</v>
      </c>
      <c r="C7" s="3">
        <f>C4/C5</f>
        <v>0.78528520308438532</v>
      </c>
    </row>
    <row r="9" spans="2:4" x14ac:dyDescent="0.3">
      <c r="B9" s="1" t="s">
        <v>56</v>
      </c>
      <c r="C9" s="4">
        <f>AVERAGE(Model!AI56:AN56)</f>
        <v>0.21447142760311713</v>
      </c>
      <c r="D9" s="1" t="s">
        <v>57</v>
      </c>
    </row>
    <row r="10" spans="2:4" x14ac:dyDescent="0.3">
      <c r="B10" s="1" t="s">
        <v>58</v>
      </c>
      <c r="C10" s="2">
        <v>25.7</v>
      </c>
      <c r="D10" s="30" t="s">
        <v>99</v>
      </c>
    </row>
    <row r="11" spans="2:4" x14ac:dyDescent="0.3">
      <c r="B11" s="1" t="s">
        <v>59</v>
      </c>
      <c r="C11" s="3">
        <f>(C10*(1-C9))/C3</f>
        <v>1.2427260271221848E-2</v>
      </c>
    </row>
    <row r="13" spans="2:4" x14ac:dyDescent="0.3">
      <c r="B13" s="1" t="s">
        <v>60</v>
      </c>
      <c r="C13" s="3">
        <f>'[1]T-Bond Yields'!$C$12</f>
        <v>3.8899999999999997E-2</v>
      </c>
      <c r="D13" s="30" t="s">
        <v>94</v>
      </c>
    </row>
    <row r="14" spans="2:4" x14ac:dyDescent="0.3">
      <c r="B14" s="1" t="s">
        <v>61</v>
      </c>
      <c r="C14" s="5">
        <v>1.17</v>
      </c>
      <c r="D14" s="30" t="s">
        <v>100</v>
      </c>
    </row>
    <row r="15" spans="2:4" x14ac:dyDescent="0.3">
      <c r="B15" s="1" t="s">
        <v>62</v>
      </c>
      <c r="C15" s="4">
        <v>0.06</v>
      </c>
      <c r="D15" s="1" t="s">
        <v>63</v>
      </c>
    </row>
    <row r="16" spans="2:4" x14ac:dyDescent="0.3">
      <c r="B16" s="1" t="s">
        <v>64</v>
      </c>
      <c r="C16" s="3">
        <f>(C13+C14*(C15-C13))</f>
        <v>6.3587000000000005E-2</v>
      </c>
    </row>
    <row r="18" spans="2:3" x14ac:dyDescent="0.3">
      <c r="B18" s="1" t="s">
        <v>65</v>
      </c>
      <c r="C18" s="3">
        <f>(C7*C16)+(C6*C11)*(1-C9)</f>
        <v>5.2029969189364277E-2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2020-12-10T16:57:49Z</dcterms:created>
  <dcterms:modified xsi:type="dcterms:W3CDTF">2023-06-14T01:42:20Z</dcterms:modified>
</cp:coreProperties>
</file>