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William S\Documents\Models Backup\"/>
    </mc:Choice>
  </mc:AlternateContent>
  <xr:revisionPtr revIDLastSave="0" documentId="13_ncr:1_{28975515-7894-468A-A093-A4A4EF7927F2}" xr6:coauthVersionLast="47" xr6:coauthVersionMax="47" xr10:uidLastSave="{00000000-0000-0000-0000-000000000000}"/>
  <bookViews>
    <workbookView xWindow="28680" yWindow="-120" windowWidth="29040" windowHeight="15840" activeTab="1" xr2:uid="{856E6B94-9D68-4BB7-B3B1-BD30463F12CD}"/>
  </bookViews>
  <sheets>
    <sheet name="Main" sheetId="1" r:id="rId1"/>
    <sheet name="Model" sheetId="2" r:id="rId2"/>
    <sheet name="WACC"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3" i="3" l="1"/>
  <c r="AQ6" i="2" l="1"/>
  <c r="AP6" i="2"/>
  <c r="AO6" i="2"/>
  <c r="Z5" i="2"/>
  <c r="Y5" i="2"/>
  <c r="Z4" i="2"/>
  <c r="Y4" i="2"/>
  <c r="AN4" i="2" s="1"/>
  <c r="Z3" i="2"/>
  <c r="AN5" i="2"/>
  <c r="Y3" i="2"/>
  <c r="AN3" i="2"/>
  <c r="AM5" i="2"/>
  <c r="AM4" i="2"/>
  <c r="AM3" i="2"/>
  <c r="AL5" i="2"/>
  <c r="AL4" i="2"/>
  <c r="AL3" i="2"/>
  <c r="AK5" i="2"/>
  <c r="AK4" i="2"/>
  <c r="AK3" i="2"/>
  <c r="AJ5" i="2"/>
  <c r="AJ6" i="2" s="1"/>
  <c r="AJ4" i="2"/>
  <c r="AJ3" i="2"/>
  <c r="AI5" i="2"/>
  <c r="AI4" i="2"/>
  <c r="AI3" i="2"/>
  <c r="C4" i="2"/>
  <c r="C6" i="2" s="1"/>
  <c r="D4" i="2"/>
  <c r="D6" i="2" s="1"/>
  <c r="E4" i="2"/>
  <c r="E6" i="2" s="1"/>
  <c r="F4" i="2"/>
  <c r="AM6" i="2"/>
  <c r="AK6" i="2"/>
  <c r="W6" i="2"/>
  <c r="V6" i="2"/>
  <c r="U6" i="2"/>
  <c r="T6" i="2"/>
  <c r="S6" i="2"/>
  <c r="R6" i="2"/>
  <c r="Q6" i="2"/>
  <c r="P6" i="2"/>
  <c r="O6" i="2"/>
  <c r="N6" i="2"/>
  <c r="M6" i="2"/>
  <c r="L6" i="2"/>
  <c r="K6" i="2"/>
  <c r="J6" i="2"/>
  <c r="I6" i="2"/>
  <c r="H6" i="2"/>
  <c r="G6" i="2"/>
  <c r="F6" i="2"/>
  <c r="Z6" i="2"/>
  <c r="X6" i="2"/>
  <c r="C8" i="1"/>
  <c r="Z24" i="2"/>
  <c r="Z34" i="2" s="1"/>
  <c r="Y24" i="2"/>
  <c r="S34" i="2"/>
  <c r="T34" i="2"/>
  <c r="U34" i="2"/>
  <c r="V34" i="2"/>
  <c r="W34" i="2"/>
  <c r="Z22" i="2"/>
  <c r="Y22" i="2"/>
  <c r="Z19" i="2"/>
  <c r="Y19" i="2"/>
  <c r="Z18" i="2"/>
  <c r="Y18" i="2"/>
  <c r="Z17" i="2"/>
  <c r="Y17" i="2"/>
  <c r="Z14" i="2"/>
  <c r="Y14" i="2"/>
  <c r="Z13" i="2"/>
  <c r="Y13" i="2"/>
  <c r="X15" i="2"/>
  <c r="Z12" i="2"/>
  <c r="Y12" i="2"/>
  <c r="Z11" i="2"/>
  <c r="Y11" i="2"/>
  <c r="AN11" i="2" s="1"/>
  <c r="Z8" i="2"/>
  <c r="Y8" i="2"/>
  <c r="Z7" i="2"/>
  <c r="Y7" i="2"/>
  <c r="AN7" i="2" s="1"/>
  <c r="AM24" i="2"/>
  <c r="AM22" i="2"/>
  <c r="AM21" i="2"/>
  <c r="AM19" i="2"/>
  <c r="AM18" i="2"/>
  <c r="AM17" i="2"/>
  <c r="AM14" i="2"/>
  <c r="AM13" i="2"/>
  <c r="AM12" i="2"/>
  <c r="AM11" i="2"/>
  <c r="AM8" i="2"/>
  <c r="AM7" i="2"/>
  <c r="AL24" i="2"/>
  <c r="AL22" i="2"/>
  <c r="AL21" i="2"/>
  <c r="AL19" i="2"/>
  <c r="AL18" i="2"/>
  <c r="AL17" i="2"/>
  <c r="AL14" i="2"/>
  <c r="AL13" i="2"/>
  <c r="AL12" i="2"/>
  <c r="AL11" i="2"/>
  <c r="AL8" i="2"/>
  <c r="AL7" i="2"/>
  <c r="AK24" i="2"/>
  <c r="AK22" i="2"/>
  <c r="AK21" i="2"/>
  <c r="AK19" i="2"/>
  <c r="AK18" i="2"/>
  <c r="AK17" i="2"/>
  <c r="AK14" i="2"/>
  <c r="AK13" i="2"/>
  <c r="AK11" i="2"/>
  <c r="AK8" i="2"/>
  <c r="AK9" i="2" s="1"/>
  <c r="AK7" i="2"/>
  <c r="AJ24" i="2"/>
  <c r="AJ22" i="2"/>
  <c r="AJ21" i="2"/>
  <c r="AJ19" i="2"/>
  <c r="AJ18" i="2"/>
  <c r="AJ17" i="2"/>
  <c r="AJ14" i="2"/>
  <c r="AJ13" i="2"/>
  <c r="AJ11" i="2"/>
  <c r="AJ8" i="2"/>
  <c r="AJ7" i="2"/>
  <c r="AI24" i="2"/>
  <c r="AI22" i="2"/>
  <c r="AI21" i="2"/>
  <c r="AI19" i="2"/>
  <c r="AI18" i="2"/>
  <c r="AI17" i="2"/>
  <c r="AI14" i="2"/>
  <c r="AI13" i="2"/>
  <c r="AI11" i="2"/>
  <c r="AI8" i="2"/>
  <c r="AI9" i="2" s="1"/>
  <c r="AI7" i="2"/>
  <c r="C12" i="2"/>
  <c r="C15" i="2" s="1"/>
  <c r="D12" i="2"/>
  <c r="E12" i="2"/>
  <c r="E15" i="2" s="1"/>
  <c r="F12" i="2"/>
  <c r="F15" i="2" s="1"/>
  <c r="G12" i="2"/>
  <c r="H12" i="2"/>
  <c r="I12" i="2"/>
  <c r="J12" i="2"/>
  <c r="J15" i="2" s="1"/>
  <c r="K12" i="2"/>
  <c r="L12" i="2"/>
  <c r="M12" i="2"/>
  <c r="N12" i="2"/>
  <c r="N15" i="2" s="1"/>
  <c r="W9" i="2"/>
  <c r="V9" i="2"/>
  <c r="U9" i="2"/>
  <c r="T9" i="2"/>
  <c r="S9" i="2"/>
  <c r="W29" i="2" s="1"/>
  <c r="W15" i="2"/>
  <c r="V15" i="2"/>
  <c r="U15" i="2"/>
  <c r="T15" i="2"/>
  <c r="S15" i="2"/>
  <c r="W31" i="2" s="1"/>
  <c r="R15" i="2"/>
  <c r="Q9" i="2"/>
  <c r="P9" i="2"/>
  <c r="O9" i="2"/>
  <c r="N9" i="2"/>
  <c r="M9" i="2"/>
  <c r="L9" i="2"/>
  <c r="K9" i="2"/>
  <c r="J9" i="2"/>
  <c r="I9" i="2"/>
  <c r="M29" i="2" s="1"/>
  <c r="H9" i="2"/>
  <c r="G9" i="2"/>
  <c r="F9" i="2"/>
  <c r="E9" i="2"/>
  <c r="D9" i="2"/>
  <c r="C9" i="2"/>
  <c r="R9" i="2"/>
  <c r="Q15" i="2"/>
  <c r="P15" i="2"/>
  <c r="O15" i="2"/>
  <c r="M15" i="2"/>
  <c r="L15" i="2"/>
  <c r="I15" i="2"/>
  <c r="H15" i="2"/>
  <c r="D15" i="2"/>
  <c r="X34" i="2"/>
  <c r="Y34" i="2"/>
  <c r="C16" i="3"/>
  <c r="C3" i="3"/>
  <c r="G34" i="2"/>
  <c r="Q34" i="2"/>
  <c r="P34" i="2"/>
  <c r="O34" i="2"/>
  <c r="N34" i="2"/>
  <c r="M34" i="2"/>
  <c r="L34" i="2"/>
  <c r="K34" i="2"/>
  <c r="J34" i="2"/>
  <c r="I34" i="2"/>
  <c r="H34" i="2"/>
  <c r="C4" i="1" a="1"/>
  <c r="C4" i="1" s="1"/>
  <c r="C6" i="1" s="1"/>
  <c r="C4" i="3" s="1"/>
  <c r="Y6" i="2" l="1"/>
  <c r="AN6" i="2"/>
  <c r="AL6" i="2"/>
  <c r="AI6" i="2"/>
  <c r="L28" i="2"/>
  <c r="T28" i="2"/>
  <c r="U10" i="2"/>
  <c r="U36" i="2" s="1"/>
  <c r="AJ34" i="2"/>
  <c r="AM34" i="2"/>
  <c r="AJ9" i="2"/>
  <c r="AL9" i="2"/>
  <c r="AM9" i="2"/>
  <c r="AN24" i="2"/>
  <c r="AN12" i="2"/>
  <c r="Y9" i="2"/>
  <c r="Z15" i="2"/>
  <c r="AK12" i="2"/>
  <c r="AJ12" i="2"/>
  <c r="AJ15" i="2" s="1"/>
  <c r="AN14" i="2"/>
  <c r="AO14" i="2" s="1"/>
  <c r="AP14" i="2" s="1"/>
  <c r="AQ14" i="2" s="1"/>
  <c r="AN22" i="2"/>
  <c r="AK15" i="2"/>
  <c r="G15" i="2"/>
  <c r="G31" i="2" s="1"/>
  <c r="Y15" i="2"/>
  <c r="AI12" i="2"/>
  <c r="AI15" i="2" s="1"/>
  <c r="AL15" i="2"/>
  <c r="AN18" i="2"/>
  <c r="AO18" i="2" s="1"/>
  <c r="AP18" i="2" s="1"/>
  <c r="AQ18" i="2" s="1"/>
  <c r="AN8" i="2"/>
  <c r="AO8" i="2" s="1"/>
  <c r="AP8" i="2" s="1"/>
  <c r="AQ8" i="2" s="1"/>
  <c r="AN13" i="2"/>
  <c r="AO13" i="2" s="1"/>
  <c r="AP13" i="2" s="1"/>
  <c r="AQ13" i="2" s="1"/>
  <c r="K15" i="2"/>
  <c r="V29" i="2"/>
  <c r="AM15" i="2"/>
  <c r="Z9" i="2"/>
  <c r="Z10" i="2" s="1"/>
  <c r="Z16" i="2" s="1"/>
  <c r="Z20" i="2" s="1"/>
  <c r="AN17" i="2"/>
  <c r="AO17" i="2" s="1"/>
  <c r="AP17" i="2" s="1"/>
  <c r="AQ17" i="2" s="1"/>
  <c r="AN19" i="2"/>
  <c r="AO19" i="2" s="1"/>
  <c r="AP19" i="2" s="1"/>
  <c r="AQ19" i="2" s="1"/>
  <c r="Y10" i="2"/>
  <c r="AO12" i="2"/>
  <c r="AP12" i="2" s="1"/>
  <c r="AQ12" i="2" s="1"/>
  <c r="AO11" i="2"/>
  <c r="AP11" i="2" s="1"/>
  <c r="AP15" i="2" s="1"/>
  <c r="X31" i="2"/>
  <c r="Z29" i="2"/>
  <c r="X9" i="2"/>
  <c r="X29" i="2" s="1"/>
  <c r="Y28" i="2"/>
  <c r="Z28" i="2"/>
  <c r="AM10" i="2"/>
  <c r="AL10" i="2"/>
  <c r="AK10" i="2"/>
  <c r="AK16" i="2" s="1"/>
  <c r="AK20" i="2" s="1"/>
  <c r="AK23" i="2" s="1"/>
  <c r="AJ10" i="2"/>
  <c r="AI10" i="2"/>
  <c r="G29" i="2"/>
  <c r="G28" i="2"/>
  <c r="E10" i="2"/>
  <c r="E36" i="2" s="1"/>
  <c r="K28" i="2"/>
  <c r="H10" i="2"/>
  <c r="H16" i="2" s="1"/>
  <c r="H20" i="2" s="1"/>
  <c r="H38" i="2" s="1"/>
  <c r="I29" i="2"/>
  <c r="I10" i="2"/>
  <c r="M28" i="2"/>
  <c r="K10" i="2"/>
  <c r="K16" i="2" s="1"/>
  <c r="K20" i="2" s="1"/>
  <c r="K38" i="2" s="1"/>
  <c r="Q29" i="2"/>
  <c r="Q28" i="2"/>
  <c r="T29" i="2"/>
  <c r="T31" i="2"/>
  <c r="U31" i="2"/>
  <c r="Q10" i="2"/>
  <c r="U28" i="2"/>
  <c r="Y31" i="2"/>
  <c r="V31" i="2"/>
  <c r="R10" i="2"/>
  <c r="R29" i="2"/>
  <c r="Z31" i="2"/>
  <c r="V10" i="2"/>
  <c r="V28" i="2"/>
  <c r="J29" i="2"/>
  <c r="H28" i="2"/>
  <c r="X28" i="2"/>
  <c r="O29" i="2"/>
  <c r="I28" i="2"/>
  <c r="P28" i="2"/>
  <c r="Y29" i="2"/>
  <c r="H29" i="2"/>
  <c r="L29" i="2"/>
  <c r="P29" i="2"/>
  <c r="S31" i="2"/>
  <c r="S29" i="2"/>
  <c r="U29" i="2"/>
  <c r="M10" i="2"/>
  <c r="M30" i="2" s="1"/>
  <c r="L10" i="2"/>
  <c r="D10" i="2"/>
  <c r="D36" i="2" s="1"/>
  <c r="C10" i="2"/>
  <c r="C36" i="2" s="1"/>
  <c r="S28" i="2"/>
  <c r="W28" i="2"/>
  <c r="T10" i="2"/>
  <c r="S10" i="2"/>
  <c r="W10" i="2"/>
  <c r="W36" i="2" s="1"/>
  <c r="N29" i="2"/>
  <c r="K29" i="2"/>
  <c r="P10" i="2"/>
  <c r="P36" i="2" s="1"/>
  <c r="N10" i="2"/>
  <c r="N36" i="2" s="1"/>
  <c r="O10" i="2"/>
  <c r="O36" i="2" s="1"/>
  <c r="G10" i="2"/>
  <c r="R28" i="2"/>
  <c r="O28" i="2"/>
  <c r="J10" i="2"/>
  <c r="J16" i="2" s="1"/>
  <c r="J20" i="2" s="1"/>
  <c r="J38" i="2" s="1"/>
  <c r="F10" i="2"/>
  <c r="F36" i="2" s="1"/>
  <c r="J28" i="2"/>
  <c r="N28" i="2"/>
  <c r="K31" i="2"/>
  <c r="M31" i="2"/>
  <c r="L31" i="2"/>
  <c r="J31" i="2"/>
  <c r="H31" i="2"/>
  <c r="R31" i="2"/>
  <c r="N31" i="2"/>
  <c r="P31" i="2"/>
  <c r="Q16" i="2"/>
  <c r="Q20" i="2" s="1"/>
  <c r="O31" i="2"/>
  <c r="I31" i="2"/>
  <c r="Q31" i="2"/>
  <c r="AU31" i="2"/>
  <c r="AU34" i="2"/>
  <c r="R34" i="2"/>
  <c r="AK34" i="2"/>
  <c r="AL34" i="2"/>
  <c r="C5" i="3"/>
  <c r="C6" i="3" s="1"/>
  <c r="E16" i="2"/>
  <c r="E20" i="2" s="1"/>
  <c r="E38" i="2" s="1"/>
  <c r="C9" i="1"/>
  <c r="I30" i="2" l="1"/>
  <c r="I16" i="2"/>
  <c r="I20" i="2" s="1"/>
  <c r="I38" i="2" s="1"/>
  <c r="U16" i="2"/>
  <c r="M36" i="2"/>
  <c r="AQ11" i="2"/>
  <c r="AI16" i="2"/>
  <c r="AI20" i="2" s="1"/>
  <c r="AI23" i="2" s="1"/>
  <c r="M16" i="2"/>
  <c r="M20" i="2" s="1"/>
  <c r="M38" i="2" s="1"/>
  <c r="AK30" i="2"/>
  <c r="R16" i="2"/>
  <c r="R30" i="2"/>
  <c r="Q36" i="2"/>
  <c r="Q30" i="2"/>
  <c r="AQ15" i="2"/>
  <c r="S16" i="2"/>
  <c r="S37" i="2" s="1"/>
  <c r="S30" i="2"/>
  <c r="T36" i="2"/>
  <c r="T30" i="2"/>
  <c r="U37" i="2"/>
  <c r="U20" i="2"/>
  <c r="U23" i="2" s="1"/>
  <c r="V36" i="2"/>
  <c r="V30" i="2"/>
  <c r="AL16" i="2"/>
  <c r="AL20" i="2" s="1"/>
  <c r="AL23" i="2" s="1"/>
  <c r="AL25" i="2" s="1"/>
  <c r="AL30" i="2"/>
  <c r="AN15" i="2"/>
  <c r="U30" i="2"/>
  <c r="C16" i="2"/>
  <c r="C20" i="2" s="1"/>
  <c r="C38" i="2" s="1"/>
  <c r="AJ16" i="2"/>
  <c r="AJ20" i="2" s="1"/>
  <c r="AJ23" i="2" s="1"/>
  <c r="AJ30" i="2"/>
  <c r="AO15" i="2"/>
  <c r="AN9" i="2"/>
  <c r="AN10" i="2" s="1"/>
  <c r="AN16" i="2" s="1"/>
  <c r="AN20" i="2" s="1"/>
  <c r="Y36" i="2"/>
  <c r="Y16" i="2"/>
  <c r="Y20" i="2" s="1"/>
  <c r="Y21" i="2" s="1"/>
  <c r="Y38" i="2" s="1"/>
  <c r="Z21" i="2"/>
  <c r="Z38" i="2" s="1"/>
  <c r="Y30" i="2"/>
  <c r="AM16" i="2"/>
  <c r="AM20" i="2" s="1"/>
  <c r="AM30" i="2"/>
  <c r="X10" i="2"/>
  <c r="X16" i="2" s="1"/>
  <c r="X20" i="2" s="1"/>
  <c r="AO7" i="2"/>
  <c r="Z36" i="2"/>
  <c r="Z30" i="2"/>
  <c r="AI36" i="2"/>
  <c r="AJ29" i="2"/>
  <c r="F16" i="2"/>
  <c r="F20" i="2" s="1"/>
  <c r="F38" i="2" s="1"/>
  <c r="AJ28" i="2"/>
  <c r="G36" i="2"/>
  <c r="G30" i="2"/>
  <c r="H36" i="2"/>
  <c r="H30" i="2"/>
  <c r="I36" i="2"/>
  <c r="AK29" i="2"/>
  <c r="AJ36" i="2"/>
  <c r="J36" i="2"/>
  <c r="N30" i="2"/>
  <c r="J30" i="2"/>
  <c r="K36" i="2"/>
  <c r="O30" i="2"/>
  <c r="K30" i="2"/>
  <c r="L36" i="2"/>
  <c r="L30" i="2"/>
  <c r="P30" i="2"/>
  <c r="L16" i="2"/>
  <c r="L20" i="2" s="1"/>
  <c r="M37" i="2"/>
  <c r="AK36" i="2"/>
  <c r="N16" i="2"/>
  <c r="N20" i="2" s="1"/>
  <c r="N38" i="2" s="1"/>
  <c r="AK28" i="2"/>
  <c r="S36" i="2"/>
  <c r="W30" i="2"/>
  <c r="AL36" i="2"/>
  <c r="AL29" i="2"/>
  <c r="V16" i="2"/>
  <c r="V20" i="2" s="1"/>
  <c r="D16" i="2"/>
  <c r="D20" i="2" s="1"/>
  <c r="D38" i="2" s="1"/>
  <c r="Y37" i="2"/>
  <c r="W16" i="2"/>
  <c r="T16" i="2"/>
  <c r="Z37" i="2"/>
  <c r="P16" i="2"/>
  <c r="P20" i="2" s="1"/>
  <c r="G16" i="2"/>
  <c r="G20" i="2" s="1"/>
  <c r="G38" i="2" s="1"/>
  <c r="O16" i="2"/>
  <c r="O37" i="2" s="1"/>
  <c r="U32" i="2"/>
  <c r="AJ31" i="2"/>
  <c r="AL31" i="2"/>
  <c r="I23" i="2"/>
  <c r="I37" i="2"/>
  <c r="I32" i="2"/>
  <c r="J23" i="2"/>
  <c r="J37" i="2"/>
  <c r="K37" i="2"/>
  <c r="H23" i="2"/>
  <c r="H37" i="2"/>
  <c r="Q37" i="2"/>
  <c r="K23" i="2"/>
  <c r="E23" i="2"/>
  <c r="E25" i="2" s="1"/>
  <c r="E37" i="2"/>
  <c r="AK31" i="2"/>
  <c r="R36" i="2"/>
  <c r="AM28" i="2"/>
  <c r="AL28" i="2"/>
  <c r="C7" i="3"/>
  <c r="Y32" i="2" l="1"/>
  <c r="AI37" i="2"/>
  <c r="G37" i="2"/>
  <c r="Z32" i="2"/>
  <c r="M32" i="2"/>
  <c r="C23" i="2"/>
  <c r="C25" i="2" s="1"/>
  <c r="Q32" i="2"/>
  <c r="S20" i="2"/>
  <c r="S38" i="2" s="1"/>
  <c r="X37" i="2"/>
  <c r="X36" i="2"/>
  <c r="N37" i="2"/>
  <c r="V32" i="2"/>
  <c r="R20" i="2"/>
  <c r="R23" i="2" s="1"/>
  <c r="L38" i="2"/>
  <c r="L23" i="2"/>
  <c r="W37" i="2"/>
  <c r="W20" i="2"/>
  <c r="W38" i="2" s="1"/>
  <c r="P38" i="2"/>
  <c r="P23" i="2"/>
  <c r="P33" i="2" s="1"/>
  <c r="C37" i="2"/>
  <c r="F37" i="2"/>
  <c r="T20" i="2"/>
  <c r="T38" i="2" s="1"/>
  <c r="T32" i="2"/>
  <c r="W32" i="2"/>
  <c r="X30" i="2"/>
  <c r="Z23" i="2"/>
  <c r="Z25" i="2" s="1"/>
  <c r="Y23" i="2"/>
  <c r="Y25" i="2" s="1"/>
  <c r="AP7" i="2"/>
  <c r="AO9" i="2"/>
  <c r="AO10" i="2" s="1"/>
  <c r="AO16" i="2" s="1"/>
  <c r="AO20" i="2" s="1"/>
  <c r="AO21" i="2" s="1"/>
  <c r="AN21" i="2"/>
  <c r="X38" i="2"/>
  <c r="X23" i="2"/>
  <c r="X25" i="2" s="1"/>
  <c r="AN30" i="2"/>
  <c r="D37" i="2"/>
  <c r="D23" i="2"/>
  <c r="D25" i="2" s="1"/>
  <c r="H32" i="2"/>
  <c r="F23" i="2"/>
  <c r="F25" i="2" s="1"/>
  <c r="J32" i="2"/>
  <c r="G23" i="2"/>
  <c r="G33" i="2" s="1"/>
  <c r="G32" i="2"/>
  <c r="K32" i="2"/>
  <c r="L32" i="2"/>
  <c r="L37" i="2"/>
  <c r="M23" i="2"/>
  <c r="M25" i="2" s="1"/>
  <c r="N32" i="2"/>
  <c r="N23" i="2"/>
  <c r="N25" i="2" s="1"/>
  <c r="S32" i="2"/>
  <c r="O20" i="2"/>
  <c r="O38" i="2" s="1"/>
  <c r="S23" i="2"/>
  <c r="S25" i="2" s="1"/>
  <c r="P37" i="2"/>
  <c r="P32" i="2"/>
  <c r="X32" i="2"/>
  <c r="AM29" i="2"/>
  <c r="Q23" i="2"/>
  <c r="U33" i="2" s="1"/>
  <c r="Q38" i="2"/>
  <c r="U38" i="2"/>
  <c r="U25" i="2"/>
  <c r="AM31" i="2"/>
  <c r="V37" i="2"/>
  <c r="O32" i="2"/>
  <c r="T23" i="2"/>
  <c r="T37" i="2"/>
  <c r="R32" i="2"/>
  <c r="R37" i="2"/>
  <c r="AI25" i="2"/>
  <c r="AM36" i="2"/>
  <c r="AN36" i="2"/>
  <c r="AJ32" i="2"/>
  <c r="AK32" i="2"/>
  <c r="AJ37" i="2"/>
  <c r="H25" i="2"/>
  <c r="H33" i="2"/>
  <c r="AN31" i="2"/>
  <c r="J25" i="2"/>
  <c r="K25" i="2"/>
  <c r="AJ38" i="2"/>
  <c r="I25" i="2"/>
  <c r="I35" i="2" s="1"/>
  <c r="I33" i="2"/>
  <c r="AN29" i="2"/>
  <c r="AN28" i="2"/>
  <c r="AO24" i="2"/>
  <c r="AN34" i="2"/>
  <c r="K33" i="2" l="1"/>
  <c r="W23" i="2"/>
  <c r="R38" i="2"/>
  <c r="J33" i="2"/>
  <c r="G25" i="2"/>
  <c r="G35" i="2" s="1"/>
  <c r="Y33" i="2"/>
  <c r="Y35" i="2"/>
  <c r="AO30" i="2"/>
  <c r="AQ7" i="2"/>
  <c r="AQ9" i="2" s="1"/>
  <c r="AQ10" i="2" s="1"/>
  <c r="AP9" i="2"/>
  <c r="AP10" i="2" s="1"/>
  <c r="AM38" i="2"/>
  <c r="AM23" i="2"/>
  <c r="AM25" i="2" s="1"/>
  <c r="H35" i="2"/>
  <c r="J35" i="2"/>
  <c r="L33" i="2"/>
  <c r="L25" i="2"/>
  <c r="L35" i="2" s="1"/>
  <c r="AK38" i="2"/>
  <c r="M33" i="2"/>
  <c r="AK37" i="2"/>
  <c r="N33" i="2"/>
  <c r="O23" i="2"/>
  <c r="S33" i="2" s="1"/>
  <c r="P25" i="2"/>
  <c r="Q25" i="2"/>
  <c r="U35" i="2" s="1"/>
  <c r="Q33" i="2"/>
  <c r="V23" i="2"/>
  <c r="V38" i="2"/>
  <c r="AI38" i="2"/>
  <c r="T25" i="2"/>
  <c r="X35" i="2" s="1"/>
  <c r="X33" i="2"/>
  <c r="T33" i="2"/>
  <c r="AN32" i="2"/>
  <c r="AM37" i="2"/>
  <c r="AO36" i="2"/>
  <c r="N35" i="2"/>
  <c r="AO28" i="2"/>
  <c r="AO31" i="2"/>
  <c r="AJ25" i="2"/>
  <c r="AJ35" i="2" s="1"/>
  <c r="AJ33" i="2"/>
  <c r="M35" i="2"/>
  <c r="AK25" i="2"/>
  <c r="AK33" i="2"/>
  <c r="AO29" i="2"/>
  <c r="AL32" i="2"/>
  <c r="AL37" i="2"/>
  <c r="AM32" i="2"/>
  <c r="AP28" i="2"/>
  <c r="AP24" i="2"/>
  <c r="AO34" i="2"/>
  <c r="R33" i="2"/>
  <c r="R25" i="2"/>
  <c r="O33" i="2" l="1"/>
  <c r="Q35" i="2"/>
  <c r="K35" i="2"/>
  <c r="O25" i="2"/>
  <c r="S35" i="2" s="1"/>
  <c r="W33" i="2"/>
  <c r="W25" i="2"/>
  <c r="W35" i="2" s="1"/>
  <c r="AP16" i="2"/>
  <c r="AP20" i="2" s="1"/>
  <c r="AP21" i="2" s="1"/>
  <c r="AP30" i="2"/>
  <c r="AQ16" i="2"/>
  <c r="AQ20" i="2" s="1"/>
  <c r="AQ21" i="2" s="1"/>
  <c r="AQ30" i="2"/>
  <c r="P35" i="2"/>
  <c r="AK35" i="2"/>
  <c r="V25" i="2"/>
  <c r="Z35" i="2" s="1"/>
  <c r="Z33" i="2"/>
  <c r="V33" i="2"/>
  <c r="T35" i="2"/>
  <c r="AN37" i="2"/>
  <c r="AO37" i="2"/>
  <c r="R35" i="2"/>
  <c r="AP31" i="2"/>
  <c r="AQ31" i="2"/>
  <c r="AQ29" i="2"/>
  <c r="AP29" i="2"/>
  <c r="AM33" i="2"/>
  <c r="AL35" i="2"/>
  <c r="AL33" i="2"/>
  <c r="AL38" i="2"/>
  <c r="AQ24" i="2"/>
  <c r="AQ34" i="2" s="1"/>
  <c r="AP34" i="2"/>
  <c r="V35" i="2" l="1"/>
  <c r="O35" i="2"/>
  <c r="C9" i="3"/>
  <c r="C11" i="3" s="1"/>
  <c r="C18" i="3" s="1"/>
  <c r="AP37" i="2"/>
  <c r="AN38" i="2"/>
  <c r="AN23" i="2"/>
  <c r="AN25" i="2" s="1"/>
  <c r="AN35" i="2" s="1"/>
  <c r="AO32" i="2"/>
  <c r="AP32" i="2"/>
  <c r="AQ36" i="2"/>
  <c r="AQ28" i="2"/>
  <c r="AP36" i="2"/>
  <c r="AM35" i="2"/>
  <c r="AU29" i="2" l="1"/>
  <c r="AP38" i="2"/>
  <c r="AP23" i="2"/>
  <c r="AO38" i="2"/>
  <c r="AO23" i="2"/>
  <c r="AN33" i="2"/>
  <c r="AP33" i="2" l="1"/>
  <c r="AP25" i="2"/>
  <c r="AO33" i="2"/>
  <c r="AO25" i="2"/>
  <c r="AO35" i="2" s="1"/>
  <c r="AQ37" i="2"/>
  <c r="AQ32" i="2"/>
  <c r="AQ38" i="2" l="1"/>
  <c r="AQ23" i="2"/>
  <c r="AR23" i="2" s="1"/>
  <c r="AS23" i="2" s="1"/>
  <c r="AT23" i="2" s="1"/>
  <c r="AU23" i="2" s="1"/>
  <c r="AV23" i="2" s="1"/>
  <c r="AW23" i="2" s="1"/>
  <c r="AX23" i="2" s="1"/>
  <c r="AY23" i="2" s="1"/>
  <c r="AZ23" i="2" s="1"/>
  <c r="BA23" i="2" s="1"/>
  <c r="BB23" i="2" s="1"/>
  <c r="BC23" i="2" s="1"/>
  <c r="BD23" i="2" s="1"/>
  <c r="BE23" i="2" s="1"/>
  <c r="BF23" i="2" s="1"/>
  <c r="BG23" i="2" s="1"/>
  <c r="BH23" i="2" s="1"/>
  <c r="BI23" i="2" s="1"/>
  <c r="BJ23" i="2" s="1"/>
  <c r="BK23" i="2" s="1"/>
  <c r="BL23" i="2" s="1"/>
  <c r="BM23" i="2" s="1"/>
  <c r="BN23" i="2" s="1"/>
  <c r="BO23" i="2" s="1"/>
  <c r="BP23" i="2" s="1"/>
  <c r="BQ23" i="2" s="1"/>
  <c r="BR23" i="2" s="1"/>
  <c r="BS23" i="2" s="1"/>
  <c r="BT23" i="2" s="1"/>
  <c r="BU23" i="2" s="1"/>
  <c r="BV23" i="2" s="1"/>
  <c r="BW23" i="2" s="1"/>
  <c r="BX23" i="2" s="1"/>
  <c r="BY23" i="2" s="1"/>
  <c r="BZ23" i="2" s="1"/>
  <c r="CA23" i="2" s="1"/>
  <c r="CB23" i="2" s="1"/>
  <c r="CC23" i="2" s="1"/>
  <c r="CD23" i="2" s="1"/>
  <c r="CE23" i="2" s="1"/>
  <c r="CF23" i="2" s="1"/>
  <c r="CG23" i="2" s="1"/>
  <c r="CH23" i="2" s="1"/>
  <c r="CI23" i="2" s="1"/>
  <c r="CJ23" i="2" s="1"/>
  <c r="CK23" i="2" s="1"/>
  <c r="CL23" i="2" s="1"/>
  <c r="CM23" i="2" s="1"/>
  <c r="CN23" i="2" s="1"/>
  <c r="CO23" i="2" s="1"/>
  <c r="CP23" i="2" s="1"/>
  <c r="CQ23" i="2" s="1"/>
  <c r="CR23" i="2" s="1"/>
  <c r="CS23" i="2" s="1"/>
  <c r="CT23" i="2" s="1"/>
  <c r="CU23" i="2" s="1"/>
  <c r="CV23" i="2" s="1"/>
  <c r="CW23" i="2" s="1"/>
  <c r="CX23" i="2" s="1"/>
  <c r="CY23" i="2" s="1"/>
  <c r="CZ23" i="2" s="1"/>
  <c r="DA23" i="2" s="1"/>
  <c r="DB23" i="2" s="1"/>
  <c r="DC23" i="2" s="1"/>
  <c r="DD23" i="2" s="1"/>
  <c r="DE23" i="2" s="1"/>
  <c r="DF23" i="2" s="1"/>
  <c r="DG23" i="2" s="1"/>
  <c r="DH23" i="2" s="1"/>
  <c r="DI23" i="2" s="1"/>
  <c r="DJ23" i="2" s="1"/>
  <c r="DK23" i="2" s="1"/>
  <c r="DL23" i="2" s="1"/>
  <c r="DM23" i="2" s="1"/>
  <c r="DN23" i="2" s="1"/>
  <c r="DO23" i="2" s="1"/>
  <c r="DP23" i="2" s="1"/>
  <c r="DQ23" i="2" s="1"/>
  <c r="DR23" i="2" s="1"/>
  <c r="DS23" i="2" s="1"/>
  <c r="DT23" i="2" s="1"/>
  <c r="DU23" i="2" s="1"/>
  <c r="DV23" i="2" s="1"/>
  <c r="DW23" i="2" s="1"/>
  <c r="DX23" i="2" s="1"/>
  <c r="DY23" i="2" s="1"/>
  <c r="DZ23" i="2" s="1"/>
  <c r="EA23" i="2" s="1"/>
  <c r="EB23" i="2" s="1"/>
  <c r="EC23" i="2" s="1"/>
  <c r="ED23" i="2" s="1"/>
  <c r="EE23" i="2" s="1"/>
  <c r="EF23" i="2" s="1"/>
  <c r="EG23" i="2" s="1"/>
  <c r="EH23" i="2" s="1"/>
  <c r="EI23" i="2" s="1"/>
  <c r="EJ23" i="2" s="1"/>
  <c r="EK23" i="2" s="1"/>
  <c r="EL23" i="2" s="1"/>
  <c r="EM23" i="2" s="1"/>
  <c r="EN23" i="2" s="1"/>
  <c r="EO23" i="2" s="1"/>
  <c r="EP23" i="2" s="1"/>
  <c r="EQ23" i="2" s="1"/>
  <c r="ER23" i="2" s="1"/>
  <c r="ES23" i="2" s="1"/>
  <c r="ET23" i="2" s="1"/>
  <c r="EU23" i="2" s="1"/>
  <c r="EV23" i="2" s="1"/>
  <c r="EW23" i="2" s="1"/>
  <c r="EX23" i="2" s="1"/>
  <c r="EY23" i="2" s="1"/>
  <c r="EZ23" i="2" s="1"/>
  <c r="FA23" i="2" s="1"/>
  <c r="FB23" i="2" s="1"/>
  <c r="FC23" i="2" s="1"/>
  <c r="FD23" i="2" s="1"/>
  <c r="FE23" i="2" s="1"/>
  <c r="FF23" i="2" s="1"/>
  <c r="FG23" i="2" s="1"/>
  <c r="FH23" i="2" s="1"/>
  <c r="FI23" i="2" s="1"/>
  <c r="FJ23" i="2" s="1"/>
  <c r="FK23" i="2" s="1"/>
  <c r="FL23" i="2" s="1"/>
  <c r="FM23" i="2" s="1"/>
  <c r="FN23" i="2" s="1"/>
  <c r="FO23" i="2" s="1"/>
  <c r="FP23" i="2" s="1"/>
  <c r="FQ23" i="2" s="1"/>
  <c r="FR23" i="2" s="1"/>
  <c r="FS23" i="2" s="1"/>
  <c r="FT23" i="2" s="1"/>
  <c r="FU23" i="2" s="1"/>
  <c r="FV23" i="2" s="1"/>
  <c r="FW23" i="2" s="1"/>
  <c r="FX23" i="2" s="1"/>
  <c r="FY23" i="2" s="1"/>
  <c r="FZ23" i="2" s="1"/>
  <c r="GA23" i="2" s="1"/>
  <c r="GB23" i="2" s="1"/>
  <c r="GC23" i="2" s="1"/>
  <c r="GD23" i="2" s="1"/>
  <c r="GE23" i="2" s="1"/>
  <c r="GF23" i="2" s="1"/>
  <c r="GG23" i="2" s="1"/>
  <c r="GH23" i="2" s="1"/>
  <c r="GI23" i="2" s="1"/>
  <c r="GJ23" i="2" s="1"/>
  <c r="GK23" i="2" s="1"/>
  <c r="GL23" i="2" s="1"/>
  <c r="GM23" i="2" s="1"/>
  <c r="GN23" i="2" s="1"/>
  <c r="GO23" i="2" s="1"/>
  <c r="GP23" i="2" s="1"/>
  <c r="GQ23" i="2" s="1"/>
  <c r="GR23" i="2" s="1"/>
  <c r="GS23" i="2" s="1"/>
  <c r="GT23" i="2" s="1"/>
  <c r="GU23" i="2" s="1"/>
  <c r="GV23" i="2" s="1"/>
  <c r="GW23" i="2" s="1"/>
  <c r="GX23" i="2" s="1"/>
  <c r="GY23" i="2" s="1"/>
  <c r="GZ23" i="2" s="1"/>
  <c r="HA23" i="2" s="1"/>
  <c r="HB23" i="2" s="1"/>
  <c r="HC23" i="2" s="1"/>
  <c r="HD23" i="2" s="1"/>
  <c r="HE23" i="2" s="1"/>
  <c r="HF23" i="2" s="1"/>
  <c r="HG23" i="2" s="1"/>
  <c r="HH23" i="2" s="1"/>
  <c r="HI23" i="2" s="1"/>
  <c r="HJ23" i="2" s="1"/>
  <c r="HK23" i="2" s="1"/>
  <c r="HL23" i="2" s="1"/>
  <c r="HM23" i="2" s="1"/>
  <c r="HN23" i="2" s="1"/>
  <c r="HO23" i="2" s="1"/>
  <c r="AP35" i="2"/>
  <c r="AU30" i="2" l="1"/>
  <c r="AU32" i="2" s="1"/>
  <c r="AU33" i="2" s="1"/>
  <c r="AQ33" i="2"/>
  <c r="AQ25" i="2"/>
  <c r="AQ35" i="2" s="1"/>
  <c r="AU35"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tc={BE551BAA-7C2D-4E29-83A0-5FE2A0F19D08}</author>
  </authors>
  <commentList>
    <comment ref="B8" authorId="0" shapeId="0" xr:uid="{BE551BAA-7C2D-4E29-83A0-5FE2A0F19D08}">
      <text>
        <t>[Threaded comment]
Your version of Excel allows you to read this threaded comment; however, any edits to it will get removed if the file is opened in a newer version of Excel. Learn more: https://go.microsoft.com/fwlink/?linkid=870924
Comment:
    Asset based credit facilities + LT debt</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<sst xmlns="http://schemas.openxmlformats.org/spreadsheetml/2006/main" count="95" uniqueCount="89">
  <si>
    <t>Company</t>
  </si>
  <si>
    <t>Source</t>
  </si>
  <si>
    <t>Price</t>
  </si>
  <si>
    <t>Shares</t>
  </si>
  <si>
    <t>4Q20</t>
  </si>
  <si>
    <t>Market Cap</t>
  </si>
  <si>
    <t>Cash</t>
  </si>
  <si>
    <t>Debt</t>
  </si>
  <si>
    <t>EV</t>
  </si>
  <si>
    <t>3Q20</t>
  </si>
  <si>
    <t>COGS</t>
  </si>
  <si>
    <t>Gross Profit</t>
  </si>
  <si>
    <t>R&amp;D</t>
  </si>
  <si>
    <t>Opex</t>
  </si>
  <si>
    <t>Operating Income</t>
  </si>
  <si>
    <t>Pretax Income</t>
  </si>
  <si>
    <t>Taxes</t>
  </si>
  <si>
    <t>Income to NCI</t>
  </si>
  <si>
    <t>Net Income</t>
  </si>
  <si>
    <t>EPS</t>
  </si>
  <si>
    <t>1Q17</t>
  </si>
  <si>
    <t>2Q17</t>
  </si>
  <si>
    <t>3Q17</t>
  </si>
  <si>
    <t>4Q17</t>
  </si>
  <si>
    <t>1Q18</t>
  </si>
  <si>
    <t>2Q18</t>
  </si>
  <si>
    <t>3Q18</t>
  </si>
  <si>
    <t>4Q18</t>
  </si>
  <si>
    <t>1Q19</t>
  </si>
  <si>
    <t>2Q19</t>
  </si>
  <si>
    <t>3Q19</t>
  </si>
  <si>
    <t>4Q19</t>
  </si>
  <si>
    <t>1Q20</t>
  </si>
  <si>
    <t>2Q20</t>
  </si>
  <si>
    <t>Revenue Y/Y</t>
  </si>
  <si>
    <t>COGS Y/Y</t>
  </si>
  <si>
    <t>Opex Y/Y</t>
  </si>
  <si>
    <t>OI Y/Y</t>
  </si>
  <si>
    <t>NI Y/Y</t>
  </si>
  <si>
    <t>Shares Y/Y</t>
  </si>
  <si>
    <t>EPS Y/Y</t>
  </si>
  <si>
    <t>GM</t>
  </si>
  <si>
    <t xml:space="preserve">OM </t>
  </si>
  <si>
    <t>Maturity Value</t>
  </si>
  <si>
    <t>Discount Rate</t>
  </si>
  <si>
    <t>NPV</t>
  </si>
  <si>
    <t>Net Cash</t>
  </si>
  <si>
    <t>Total Value</t>
  </si>
  <si>
    <t>Per Share</t>
  </si>
  <si>
    <t>Current</t>
  </si>
  <si>
    <t>Difference</t>
  </si>
  <si>
    <t>Equity</t>
  </si>
  <si>
    <t>D+E</t>
  </si>
  <si>
    <t>Wdebt</t>
  </si>
  <si>
    <t>Wequity</t>
  </si>
  <si>
    <t>Tax rate</t>
  </si>
  <si>
    <t>Interest expense</t>
  </si>
  <si>
    <t>Cost of debt</t>
  </si>
  <si>
    <t>Risk-free rate</t>
  </si>
  <si>
    <t>Beta</t>
  </si>
  <si>
    <t>Market return</t>
  </si>
  <si>
    <t xml:space="preserve">average </t>
  </si>
  <si>
    <t>Cost of equity</t>
  </si>
  <si>
    <t>WACC</t>
  </si>
  <si>
    <t>average</t>
  </si>
  <si>
    <t>1Q22</t>
  </si>
  <si>
    <t>1Q21</t>
  </si>
  <si>
    <t>2Q21</t>
  </si>
  <si>
    <t>3Q21</t>
  </si>
  <si>
    <t>4Q21</t>
  </si>
  <si>
    <t>2Q22</t>
  </si>
  <si>
    <t>3Q22</t>
  </si>
  <si>
    <t>4Q22</t>
  </si>
  <si>
    <t>Cost of Products</t>
  </si>
  <si>
    <t>Cost of Services (ex. D&amp;A)</t>
  </si>
  <si>
    <t>Venue Expenses</t>
  </si>
  <si>
    <t>SG&amp;A</t>
  </si>
  <si>
    <t>Venue Pre-Opening Expenses</t>
  </si>
  <si>
    <t>Interest Expense</t>
  </si>
  <si>
    <t>Gain on Topgolf Investment</t>
  </si>
  <si>
    <t>Other Income</t>
  </si>
  <si>
    <t>GP Y/Y</t>
  </si>
  <si>
    <t>10K21</t>
  </si>
  <si>
    <t>Topgolf Revenue</t>
  </si>
  <si>
    <t>Golf Equipment Revenue</t>
  </si>
  <si>
    <t>Total Net Revenue</t>
  </si>
  <si>
    <t>Active Lifestyle (Apparel, Gear, &amp; Other) Revenue</t>
  </si>
  <si>
    <t>5yr tbond</t>
  </si>
  <si>
    <t>koyfin 9/5/22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</si>
</sst>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5" formatCode="#,##0.000"/>
  </numFmts>
  <fonts count="8"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Calibri"/>
      <family val="2"/>
      <scheme val="minor"/>
    </font>
    <font>
      <sz val="8"/>
      <name val="Calibri"/>
      <family val="2"/>
      <scheme val="minor"/>
    </font>
    <font>
      <b/>
      <sz val="11"/>
      <color theme="1"/>
      <name val="Arial"/>
      <family val="2"/>
    </font>
    <font>
      <sz val="9"/>
      <color indexed="81"/>
      <name val="Tahoma"/>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4" fillId="0" borderId="0" applyFont="0" applyFill="0" applyBorder="0" applyAlignment="0" applyProtection="0"/>
  </cellStyleXfs>
  <cellXfs count="25">
    <xf numFmtId="0" fontId="0" fillId="0" borderId="0" xfId="0"/>
    <xf numFmtId="0" fontId="3" fillId="0" borderId="0" xfId="0" applyFont="1"/>
    <xf numFmtId="3" fontId="3" fillId="0" borderId="0" xfId="0" applyNumberFormat="1" applyFont="1"/>
    <xf numFmtId="10" fontId="3" fillId="0" borderId="0" xfId="0" applyNumberFormat="1" applyFont="1"/>
    <xf numFmtId="9" fontId="3" fillId="0" borderId="0" xfId="0" applyNumberFormat="1" applyFont="1"/>
    <xf numFmtId="0" fontId="6" fillId="0" borderId="0" xfId="0" applyFont="1"/>
    <xf numFmtId="3" fontId="6" fillId="0" borderId="0" xfId="0" applyNumberFormat="1" applyFont="1"/>
    <xf numFmtId="4" fontId="3" fillId="0" borderId="0" xfId="0" applyNumberFormat="1" applyFont="1"/>
    <xf numFmtId="10" fontId="3" fillId="0" borderId="0" xfId="1" applyNumberFormat="1"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164" fontId="3" fillId="0" borderId="0" xfId="0" applyNumberFormat="1" applyFont="1" applyAlignment="1">
      <alignment horizontal="right"/>
    </xf>
    <xf numFmtId="0" fontId="3" fillId="0" borderId="1" xfId="0" applyFont="1" applyBorder="1" applyAlignment="1">
      <alignment horizontal="right"/>
    </xf>
    <xf numFmtId="3" fontId="3" fillId="0" borderId="0" xfId="0" applyNumberFormat="1" applyFont="1" applyAlignment="1">
      <alignment horizontal="right"/>
    </xf>
    <xf numFmtId="0" fontId="3" fillId="0" borderId="4" xfId="0" applyFont="1" applyBorder="1" applyAlignment="1">
      <alignment horizontal="right"/>
    </xf>
    <xf numFmtId="0" fontId="3" fillId="0" borderId="5" xfId="0" applyFont="1" applyBorder="1"/>
    <xf numFmtId="3" fontId="3" fillId="0" borderId="6" xfId="0" applyNumberFormat="1" applyFont="1" applyBorder="1" applyAlignment="1">
      <alignment horizontal="right"/>
    </xf>
    <xf numFmtId="0" fontId="3" fillId="0" borderId="5" xfId="0" applyFont="1" applyBorder="1" applyAlignment="1">
      <alignment horizontal="right"/>
    </xf>
    <xf numFmtId="165" fontId="3" fillId="0" borderId="0" xfId="0" applyNumberFormat="1" applyFont="1"/>
    <xf numFmtId="0" fontId="2" fillId="0" borderId="0" xfId="0" applyFont="1"/>
    <xf numFmtId="3" fontId="2" fillId="0" borderId="0" xfId="0" applyNumberFormat="1" applyFont="1"/>
    <xf numFmtId="0" fontId="1" fillId="0" borderId="4" xfId="0" applyFont="1" applyBorder="1" applyAlignment="1">
      <alignment horizontal="right"/>
    </xf>
    <xf numFmtId="0" fontId="1" fillId="0" borderId="0" xfId="0" applyFont="1"/>
  </cellXfs>
  <cellStyles count="2">
    <cellStyle name="Normal" xfId="0" builtinId="0"/>
    <cellStyle name="Percent" xfId="1" builtinId="5"/>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microsoft.com/office/2017/10/relationships/person" Target="persons/perso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24</xdr:col>
      <xdr:colOff>76200</xdr:colOff>
      <xdr:row>0</xdr:row>
      <xdr:rowOff>66675</xdr:rowOff>
    </xdr:from>
    <xdr:to>
      <xdr:col>24</xdr:col>
      <xdr:colOff>76200</xdr:colOff>
      <xdr:row>40</xdr:row>
      <xdr:rowOff>85725</xdr:rowOff>
    </xdr:to>
    <xdr:cxnSp macro="">
      <xdr:nvCxnSpPr>
        <xdr:cNvPr id="3" name="Straight Connector 2">
          <a:extLst>
            <a:ext uri="{FF2B5EF4-FFF2-40B4-BE49-F238E27FC236}">
              <a16:creationId xmlns:a16="http://schemas.microsoft.com/office/drawing/2014/main" id="{51DD9EDA-CDDF-417A-AE27-179B3CD93388}"/>
            </a:ext>
          </a:extLst>
        </xdr:cNvPr>
        <xdr:cNvCxnSpPr/>
      </xdr:nvCxnSpPr>
      <xdr:spPr>
        <a:xfrm>
          <a:off x="16611600" y="66675"/>
          <a:ext cx="0" cy="71342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85725</xdr:colOff>
      <xdr:row>0</xdr:row>
      <xdr:rowOff>47625</xdr:rowOff>
    </xdr:from>
    <xdr:to>
      <xdr:col>39</xdr:col>
      <xdr:colOff>85725</xdr:colOff>
      <xdr:row>39</xdr:row>
      <xdr:rowOff>76200</xdr:rowOff>
    </xdr:to>
    <xdr:cxnSp macro="">
      <xdr:nvCxnSpPr>
        <xdr:cNvPr id="4" name="Straight Connector 3">
          <a:extLst>
            <a:ext uri="{FF2B5EF4-FFF2-40B4-BE49-F238E27FC236}">
              <a16:creationId xmlns:a16="http://schemas.microsoft.com/office/drawing/2014/main" id="{446D7629-C1AE-43A6-A3D8-F64E5001C972}"/>
            </a:ext>
          </a:extLst>
        </xdr:cNvPr>
        <xdr:cNvCxnSpPr/>
      </xdr:nvCxnSpPr>
      <xdr:spPr>
        <a:xfrm>
          <a:off x="25908000" y="47625"/>
          <a:ext cx="0" cy="69627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00%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Bond Yields"/>
      <sheetName val="Companies"/>
    </sheetNames>
    <sheetDataSet>
      <sheetData sheetId="0">
        <row r="7">
          <cell r="C7">
            <v>3.3000000000000002E-2</v>
          </cell>
        </row>
      </sheetData>
      <sheetData sheetId="1"/>
    </sheetDataSet>
  </externalBook>
</externalLink>
</file>

<file path=xl/persons/person.xml><?xml version="1.0" encoding="utf-8"?>
<personList xmlns="http://schemas.microsoft.com/office/spreadsheetml/2018/threadedcomments" xmlns:x="http://schemas.openxmlformats.org/spreadsheetml/2006/main">
  <person displayName="William Sheldon" id="{3E3EB82C-B77A-4569-A941-50D6C4832BE8}" userId="667679d5bb2810d2" providerId="Windows Live"/>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https://www.bing.com/financeapi/forcetrigger?t=a1rvk2&amp;q=XNYS%3aELY&amp;form=skydnc</v>
    <v>Learn more on Bing</v>
  </rv>
  <rv s="1">
    <v>en-US</v>
    <v>a1rvk2</v>
    <v>268435456</v>
    <v>1</v>
    <v>Powered by Refinitiv</v>
    <v>0</v>
    <v>CALLAWAY GOLF COMPANY (XNYS:ELY)</v>
    <v>2</v>
    <v>3</v>
    <v>Finance</v>
    <v>4</v>
    <v>31.68</v>
    <v>17.78</v>
    <v>1.7548999999999999</v>
    <v>-0.17</v>
    <v>-1.8678999999999998E-2</v>
    <v>-7.685E-3</v>
    <v>-0.41</v>
    <v>USD</v>
    <v>Callaway Golf Company is focused on designing, manufacturing, and selling a range of golf equipment. Its segments include Topgolf, Golf Equipment and Apparel, Gear and Other. Topgolf is a technology-enabled golf entertainment business with platform comprised of its open-air golf and entertainment venues, revolutionary Toptracer ball-tracking technology and digital media platform. Its other business lines include the Toptracer Range ball tracking technology and digital media. Golf Equipment designs its golf products to be technologically advanced for golfers of all skill levels, both amateur and professional, and are generally. Its Golf clubs include woods and irons sold under the Callaway brand, and putters sold under the Odyssey brand, including Toulon Design by Odyssey. Apparel, Gear and Other segment designs, develops and sells soft goods products under the Callaway, TravisMathew, OGIO and Jack Wolfskin brands.</v>
    <v>24800</v>
    <v>New York Stock Exchange</v>
    <v>XNYS</v>
    <v>XNYS</v>
    <v>2180 RUTHERFORD RD, CARLSBAD, CA, 92008-7328 US</v>
    <v>22.83</v>
    <v>Leisure Products</v>
    <v>Stock</v>
    <v>44806.958333344533</v>
    <v>0</v>
    <v>21.81</v>
    <v>4055711000</v>
    <v>CALLAWAY GOLF COMPANY</v>
    <v>CALLAWAY GOLF COMPANY</v>
    <v>22.54</v>
    <v>29.616099999999999</v>
    <v>22.12</v>
    <v>21.95</v>
    <v>21.54</v>
    <v>184770400</v>
    <v>ELY</v>
    <v>CALLAWAY GOLF COMPANY (XNYS:ELY)</v>
    <v>1498929</v>
    <v>1633162</v>
    <v>1999</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4" formatCode="#,##0.00"/>
    </x:dxf>
    <x:dxf>
      <x:numFmt numFmtId="3" formatCode="#,##0"/>
    </x:dxf>
    <x:dxf>
      <x:numFmt numFmtId="14" formatCode="0.00%"/>
    </x:dxf>
    <x:dxf>
      <x:numFmt numFmtId="27" formatCode="m/d/yyyy\ h:mm"/>
    </x:dxf>
    <x:dxf>
      <x:numFmt numFmtId="1" formatCode="0"/>
    </x:dxf>
    <x:dxf>
      <x:numFmt numFmtId="2" formatCode="0.00"/>
    </x:dxf>
    <x:dxf>
      <x:numFmt numFmtId="0" formatCode="General"/>
    </x:dxf>
  </dxfs>
  <richProperties>
    <rPr n="NumberFormat" t="s"/>
    <rPr n="IsTitleField" t="b"/>
  </richProperties>
  <richStyles>
    <rSty dxfid="6">
      <rpv i="0">_([$$-en-US]* #,##0.00_);_([$$-en-US]* (#,##0.00);_([$$-en-US]* "-"??_);_(@_)</rpv>
    </rSty>
    <rSty dxfid="0">
      <rpv i="0">#,##0.00</rpv>
    </rSty>
    <rSty>
      <rpv i="1">1</rpv>
    </rSty>
    <rSty dxfid="1">
      <rpv i="0">#,##0</rpv>
    </rSty>
    <rSty dxfid="2"/>
    <rSty dxfid="6">
      <rpv i="0">_([$$-en-US]* #,##0_);_([$$-en-US]* (#,##0);_([$$-en-US]* "-"_);_(@_)</rpv>
    </rSty>
    <rSty dxfid="3"/>
    <rSty dxfid="4">
      <rpv i="0">0</rpv>
    </rSty>
    <rSty dxfid="5">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8" dT="2022-09-05T14:10:44.67" personId="{3E3EB82C-B77A-4569-A941-50D6C4832BE8}" id="{BE551BAA-7C2D-4E29-83A0-5FE2A0F19D08}">
    <text>Asset based credit facilities + LT debt</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4AA5F-693F-48F9-85DD-F4292931EE9A}">
  <dimension ref="B3:D9"/>
  <sheetViews>
    <sheetView workbookViewId="0">
      <selection activeCell="C9" sqref="C9"/>
    </sheetView>
  </sheetViews>
  <sheetFormatPr defaultRowHeight="14.25" x14ac:dyDescent="0.2"/>
  <cols>
    <col min="1" max="1" width="9.140625" style="1"/>
    <col min="2" max="2" width="11.5703125" style="1" bestFit="1" customWidth="1"/>
    <col min="3" max="3" width="44.5703125" style="1" bestFit="1" customWidth="1"/>
    <col min="4" max="4" width="7.7109375" style="1" bestFit="1" customWidth="1"/>
    <col min="5" max="16384" width="9.140625" style="1"/>
  </cols>
  <sheetData>
    <row r="3" spans="2:4" x14ac:dyDescent="0.2">
      <c r="B3" s="9" t="s">
        <v>0</v>
      </c>
      <c r="C3" s="10" t="e" vm="1">
        <v>#VALUE!</v>
      </c>
      <c r="D3" s="11" t="s">
        <v>1</v>
      </c>
    </row>
    <row r="4" spans="2:4" x14ac:dyDescent="0.2">
      <c r="B4" s="12" t="s">
        <v>2</v>
      </c>
      <c r="C4" s="13" cm="1">
        <f t="array" ref="C4">_FV(C3,"Price")</f>
        <v>21.95</v>
      </c>
      <c r="D4" s="14"/>
    </row>
    <row r="5" spans="2:4" x14ac:dyDescent="0.2">
      <c r="B5" s="12" t="s">
        <v>3</v>
      </c>
      <c r="C5" s="15">
        <v>200.6</v>
      </c>
      <c r="D5" s="23" t="s">
        <v>70</v>
      </c>
    </row>
    <row r="6" spans="2:4" x14ac:dyDescent="0.2">
      <c r="B6" s="12" t="s">
        <v>5</v>
      </c>
      <c r="C6" s="15">
        <f>C5*C4</f>
        <v>4403.17</v>
      </c>
      <c r="D6" s="16"/>
    </row>
    <row r="7" spans="2:4" x14ac:dyDescent="0.2">
      <c r="B7" s="12" t="s">
        <v>6</v>
      </c>
      <c r="C7" s="15">
        <v>178.3</v>
      </c>
      <c r="D7" s="23" t="s">
        <v>70</v>
      </c>
    </row>
    <row r="8" spans="2:4" x14ac:dyDescent="0.2">
      <c r="B8" s="12" t="s">
        <v>7</v>
      </c>
      <c r="C8" s="15">
        <f>98.9+1067.4</f>
        <v>1166.3000000000002</v>
      </c>
      <c r="D8" s="23" t="s">
        <v>70</v>
      </c>
    </row>
    <row r="9" spans="2:4" x14ac:dyDescent="0.2">
      <c r="B9" s="17" t="s">
        <v>8</v>
      </c>
      <c r="C9" s="18">
        <f>C6-C7+C8</f>
        <v>5391.17</v>
      </c>
      <c r="D9" s="19"/>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5D28D-5CAC-4B65-ADBF-6788EFCE7B5F}">
  <dimension ref="A1:HO38"/>
  <sheetViews>
    <sheetView tabSelected="1" workbookViewId="0">
      <pane xSplit="2" ySplit="2" topLeftCell="AB3" activePane="bottomRight" state="frozen"/>
      <selection pane="topRight" activeCell="C1" sqref="C1"/>
      <selection pane="bottomLeft" activeCell="A3" sqref="A3"/>
      <selection pane="bottomRight" activeCell="AW33" sqref="AW33"/>
    </sheetView>
  </sheetViews>
  <sheetFormatPr defaultRowHeight="14.25" x14ac:dyDescent="0.2"/>
  <cols>
    <col min="1" max="1" width="9.140625" style="1"/>
    <col min="2" max="2" width="47.42578125" style="1" bestFit="1" customWidth="1"/>
    <col min="3" max="45" width="9.28515625" style="2" customWidth="1"/>
    <col min="46" max="46" width="14.42578125" style="2" bestFit="1" customWidth="1"/>
    <col min="47" max="47" width="9.85546875" style="2" bestFit="1" customWidth="1"/>
    <col min="48" max="229" width="9.28515625" style="2" customWidth="1"/>
    <col min="230" max="16384" width="9.140625" style="2"/>
  </cols>
  <sheetData>
    <row r="1" spans="1:43" s="1" customFormat="1" x14ac:dyDescent="0.2"/>
    <row r="2" spans="1:43" s="1" customFormat="1" x14ac:dyDescent="0.2">
      <c r="C2" s="1" t="s">
        <v>20</v>
      </c>
      <c r="D2" s="1" t="s">
        <v>21</v>
      </c>
      <c r="E2" s="1" t="s">
        <v>22</v>
      </c>
      <c r="F2" s="1" t="s">
        <v>23</v>
      </c>
      <c r="G2" s="1" t="s">
        <v>24</v>
      </c>
      <c r="H2" s="1" t="s">
        <v>25</v>
      </c>
      <c r="I2" s="1" t="s">
        <v>26</v>
      </c>
      <c r="J2" s="1" t="s">
        <v>27</v>
      </c>
      <c r="K2" s="1" t="s">
        <v>28</v>
      </c>
      <c r="L2" s="1" t="s">
        <v>29</v>
      </c>
      <c r="M2" s="1" t="s">
        <v>30</v>
      </c>
      <c r="N2" s="1" t="s">
        <v>31</v>
      </c>
      <c r="O2" s="1" t="s">
        <v>32</v>
      </c>
      <c r="P2" s="1" t="s">
        <v>33</v>
      </c>
      <c r="Q2" s="1" t="s">
        <v>9</v>
      </c>
      <c r="R2" s="1" t="s">
        <v>4</v>
      </c>
      <c r="S2" s="1" t="s">
        <v>66</v>
      </c>
      <c r="T2" s="1" t="s">
        <v>67</v>
      </c>
      <c r="U2" s="1" t="s">
        <v>68</v>
      </c>
      <c r="V2" s="1" t="s">
        <v>69</v>
      </c>
      <c r="W2" s="1" t="s">
        <v>65</v>
      </c>
      <c r="X2" s="1" t="s">
        <v>70</v>
      </c>
      <c r="Y2" s="1" t="s">
        <v>71</v>
      </c>
      <c r="Z2" s="1" t="s">
        <v>72</v>
      </c>
      <c r="AI2" s="1">
        <v>2017</v>
      </c>
      <c r="AJ2" s="1">
        <v>2018</v>
      </c>
      <c r="AK2" s="1">
        <v>2019</v>
      </c>
      <c r="AL2" s="1">
        <v>2020</v>
      </c>
      <c r="AM2" s="1">
        <v>2021</v>
      </c>
      <c r="AN2" s="1">
        <v>2022</v>
      </c>
      <c r="AO2" s="1">
        <v>2023</v>
      </c>
      <c r="AP2" s="1">
        <v>2024</v>
      </c>
      <c r="AQ2" s="1">
        <v>2025</v>
      </c>
    </row>
    <row r="3" spans="1:43" x14ac:dyDescent="0.2">
      <c r="B3" s="24" t="s">
        <v>83</v>
      </c>
      <c r="C3" s="2">
        <v>0</v>
      </c>
      <c r="D3" s="2">
        <v>0</v>
      </c>
      <c r="E3" s="2">
        <v>0</v>
      </c>
      <c r="F3" s="2">
        <v>0</v>
      </c>
      <c r="G3" s="2">
        <v>0</v>
      </c>
      <c r="H3" s="2">
        <v>0</v>
      </c>
      <c r="I3" s="2">
        <v>0</v>
      </c>
      <c r="J3" s="2">
        <v>0</v>
      </c>
      <c r="K3" s="2">
        <v>0</v>
      </c>
      <c r="L3" s="2">
        <v>0</v>
      </c>
      <c r="M3" s="2">
        <v>0</v>
      </c>
      <c r="N3" s="2">
        <v>0</v>
      </c>
      <c r="O3" s="2">
        <v>0</v>
      </c>
      <c r="P3" s="2">
        <v>0</v>
      </c>
      <c r="Q3" s="2">
        <v>0</v>
      </c>
      <c r="R3" s="2">
        <v>0</v>
      </c>
      <c r="S3" s="2">
        <v>92.6</v>
      </c>
      <c r="T3" s="2">
        <v>325.39999999999998</v>
      </c>
      <c r="U3" s="2">
        <v>333.78300000000002</v>
      </c>
      <c r="V3" s="2">
        <v>335.798</v>
      </c>
      <c r="W3" s="2">
        <v>322</v>
      </c>
      <c r="X3" s="2">
        <v>403.7</v>
      </c>
      <c r="Y3" s="2">
        <f>U3*1.15</f>
        <v>383.85044999999997</v>
      </c>
      <c r="Z3" s="2">
        <f t="shared" ref="Z3:Z5" si="0">V3*1.15</f>
        <v>386.16769999999997</v>
      </c>
      <c r="AI3" s="2">
        <f>SUM(C3:F3)</f>
        <v>0</v>
      </c>
      <c r="AJ3" s="2">
        <f>SUM(G3:J3)</f>
        <v>0</v>
      </c>
      <c r="AK3" s="2">
        <f>SUM(K3:N3)</f>
        <v>0</v>
      </c>
      <c r="AL3" s="2">
        <f>SUM(O3:R3)</f>
        <v>0</v>
      </c>
      <c r="AM3" s="2">
        <f>SUM(S3:V3)</f>
        <v>1087.5810000000001</v>
      </c>
      <c r="AN3" s="2">
        <f>SUM(W3:Z3)</f>
        <v>1495.7181499999999</v>
      </c>
    </row>
    <row r="4" spans="1:43" x14ac:dyDescent="0.2">
      <c r="B4" s="24" t="s">
        <v>84</v>
      </c>
      <c r="C4" s="2">
        <f>193.591+48.224</f>
        <v>241.815</v>
      </c>
      <c r="D4" s="2">
        <f>196.291+48.767</f>
        <v>245.05799999999999</v>
      </c>
      <c r="E4" s="2">
        <f>146.113+39.071</f>
        <v>185.184</v>
      </c>
      <c r="F4" s="2">
        <f>107.101+26.484</f>
        <v>133.58500000000001</v>
      </c>
      <c r="G4" s="2">
        <v>312.363</v>
      </c>
      <c r="H4" s="2">
        <v>298.68400000000003</v>
      </c>
      <c r="I4" s="2">
        <v>187.05699999999999</v>
      </c>
      <c r="J4" s="2">
        <v>114.843</v>
      </c>
      <c r="K4" s="2">
        <v>323.61900000000003</v>
      </c>
      <c r="L4" s="2">
        <v>292.35300000000001</v>
      </c>
      <c r="M4" s="2">
        <v>210.50200000000001</v>
      </c>
      <c r="N4" s="2">
        <v>152.69900000000001</v>
      </c>
      <c r="O4" s="2">
        <v>323.61900000000003</v>
      </c>
      <c r="P4" s="2">
        <v>209.94300000000001</v>
      </c>
      <c r="Q4" s="2">
        <v>267.27699999999999</v>
      </c>
      <c r="R4" s="2">
        <v>213.79400000000001</v>
      </c>
      <c r="S4" s="2">
        <v>376.9</v>
      </c>
      <c r="T4" s="2">
        <v>401.3</v>
      </c>
      <c r="U4" s="2">
        <v>289.61500000000001</v>
      </c>
      <c r="V4" s="2">
        <v>161.41900000000001</v>
      </c>
      <c r="W4" s="2">
        <v>468</v>
      </c>
      <c r="X4" s="2">
        <v>451.9</v>
      </c>
      <c r="Y4" s="2">
        <f t="shared" ref="Y4:Y5" si="1">U4*1.15</f>
        <v>333.05725000000001</v>
      </c>
      <c r="Z4" s="2">
        <f t="shared" si="0"/>
        <v>185.63184999999999</v>
      </c>
      <c r="AI4" s="2">
        <f t="shared" ref="AI4:AI5" si="2">SUM(C4:F4)</f>
        <v>805.64200000000005</v>
      </c>
      <c r="AJ4" s="2">
        <f t="shared" ref="AJ4:AJ5" si="3">SUM(G4:J4)</f>
        <v>912.947</v>
      </c>
      <c r="AK4" s="2">
        <f t="shared" ref="AK4:AK5" si="4">SUM(K4:N4)</f>
        <v>979.173</v>
      </c>
      <c r="AL4" s="2">
        <f t="shared" ref="AL4:AL5" si="5">SUM(O4:R4)</f>
        <v>1014.6329999999999</v>
      </c>
      <c r="AM4" s="2">
        <f t="shared" ref="AM4:AM5" si="6">SUM(S4:V4)</f>
        <v>1229.2340000000002</v>
      </c>
      <c r="AN4" s="2">
        <f t="shared" ref="AN4:AN5" si="7">SUM(W4:Z4)</f>
        <v>1438.5890999999999</v>
      </c>
    </row>
    <row r="5" spans="1:43" x14ac:dyDescent="0.2">
      <c r="B5" s="24" t="s">
        <v>86</v>
      </c>
      <c r="C5" s="2">
        <v>67.111999999999995</v>
      </c>
      <c r="D5" s="2">
        <v>59.49</v>
      </c>
      <c r="E5" s="2">
        <v>58.42</v>
      </c>
      <c r="F5" s="2">
        <v>58.072000000000003</v>
      </c>
      <c r="G5" s="2">
        <v>90.828000000000003</v>
      </c>
      <c r="H5" s="2">
        <v>97.626999999999995</v>
      </c>
      <c r="I5" s="2">
        <v>75.596999999999994</v>
      </c>
      <c r="J5" s="2">
        <v>65.834999999999994</v>
      </c>
      <c r="K5" s="2">
        <v>192.578</v>
      </c>
      <c r="L5" s="2">
        <v>154.35499999999999</v>
      </c>
      <c r="M5" s="2">
        <v>215.715</v>
      </c>
      <c r="N5" s="2">
        <v>159.24199999999999</v>
      </c>
      <c r="O5" s="2">
        <v>192.578</v>
      </c>
      <c r="P5" s="2">
        <v>87.052999999999997</v>
      </c>
      <c r="Q5" s="2">
        <v>208.28200000000001</v>
      </c>
      <c r="R5" s="2">
        <v>160.83500000000001</v>
      </c>
      <c r="S5" s="2">
        <v>182.1</v>
      </c>
      <c r="T5" s="2">
        <v>186.9</v>
      </c>
      <c r="U5" s="2">
        <v>233.06299999999999</v>
      </c>
      <c r="V5" s="2">
        <v>214.50700000000001</v>
      </c>
      <c r="W5" s="2">
        <v>250.2</v>
      </c>
      <c r="X5" s="2">
        <v>260.10000000000002</v>
      </c>
      <c r="Y5" s="2">
        <f t="shared" si="1"/>
        <v>268.02244999999999</v>
      </c>
      <c r="Z5" s="2">
        <f t="shared" si="0"/>
        <v>246.68304999999998</v>
      </c>
      <c r="AI5" s="2">
        <f t="shared" si="2"/>
        <v>243.09399999999999</v>
      </c>
      <c r="AJ5" s="2">
        <f t="shared" si="3"/>
        <v>329.88699999999994</v>
      </c>
      <c r="AK5" s="2">
        <f t="shared" si="4"/>
        <v>721.89</v>
      </c>
      <c r="AL5" s="2">
        <f t="shared" si="5"/>
        <v>648.74800000000005</v>
      </c>
      <c r="AM5" s="2">
        <f t="shared" si="6"/>
        <v>816.56999999999994</v>
      </c>
      <c r="AN5" s="2">
        <f t="shared" si="7"/>
        <v>1025.0055</v>
      </c>
    </row>
    <row r="6" spans="1:43" s="6" customFormat="1" ht="15" x14ac:dyDescent="0.25">
      <c r="A6" s="5"/>
      <c r="B6" s="5" t="s">
        <v>85</v>
      </c>
      <c r="C6" s="6">
        <f t="shared" ref="C6:W6" si="8">C3+C4+C5</f>
        <v>308.92700000000002</v>
      </c>
      <c r="D6" s="6">
        <f t="shared" si="8"/>
        <v>304.548</v>
      </c>
      <c r="E6" s="6">
        <f t="shared" si="8"/>
        <v>243.60399999999998</v>
      </c>
      <c r="F6" s="6">
        <f t="shared" si="8"/>
        <v>191.65700000000001</v>
      </c>
      <c r="G6" s="6">
        <f t="shared" si="8"/>
        <v>403.19100000000003</v>
      </c>
      <c r="H6" s="6">
        <f t="shared" si="8"/>
        <v>396.31100000000004</v>
      </c>
      <c r="I6" s="6">
        <f t="shared" si="8"/>
        <v>262.654</v>
      </c>
      <c r="J6" s="6">
        <f t="shared" si="8"/>
        <v>180.678</v>
      </c>
      <c r="K6" s="6">
        <f t="shared" si="8"/>
        <v>516.197</v>
      </c>
      <c r="L6" s="6">
        <f t="shared" si="8"/>
        <v>446.70799999999997</v>
      </c>
      <c r="M6" s="6">
        <f t="shared" si="8"/>
        <v>426.21699999999998</v>
      </c>
      <c r="N6" s="6">
        <f t="shared" si="8"/>
        <v>311.94100000000003</v>
      </c>
      <c r="O6" s="6">
        <f t="shared" si="8"/>
        <v>516.197</v>
      </c>
      <c r="P6" s="6">
        <f t="shared" si="8"/>
        <v>296.99599999999998</v>
      </c>
      <c r="Q6" s="6">
        <f t="shared" si="8"/>
        <v>475.55899999999997</v>
      </c>
      <c r="R6" s="6">
        <f t="shared" si="8"/>
        <v>374.62900000000002</v>
      </c>
      <c r="S6" s="6">
        <f t="shared" si="8"/>
        <v>651.6</v>
      </c>
      <c r="T6" s="6">
        <f t="shared" si="8"/>
        <v>913.6</v>
      </c>
      <c r="U6" s="6">
        <f t="shared" si="8"/>
        <v>856.46100000000001</v>
      </c>
      <c r="V6" s="6">
        <f t="shared" si="8"/>
        <v>711.72399999999993</v>
      </c>
      <c r="W6" s="6">
        <f t="shared" si="8"/>
        <v>1040.2</v>
      </c>
      <c r="X6" s="6">
        <f>X3+X4+X5</f>
        <v>1115.6999999999998</v>
      </c>
      <c r="Y6" s="6">
        <f t="shared" ref="Y6:Z6" si="9">Y3+Y4+Y5</f>
        <v>984.93014999999991</v>
      </c>
      <c r="Z6" s="6">
        <f t="shared" si="9"/>
        <v>818.48259999999993</v>
      </c>
      <c r="AI6" s="6">
        <f t="shared" ref="AI6:AQ6" si="10">AI3+AI4+AI5</f>
        <v>1048.7360000000001</v>
      </c>
      <c r="AJ6" s="6">
        <f t="shared" si="10"/>
        <v>1242.8339999999998</v>
      </c>
      <c r="AK6" s="6">
        <f t="shared" si="10"/>
        <v>1701.0630000000001</v>
      </c>
      <c r="AL6" s="6">
        <f t="shared" si="10"/>
        <v>1663.3809999999999</v>
      </c>
      <c r="AM6" s="6">
        <f t="shared" si="10"/>
        <v>3133.3850000000002</v>
      </c>
      <c r="AN6" s="6">
        <f t="shared" si="10"/>
        <v>3959.3127500000001</v>
      </c>
      <c r="AO6" s="6">
        <f>AN6*1.2</f>
        <v>4751.1752999999999</v>
      </c>
      <c r="AP6" s="6">
        <f>AO6*1.1</f>
        <v>5226.2928300000003</v>
      </c>
      <c r="AQ6" s="6">
        <f>AP6*1.1</f>
        <v>5748.9221130000005</v>
      </c>
    </row>
    <row r="7" spans="1:43" s="22" customFormat="1" x14ac:dyDescent="0.2">
      <c r="A7" s="21"/>
      <c r="B7" s="21" t="s">
        <v>73</v>
      </c>
      <c r="C7" s="22">
        <v>161.21199999999999</v>
      </c>
      <c r="D7" s="22">
        <v>156.38300000000001</v>
      </c>
      <c r="E7" s="22">
        <v>138.702</v>
      </c>
      <c r="F7" s="22">
        <v>111.991</v>
      </c>
      <c r="G7" s="22">
        <v>202.72900000000001</v>
      </c>
      <c r="H7" s="22">
        <v>203.614</v>
      </c>
      <c r="I7" s="22">
        <v>147.41499999999999</v>
      </c>
      <c r="J7" s="22">
        <v>110.70699999999999</v>
      </c>
      <c r="K7" s="22">
        <v>277.76400000000001</v>
      </c>
      <c r="L7" s="22">
        <v>239.89099999999999</v>
      </c>
      <c r="M7" s="22">
        <v>234.828</v>
      </c>
      <c r="N7" s="22">
        <v>181.79300000000001</v>
      </c>
      <c r="O7" s="22">
        <v>246.602</v>
      </c>
      <c r="P7" s="22">
        <v>174.941</v>
      </c>
      <c r="Q7" s="22">
        <v>274.82600000000002</v>
      </c>
      <c r="R7" s="22">
        <v>235.506</v>
      </c>
      <c r="S7" s="22">
        <v>310.63</v>
      </c>
      <c r="T7" s="22">
        <v>315.00799999999998</v>
      </c>
      <c r="U7" s="22">
        <v>288.36399999999998</v>
      </c>
      <c r="V7" s="22">
        <v>222.624</v>
      </c>
      <c r="W7" s="22">
        <v>411.8</v>
      </c>
      <c r="X7" s="22">
        <v>400</v>
      </c>
      <c r="Y7" s="22">
        <f t="shared" ref="Y7:Y8" si="11">U7*1.1</f>
        <v>317.2004</v>
      </c>
      <c r="Z7" s="22">
        <f t="shared" ref="Z7:Z8" si="12">V7*1.1</f>
        <v>244.88640000000001</v>
      </c>
      <c r="AI7" s="2">
        <f t="shared" ref="AI7:AI8" si="13">SUM(C7:F7)</f>
        <v>568.28800000000001</v>
      </c>
      <c r="AJ7" s="2">
        <f t="shared" ref="AJ7:AJ8" si="14">SUM(G7:J7)</f>
        <v>664.46500000000003</v>
      </c>
      <c r="AK7" s="2">
        <f t="shared" ref="AK7:AK8" si="15">SUM(K7:N7)</f>
        <v>934.27599999999995</v>
      </c>
      <c r="AL7" s="2">
        <f t="shared" ref="AL7:AL8" si="16">SUM(O7:R7)</f>
        <v>931.875</v>
      </c>
      <c r="AM7" s="2">
        <f t="shared" ref="AM7:AM8" si="17">SUM(S7:V7)</f>
        <v>1136.626</v>
      </c>
      <c r="AN7" s="2">
        <f>SUM(W7:Z7)</f>
        <v>1373.8868</v>
      </c>
      <c r="AO7" s="22">
        <f t="shared" ref="AO7:AQ7" si="18">AN7*1.1</f>
        <v>1511.27548</v>
      </c>
      <c r="AP7" s="22">
        <f t="shared" si="18"/>
        <v>1662.4030280000002</v>
      </c>
      <c r="AQ7" s="22">
        <f t="shared" si="18"/>
        <v>1828.6433308000003</v>
      </c>
    </row>
    <row r="8" spans="1:43" s="22" customFormat="1" x14ac:dyDescent="0.2">
      <c r="A8" s="21"/>
      <c r="B8" s="21" t="s">
        <v>74</v>
      </c>
      <c r="C8" s="22">
        <v>0</v>
      </c>
      <c r="D8" s="22">
        <v>0</v>
      </c>
      <c r="E8" s="22">
        <v>0</v>
      </c>
      <c r="F8" s="22">
        <v>0</v>
      </c>
      <c r="G8" s="22">
        <v>0</v>
      </c>
      <c r="H8" s="22">
        <v>0</v>
      </c>
      <c r="I8" s="22">
        <v>0</v>
      </c>
      <c r="J8" s="22">
        <v>0</v>
      </c>
      <c r="K8" s="22">
        <v>0</v>
      </c>
      <c r="L8" s="22">
        <v>0</v>
      </c>
      <c r="M8" s="22">
        <v>0</v>
      </c>
      <c r="N8" s="22">
        <v>0</v>
      </c>
      <c r="O8" s="22">
        <v>0</v>
      </c>
      <c r="P8" s="22">
        <v>0</v>
      </c>
      <c r="Q8" s="22">
        <v>0</v>
      </c>
      <c r="R8" s="22">
        <v>0</v>
      </c>
      <c r="S8" s="22">
        <v>10.984999999999999</v>
      </c>
      <c r="T8" s="22">
        <v>42.786000000000001</v>
      </c>
      <c r="U8" s="22">
        <v>40.07</v>
      </c>
      <c r="V8" s="22">
        <v>39.668999999999997</v>
      </c>
      <c r="W8" s="22">
        <v>39</v>
      </c>
      <c r="X8" s="22">
        <v>49.1</v>
      </c>
      <c r="Y8" s="22">
        <f t="shared" si="11"/>
        <v>44.077000000000005</v>
      </c>
      <c r="Z8" s="22">
        <f t="shared" si="12"/>
        <v>43.635899999999999</v>
      </c>
      <c r="AI8" s="2">
        <f t="shared" si="13"/>
        <v>0</v>
      </c>
      <c r="AJ8" s="2">
        <f t="shared" si="14"/>
        <v>0</v>
      </c>
      <c r="AK8" s="2">
        <f t="shared" si="15"/>
        <v>0</v>
      </c>
      <c r="AL8" s="2">
        <f t="shared" si="16"/>
        <v>0</v>
      </c>
      <c r="AM8" s="2">
        <f t="shared" si="17"/>
        <v>133.51</v>
      </c>
      <c r="AN8" s="2">
        <f>SUM(W8:Z8)</f>
        <v>175.81289999999998</v>
      </c>
      <c r="AO8" s="22">
        <f t="shared" ref="AO8:AQ8" si="19">AN8*1.1</f>
        <v>193.39419000000001</v>
      </c>
      <c r="AP8" s="22">
        <f t="shared" si="19"/>
        <v>212.73360900000003</v>
      </c>
      <c r="AQ8" s="22">
        <f t="shared" si="19"/>
        <v>234.00696990000006</v>
      </c>
    </row>
    <row r="9" spans="1:43" s="6" customFormat="1" ht="15" x14ac:dyDescent="0.25">
      <c r="A9" s="5"/>
      <c r="B9" s="5" t="s">
        <v>10</v>
      </c>
      <c r="C9" s="6">
        <f t="shared" ref="C9:Q9" si="20">C7+C8</f>
        <v>161.21199999999999</v>
      </c>
      <c r="D9" s="6">
        <f t="shared" si="20"/>
        <v>156.38300000000001</v>
      </c>
      <c r="E9" s="6">
        <f t="shared" si="20"/>
        <v>138.702</v>
      </c>
      <c r="F9" s="6">
        <f t="shared" si="20"/>
        <v>111.991</v>
      </c>
      <c r="G9" s="6">
        <f t="shared" si="20"/>
        <v>202.72900000000001</v>
      </c>
      <c r="H9" s="6">
        <f t="shared" si="20"/>
        <v>203.614</v>
      </c>
      <c r="I9" s="6">
        <f t="shared" si="20"/>
        <v>147.41499999999999</v>
      </c>
      <c r="J9" s="6">
        <f t="shared" si="20"/>
        <v>110.70699999999999</v>
      </c>
      <c r="K9" s="6">
        <f t="shared" si="20"/>
        <v>277.76400000000001</v>
      </c>
      <c r="L9" s="6">
        <f t="shared" si="20"/>
        <v>239.89099999999999</v>
      </c>
      <c r="M9" s="6">
        <f t="shared" si="20"/>
        <v>234.828</v>
      </c>
      <c r="N9" s="6">
        <f t="shared" si="20"/>
        <v>181.79300000000001</v>
      </c>
      <c r="O9" s="6">
        <f t="shared" si="20"/>
        <v>246.602</v>
      </c>
      <c r="P9" s="6">
        <f t="shared" si="20"/>
        <v>174.941</v>
      </c>
      <c r="Q9" s="6">
        <f t="shared" si="20"/>
        <v>274.82600000000002</v>
      </c>
      <c r="R9" s="6">
        <f>R7+R8</f>
        <v>235.506</v>
      </c>
      <c r="S9" s="6">
        <f t="shared" ref="S9:Z9" si="21">S7+S8</f>
        <v>321.61500000000001</v>
      </c>
      <c r="T9" s="6">
        <f t="shared" si="21"/>
        <v>357.79399999999998</v>
      </c>
      <c r="U9" s="6">
        <f t="shared" si="21"/>
        <v>328.43399999999997</v>
      </c>
      <c r="V9" s="6">
        <f t="shared" si="21"/>
        <v>262.29300000000001</v>
      </c>
      <c r="W9" s="6">
        <f t="shared" si="21"/>
        <v>450.8</v>
      </c>
      <c r="X9" s="6">
        <f t="shared" si="21"/>
        <v>449.1</v>
      </c>
      <c r="Y9" s="6">
        <f t="shared" si="21"/>
        <v>361.2774</v>
      </c>
      <c r="Z9" s="6">
        <f t="shared" si="21"/>
        <v>288.52230000000003</v>
      </c>
      <c r="AI9" s="6">
        <f t="shared" ref="AI9" si="22">AI7+AI8</f>
        <v>568.28800000000001</v>
      </c>
      <c r="AJ9" s="6">
        <f t="shared" ref="AJ9" si="23">AJ7+AJ8</f>
        <v>664.46500000000003</v>
      </c>
      <c r="AK9" s="6">
        <f t="shared" ref="AK9" si="24">AK7+AK8</f>
        <v>934.27599999999995</v>
      </c>
      <c r="AL9" s="6">
        <f t="shared" ref="AL9" si="25">AL7+AL8</f>
        <v>931.875</v>
      </c>
      <c r="AM9" s="6">
        <f t="shared" ref="AM9" si="26">AM7+AM8</f>
        <v>1270.136</v>
      </c>
      <c r="AN9" s="6">
        <f>AN7+AN8</f>
        <v>1549.6996999999999</v>
      </c>
      <c r="AO9" s="6">
        <f t="shared" ref="AO9" si="27">AO7+AO8</f>
        <v>1704.66967</v>
      </c>
      <c r="AP9" s="6">
        <f t="shared" ref="AP9" si="28">AP7+AP8</f>
        <v>1875.1366370000003</v>
      </c>
      <c r="AQ9" s="6">
        <f t="shared" ref="AQ9" si="29">AQ7+AQ8</f>
        <v>2062.6503007000001</v>
      </c>
    </row>
    <row r="10" spans="1:43" s="6" customFormat="1" ht="15" x14ac:dyDescent="0.25">
      <c r="A10" s="5"/>
      <c r="B10" s="5" t="s">
        <v>11</v>
      </c>
      <c r="C10" s="6">
        <f t="shared" ref="C10:Q10" si="30">+C6-C9</f>
        <v>147.71500000000003</v>
      </c>
      <c r="D10" s="6">
        <f t="shared" si="30"/>
        <v>148.16499999999999</v>
      </c>
      <c r="E10" s="6">
        <f t="shared" si="30"/>
        <v>104.90199999999999</v>
      </c>
      <c r="F10" s="6">
        <f t="shared" si="30"/>
        <v>79.666000000000011</v>
      </c>
      <c r="G10" s="6">
        <f t="shared" si="30"/>
        <v>200.46200000000002</v>
      </c>
      <c r="H10" s="6">
        <f t="shared" si="30"/>
        <v>192.69700000000003</v>
      </c>
      <c r="I10" s="6">
        <f t="shared" si="30"/>
        <v>115.239</v>
      </c>
      <c r="J10" s="6">
        <f t="shared" si="30"/>
        <v>69.971000000000004</v>
      </c>
      <c r="K10" s="6">
        <f t="shared" si="30"/>
        <v>238.43299999999999</v>
      </c>
      <c r="L10" s="6">
        <f t="shared" si="30"/>
        <v>206.81699999999998</v>
      </c>
      <c r="M10" s="6">
        <f t="shared" si="30"/>
        <v>191.38899999999998</v>
      </c>
      <c r="N10" s="6">
        <f t="shared" si="30"/>
        <v>130.14800000000002</v>
      </c>
      <c r="O10" s="6">
        <f t="shared" si="30"/>
        <v>269.59500000000003</v>
      </c>
      <c r="P10" s="6">
        <f t="shared" si="30"/>
        <v>122.05499999999998</v>
      </c>
      <c r="Q10" s="6">
        <f t="shared" si="30"/>
        <v>200.73299999999995</v>
      </c>
      <c r="R10" s="6">
        <f>+R6-R9</f>
        <v>139.12300000000002</v>
      </c>
      <c r="S10" s="6">
        <f t="shared" ref="S10:Z10" si="31">+S6-S9</f>
        <v>329.98500000000001</v>
      </c>
      <c r="T10" s="6">
        <f t="shared" si="31"/>
        <v>555.80600000000004</v>
      </c>
      <c r="U10" s="6">
        <f t="shared" si="31"/>
        <v>528.02700000000004</v>
      </c>
      <c r="V10" s="6">
        <f t="shared" si="31"/>
        <v>449.43099999999993</v>
      </c>
      <c r="W10" s="6">
        <f t="shared" si="31"/>
        <v>589.40000000000009</v>
      </c>
      <c r="X10" s="6">
        <f t="shared" si="31"/>
        <v>666.5999999999998</v>
      </c>
      <c r="Y10" s="6">
        <f t="shared" si="31"/>
        <v>623.65274999999997</v>
      </c>
      <c r="Z10" s="6">
        <f t="shared" si="31"/>
        <v>529.96029999999996</v>
      </c>
      <c r="AI10" s="6">
        <f t="shared" ref="AI10" si="32">+AI6-AI9</f>
        <v>480.44800000000009</v>
      </c>
      <c r="AJ10" s="6">
        <f t="shared" ref="AJ10" si="33">+AJ6-AJ9</f>
        <v>578.3689999999998</v>
      </c>
      <c r="AK10" s="6">
        <f t="shared" ref="AK10" si="34">+AK6-AK9</f>
        <v>766.78700000000015</v>
      </c>
      <c r="AL10" s="6">
        <f t="shared" ref="AL10" si="35">+AL6-AL9</f>
        <v>731.50599999999986</v>
      </c>
      <c r="AM10" s="6">
        <f t="shared" ref="AM10" si="36">+AM6-AM9</f>
        <v>1863.2490000000003</v>
      </c>
      <c r="AN10" s="6">
        <f>+AN6-AN9</f>
        <v>2409.6130499999999</v>
      </c>
      <c r="AO10" s="6">
        <f t="shared" ref="AO10" si="37">+AO6-AO9</f>
        <v>3046.5056299999997</v>
      </c>
      <c r="AP10" s="6">
        <f t="shared" ref="AP10" si="38">+AP6-AP9</f>
        <v>3351.1561929999998</v>
      </c>
      <c r="AQ10" s="6">
        <f t="shared" ref="AQ10" si="39">+AQ6-AQ9</f>
        <v>3686.2718123000004</v>
      </c>
    </row>
    <row r="11" spans="1:43" s="22" customFormat="1" x14ac:dyDescent="0.2">
      <c r="A11" s="21"/>
      <c r="B11" s="21" t="s">
        <v>75</v>
      </c>
      <c r="C11" s="22">
        <v>0</v>
      </c>
      <c r="D11" s="22">
        <v>0</v>
      </c>
      <c r="E11" s="22">
        <v>0</v>
      </c>
      <c r="F11" s="22">
        <v>0</v>
      </c>
      <c r="G11" s="22">
        <v>0</v>
      </c>
      <c r="H11" s="22">
        <v>0</v>
      </c>
      <c r="I11" s="22">
        <v>0</v>
      </c>
      <c r="J11" s="22">
        <v>0</v>
      </c>
      <c r="K11" s="22">
        <v>0</v>
      </c>
      <c r="L11" s="22">
        <v>0</v>
      </c>
      <c r="M11" s="22">
        <v>0</v>
      </c>
      <c r="N11" s="22">
        <v>0</v>
      </c>
      <c r="O11" s="22">
        <v>0</v>
      </c>
      <c r="P11" s="22">
        <v>0</v>
      </c>
      <c r="Q11" s="22">
        <v>0</v>
      </c>
      <c r="R11" s="22">
        <v>0</v>
      </c>
      <c r="S11" s="22">
        <v>65.436999999999998</v>
      </c>
      <c r="T11" s="22">
        <v>202.339</v>
      </c>
      <c r="U11" s="22">
        <v>215.84100000000001</v>
      </c>
      <c r="V11" s="22">
        <v>247.93199999999999</v>
      </c>
      <c r="W11" s="22">
        <v>230.4</v>
      </c>
      <c r="X11" s="22">
        <v>262.2</v>
      </c>
      <c r="Y11" s="22">
        <f t="shared" ref="Y11:Y14" si="40">U11*1.05</f>
        <v>226.63305000000003</v>
      </c>
      <c r="Z11" s="22">
        <f t="shared" ref="Z11:Z14" si="41">V11*1.05</f>
        <v>260.32859999999999</v>
      </c>
      <c r="AI11" s="2">
        <f t="shared" ref="AI11:AI14" si="42">SUM(C11:F11)</f>
        <v>0</v>
      </c>
      <c r="AJ11" s="2">
        <f t="shared" ref="AJ11:AJ14" si="43">SUM(G11:J11)</f>
        <v>0</v>
      </c>
      <c r="AK11" s="2">
        <f t="shared" ref="AK11:AK14" si="44">SUM(K11:N11)</f>
        <v>0</v>
      </c>
      <c r="AL11" s="2">
        <f t="shared" ref="AL11:AL14" si="45">SUM(O11:R11)</f>
        <v>0</v>
      </c>
      <c r="AM11" s="2">
        <f t="shared" ref="AM11:AM14" si="46">SUM(S11:V11)</f>
        <v>731.54899999999998</v>
      </c>
      <c r="AN11" s="2">
        <f>SUM(W11:Z11)</f>
        <v>979.5616500000001</v>
      </c>
      <c r="AO11" s="22">
        <f t="shared" ref="AO11:AQ11" si="47">AN11*1.1</f>
        <v>1077.5178150000002</v>
      </c>
      <c r="AP11" s="22">
        <f t="shared" si="47"/>
        <v>1185.2695965000003</v>
      </c>
      <c r="AQ11" s="22">
        <f t="shared" si="47"/>
        <v>1303.7965561500005</v>
      </c>
    </row>
    <row r="12" spans="1:43" x14ac:dyDescent="0.2">
      <c r="B12" s="21" t="s">
        <v>76</v>
      </c>
      <c r="C12" s="2">
        <f>71.762+22.864</f>
        <v>94.626000000000005</v>
      </c>
      <c r="D12" s="2">
        <f>68.102+22.155</f>
        <v>90.257000000000005</v>
      </c>
      <c r="E12" s="2">
        <f>65.754+23.957</f>
        <v>89.711000000000013</v>
      </c>
      <c r="F12" s="2">
        <f>65.272+25.177</f>
        <v>90.449000000000012</v>
      </c>
      <c r="G12" s="2">
        <f>82.96+21.894</f>
        <v>104.85399999999998</v>
      </c>
      <c r="H12" s="2">
        <f>83.261+24.408</f>
        <v>107.669</v>
      </c>
      <c r="I12" s="2">
        <f>68.605+26.706</f>
        <v>95.311000000000007</v>
      </c>
      <c r="J12" s="2">
        <f>73.883+27.458</f>
        <v>101.34099999999999</v>
      </c>
      <c r="K12" s="2">
        <f>119.321+36.938</f>
        <v>156.25900000000001</v>
      </c>
      <c r="L12" s="2">
        <f>113.113+35.423</f>
        <v>148.536</v>
      </c>
      <c r="M12" s="2">
        <f>101.984+36.378</f>
        <v>138.36199999999999</v>
      </c>
      <c r="N12" s="2">
        <f>103.82+36.563</f>
        <v>140.38299999999998</v>
      </c>
      <c r="O12" s="2">
        <v>141.75399999999999</v>
      </c>
      <c r="P12" s="2">
        <v>115.215</v>
      </c>
      <c r="Q12" s="2">
        <v>127.08499999999999</v>
      </c>
      <c r="R12" s="2">
        <v>158.477</v>
      </c>
      <c r="S12" s="2">
        <v>173.88</v>
      </c>
      <c r="T12" s="2">
        <v>221.124</v>
      </c>
      <c r="U12" s="2">
        <v>217.73599999999999</v>
      </c>
      <c r="V12" s="2">
        <v>236.93100000000001</v>
      </c>
      <c r="W12" s="2">
        <v>243.1</v>
      </c>
      <c r="X12" s="22">
        <v>252.6</v>
      </c>
      <c r="Y12" s="22">
        <f t="shared" si="40"/>
        <v>228.62280000000001</v>
      </c>
      <c r="Z12" s="22">
        <f t="shared" si="41"/>
        <v>248.77755000000002</v>
      </c>
      <c r="AI12" s="2">
        <f t="shared" si="42"/>
        <v>365.04300000000006</v>
      </c>
      <c r="AJ12" s="2">
        <f t="shared" si="43"/>
        <v>409.17499999999995</v>
      </c>
      <c r="AK12" s="2">
        <f t="shared" si="44"/>
        <v>583.54</v>
      </c>
      <c r="AL12" s="2">
        <f t="shared" si="45"/>
        <v>542.53099999999995</v>
      </c>
      <c r="AM12" s="2">
        <f t="shared" si="46"/>
        <v>849.67100000000005</v>
      </c>
      <c r="AN12" s="2">
        <f>SUM(W12:Z12)</f>
        <v>973.10035000000005</v>
      </c>
      <c r="AO12" s="22">
        <f t="shared" ref="AO12:AQ12" si="48">AN12*1.1</f>
        <v>1070.4103850000001</v>
      </c>
      <c r="AP12" s="22">
        <f t="shared" si="48"/>
        <v>1177.4514235000001</v>
      </c>
      <c r="AQ12" s="22">
        <f t="shared" si="48"/>
        <v>1295.1965658500003</v>
      </c>
    </row>
    <row r="13" spans="1:43" x14ac:dyDescent="0.2">
      <c r="B13" s="1" t="s">
        <v>12</v>
      </c>
      <c r="C13" s="2">
        <v>8.8819999999999997</v>
      </c>
      <c r="D13" s="2">
        <v>8.8629999999999995</v>
      </c>
      <c r="E13" s="2">
        <v>9.1539999999999999</v>
      </c>
      <c r="F13" s="2">
        <v>9.6690000000000005</v>
      </c>
      <c r="G13" s="2">
        <v>9.6240000000000006</v>
      </c>
      <c r="H13" s="2">
        <v>10.708</v>
      </c>
      <c r="I13" s="2">
        <v>9.2289999999999992</v>
      </c>
      <c r="J13" s="2">
        <v>11.191000000000001</v>
      </c>
      <c r="K13" s="2">
        <v>12.538</v>
      </c>
      <c r="L13" s="2">
        <v>13.082000000000001</v>
      </c>
      <c r="M13" s="2">
        <v>12.538</v>
      </c>
      <c r="N13" s="2">
        <v>12.420999999999999</v>
      </c>
      <c r="O13" s="2">
        <v>13.24</v>
      </c>
      <c r="P13" s="2">
        <v>10.02</v>
      </c>
      <c r="Q13" s="2">
        <v>10.138999999999999</v>
      </c>
      <c r="R13" s="2">
        <v>12.901</v>
      </c>
      <c r="S13" s="2">
        <v>12.744999999999999</v>
      </c>
      <c r="T13" s="2">
        <v>20.271000000000001</v>
      </c>
      <c r="U13" s="2">
        <v>15.753</v>
      </c>
      <c r="V13" s="2">
        <v>19.231000000000002</v>
      </c>
      <c r="W13" s="2">
        <v>17.5</v>
      </c>
      <c r="X13" s="22">
        <v>18.7</v>
      </c>
      <c r="Y13" s="22">
        <f t="shared" si="40"/>
        <v>16.540649999999999</v>
      </c>
      <c r="Z13" s="22">
        <f t="shared" si="41"/>
        <v>20.192550000000004</v>
      </c>
      <c r="AI13" s="2">
        <f t="shared" si="42"/>
        <v>36.567999999999998</v>
      </c>
      <c r="AJ13" s="2">
        <f t="shared" si="43"/>
        <v>40.752000000000002</v>
      </c>
      <c r="AK13" s="2">
        <f t="shared" si="44"/>
        <v>50.579000000000001</v>
      </c>
      <c r="AL13" s="2">
        <f t="shared" si="45"/>
        <v>46.3</v>
      </c>
      <c r="AM13" s="2">
        <f t="shared" si="46"/>
        <v>68</v>
      </c>
      <c r="AN13" s="2">
        <f>SUM(W13:Z13)</f>
        <v>72.933199999999999</v>
      </c>
      <c r="AO13" s="22">
        <f t="shared" ref="AO13:AQ13" si="49">AN13*1.1</f>
        <v>80.226520000000008</v>
      </c>
      <c r="AP13" s="22">
        <f t="shared" si="49"/>
        <v>88.249172000000016</v>
      </c>
      <c r="AQ13" s="22">
        <f t="shared" si="49"/>
        <v>97.074089200000031</v>
      </c>
    </row>
    <row r="14" spans="1:43" x14ac:dyDescent="0.2">
      <c r="B14" s="21" t="s">
        <v>77</v>
      </c>
      <c r="C14" s="2">
        <v>0</v>
      </c>
      <c r="D14" s="2">
        <v>0</v>
      </c>
      <c r="E14" s="2">
        <v>0</v>
      </c>
      <c r="F14" s="2">
        <v>0</v>
      </c>
      <c r="G14" s="2">
        <v>0</v>
      </c>
      <c r="H14" s="2">
        <v>0</v>
      </c>
      <c r="I14" s="2">
        <v>0</v>
      </c>
      <c r="J14" s="2">
        <v>0</v>
      </c>
      <c r="K14" s="2">
        <v>0</v>
      </c>
      <c r="L14" s="2">
        <v>0</v>
      </c>
      <c r="M14" s="2">
        <v>0</v>
      </c>
      <c r="N14" s="2">
        <v>0</v>
      </c>
      <c r="O14" s="2">
        <v>0</v>
      </c>
      <c r="P14" s="2">
        <v>0</v>
      </c>
      <c r="Q14" s="2">
        <v>0</v>
      </c>
      <c r="R14" s="2">
        <v>0</v>
      </c>
      <c r="S14" s="2">
        <v>1.845</v>
      </c>
      <c r="T14" s="2">
        <v>4.8440000000000003</v>
      </c>
      <c r="U14" s="2">
        <v>2.6869999999999998</v>
      </c>
      <c r="V14" s="2">
        <v>0</v>
      </c>
      <c r="W14" s="2">
        <v>4.0999999999999996</v>
      </c>
      <c r="X14" s="22">
        <v>4.0999999999999996</v>
      </c>
      <c r="Y14" s="22">
        <f t="shared" si="40"/>
        <v>2.8213499999999998</v>
      </c>
      <c r="Z14" s="22">
        <f t="shared" si="41"/>
        <v>0</v>
      </c>
      <c r="AI14" s="2">
        <f t="shared" si="42"/>
        <v>0</v>
      </c>
      <c r="AJ14" s="2">
        <f t="shared" si="43"/>
        <v>0</v>
      </c>
      <c r="AK14" s="2">
        <f t="shared" si="44"/>
        <v>0</v>
      </c>
      <c r="AL14" s="2">
        <f t="shared" si="45"/>
        <v>0</v>
      </c>
      <c r="AM14" s="2">
        <f t="shared" si="46"/>
        <v>9.3759999999999994</v>
      </c>
      <c r="AN14" s="2">
        <f>SUM(W14:Z14)</f>
        <v>11.021349999999998</v>
      </c>
      <c r="AO14" s="22">
        <f t="shared" ref="AO14:AQ14" si="50">AN14*1.1</f>
        <v>12.123484999999999</v>
      </c>
      <c r="AP14" s="22">
        <f t="shared" si="50"/>
        <v>13.3358335</v>
      </c>
      <c r="AQ14" s="22">
        <f t="shared" si="50"/>
        <v>14.669416850000001</v>
      </c>
    </row>
    <row r="15" spans="1:43" s="6" customFormat="1" ht="15" x14ac:dyDescent="0.25">
      <c r="A15" s="5"/>
      <c r="B15" s="5" t="s">
        <v>13</v>
      </c>
      <c r="C15" s="6">
        <f t="shared" ref="C15:Q15" si="51">SUM(C11:C14)</f>
        <v>103.50800000000001</v>
      </c>
      <c r="D15" s="6">
        <f t="shared" si="51"/>
        <v>99.12</v>
      </c>
      <c r="E15" s="6">
        <f t="shared" si="51"/>
        <v>98.865000000000009</v>
      </c>
      <c r="F15" s="6">
        <f t="shared" si="51"/>
        <v>100.11800000000001</v>
      </c>
      <c r="G15" s="6">
        <f t="shared" si="51"/>
        <v>114.47799999999998</v>
      </c>
      <c r="H15" s="6">
        <f t="shared" si="51"/>
        <v>118.377</v>
      </c>
      <c r="I15" s="6">
        <f t="shared" si="51"/>
        <v>104.54</v>
      </c>
      <c r="J15" s="6">
        <f t="shared" si="51"/>
        <v>112.532</v>
      </c>
      <c r="K15" s="6">
        <f t="shared" si="51"/>
        <v>168.79700000000003</v>
      </c>
      <c r="L15" s="6">
        <f t="shared" si="51"/>
        <v>161.61799999999999</v>
      </c>
      <c r="M15" s="6">
        <f t="shared" si="51"/>
        <v>150.9</v>
      </c>
      <c r="N15" s="6">
        <f t="shared" si="51"/>
        <v>152.80399999999997</v>
      </c>
      <c r="O15" s="6">
        <f t="shared" si="51"/>
        <v>154.994</v>
      </c>
      <c r="P15" s="6">
        <f t="shared" si="51"/>
        <v>125.235</v>
      </c>
      <c r="Q15" s="6">
        <f t="shared" si="51"/>
        <v>137.22399999999999</v>
      </c>
      <c r="R15" s="6">
        <f>SUM(R11:R14)</f>
        <v>171.37800000000001</v>
      </c>
      <c r="S15" s="6">
        <f t="shared" ref="S15:Z15" si="52">SUM(S11:S14)</f>
        <v>253.90700000000001</v>
      </c>
      <c r="T15" s="6">
        <f t="shared" si="52"/>
        <v>448.57799999999997</v>
      </c>
      <c r="U15" s="6">
        <f t="shared" si="52"/>
        <v>452.017</v>
      </c>
      <c r="V15" s="6">
        <f t="shared" si="52"/>
        <v>504.09399999999999</v>
      </c>
      <c r="W15" s="6">
        <f t="shared" si="52"/>
        <v>495.1</v>
      </c>
      <c r="X15" s="6">
        <f t="shared" si="52"/>
        <v>537.6</v>
      </c>
      <c r="Y15" s="6">
        <f t="shared" si="52"/>
        <v>474.61785000000003</v>
      </c>
      <c r="Z15" s="6">
        <f t="shared" si="52"/>
        <v>529.29870000000005</v>
      </c>
      <c r="AI15" s="6">
        <f t="shared" ref="AI15" si="53">SUM(AI11:AI14)</f>
        <v>401.61100000000005</v>
      </c>
      <c r="AJ15" s="6">
        <f t="shared" ref="AJ15" si="54">SUM(AJ11:AJ14)</f>
        <v>449.92699999999996</v>
      </c>
      <c r="AK15" s="6">
        <f t="shared" ref="AK15" si="55">SUM(AK11:AK14)</f>
        <v>634.11899999999991</v>
      </c>
      <c r="AL15" s="6">
        <f t="shared" ref="AL15" si="56">SUM(AL11:AL14)</f>
        <v>588.8309999999999</v>
      </c>
      <c r="AM15" s="6">
        <f t="shared" ref="AM15" si="57">SUM(AM11:AM14)</f>
        <v>1658.596</v>
      </c>
      <c r="AN15" s="6">
        <f t="shared" ref="AN15" si="58">SUM(AN11:AN14)</f>
        <v>2036.6165500000002</v>
      </c>
      <c r="AO15" s="6">
        <f t="shared" ref="AO15" si="59">SUM(AO11:AO14)</f>
        <v>2240.2782050000005</v>
      </c>
      <c r="AP15" s="6">
        <f t="shared" ref="AP15" si="60">SUM(AP11:AP14)</f>
        <v>2464.3060255</v>
      </c>
      <c r="AQ15" s="6">
        <f t="shared" ref="AQ15" si="61">SUM(AQ11:AQ14)</f>
        <v>2710.7366280500005</v>
      </c>
    </row>
    <row r="16" spans="1:43" s="6" customFormat="1" ht="15" x14ac:dyDescent="0.25">
      <c r="A16" s="5"/>
      <c r="B16" s="5" t="s">
        <v>14</v>
      </c>
      <c r="C16" s="6">
        <f t="shared" ref="C16:Q16" si="62">+C10-C15</f>
        <v>44.207000000000022</v>
      </c>
      <c r="D16" s="6">
        <f t="shared" si="62"/>
        <v>49.044999999999987</v>
      </c>
      <c r="E16" s="6">
        <f t="shared" si="62"/>
        <v>6.0369999999999777</v>
      </c>
      <c r="F16" s="6">
        <f t="shared" si="62"/>
        <v>-20.451999999999998</v>
      </c>
      <c r="G16" s="6">
        <f t="shared" si="62"/>
        <v>85.984000000000037</v>
      </c>
      <c r="H16" s="6">
        <f t="shared" si="62"/>
        <v>74.320000000000036</v>
      </c>
      <c r="I16" s="6">
        <f t="shared" si="62"/>
        <v>10.698999999999998</v>
      </c>
      <c r="J16" s="6">
        <f t="shared" si="62"/>
        <v>-42.560999999999993</v>
      </c>
      <c r="K16" s="6">
        <f t="shared" si="62"/>
        <v>69.635999999999967</v>
      </c>
      <c r="L16" s="6">
        <f t="shared" si="62"/>
        <v>45.198999999999984</v>
      </c>
      <c r="M16" s="6">
        <f t="shared" si="62"/>
        <v>40.488999999999976</v>
      </c>
      <c r="N16" s="6">
        <f t="shared" si="62"/>
        <v>-22.655999999999949</v>
      </c>
      <c r="O16" s="6">
        <f t="shared" si="62"/>
        <v>114.60100000000003</v>
      </c>
      <c r="P16" s="6">
        <f t="shared" si="62"/>
        <v>-3.180000000000021</v>
      </c>
      <c r="Q16" s="6">
        <f t="shared" si="62"/>
        <v>63.508999999999958</v>
      </c>
      <c r="R16" s="6">
        <f>+R10-R15</f>
        <v>-32.254999999999995</v>
      </c>
      <c r="S16" s="6">
        <f t="shared" ref="S16:Z16" si="63">+S10-S15</f>
        <v>76.078000000000003</v>
      </c>
      <c r="T16" s="6">
        <f t="shared" si="63"/>
        <v>107.22800000000007</v>
      </c>
      <c r="U16" s="6">
        <f t="shared" si="63"/>
        <v>76.010000000000048</v>
      </c>
      <c r="V16" s="6">
        <f t="shared" si="63"/>
        <v>-54.663000000000068</v>
      </c>
      <c r="W16" s="6">
        <f t="shared" si="63"/>
        <v>94.300000000000068</v>
      </c>
      <c r="X16" s="6">
        <f t="shared" si="63"/>
        <v>128.99999999999977</v>
      </c>
      <c r="Y16" s="6">
        <f t="shared" si="63"/>
        <v>149.03489999999994</v>
      </c>
      <c r="Z16" s="6">
        <f t="shared" si="63"/>
        <v>0.6615999999999076</v>
      </c>
      <c r="AI16" s="6">
        <f t="shared" ref="AI16" si="64">+AI10-AI15</f>
        <v>78.837000000000046</v>
      </c>
      <c r="AJ16" s="6">
        <f t="shared" ref="AJ16" si="65">+AJ10-AJ15</f>
        <v>128.44199999999984</v>
      </c>
      <c r="AK16" s="6">
        <f t="shared" ref="AK16" si="66">+AK10-AK15</f>
        <v>132.66800000000023</v>
      </c>
      <c r="AL16" s="6">
        <f t="shared" ref="AL16" si="67">+AL10-AL15</f>
        <v>142.67499999999995</v>
      </c>
      <c r="AM16" s="6">
        <f t="shared" ref="AM16" si="68">+AM10-AM15</f>
        <v>204.65300000000025</v>
      </c>
      <c r="AN16" s="6">
        <f t="shared" ref="AN16" si="69">+AN10-AN15</f>
        <v>372.99649999999974</v>
      </c>
      <c r="AO16" s="6">
        <f t="shared" ref="AO16" si="70">+AO10-AO15</f>
        <v>806.22742499999913</v>
      </c>
      <c r="AP16" s="6">
        <f t="shared" ref="AP16" si="71">+AP10-AP15</f>
        <v>886.85016749999977</v>
      </c>
      <c r="AQ16" s="6">
        <f t="shared" ref="AQ16" si="72">+AQ10-AQ15</f>
        <v>975.53518424999993</v>
      </c>
    </row>
    <row r="17" spans="1:223" s="22" customFormat="1" x14ac:dyDescent="0.2">
      <c r="A17" s="21"/>
      <c r="B17" s="21" t="s">
        <v>78</v>
      </c>
      <c r="C17" s="22">
        <v>0</v>
      </c>
      <c r="D17" s="22">
        <v>0</v>
      </c>
      <c r="E17" s="22">
        <v>0</v>
      </c>
      <c r="F17" s="22">
        <v>0</v>
      </c>
      <c r="G17" s="22">
        <v>0</v>
      </c>
      <c r="H17" s="22">
        <v>0</v>
      </c>
      <c r="I17" s="22">
        <v>0</v>
      </c>
      <c r="J17" s="22">
        <v>0</v>
      </c>
      <c r="K17" s="22">
        <v>0</v>
      </c>
      <c r="L17" s="22">
        <v>0</v>
      </c>
      <c r="M17" s="22">
        <v>0</v>
      </c>
      <c r="N17" s="22">
        <v>0</v>
      </c>
      <c r="O17" s="22">
        <v>0</v>
      </c>
      <c r="P17" s="22">
        <v>0</v>
      </c>
      <c r="Q17" s="22">
        <v>0</v>
      </c>
      <c r="R17" s="22">
        <v>0</v>
      </c>
      <c r="S17" s="22">
        <v>0</v>
      </c>
      <c r="T17" s="22">
        <v>0</v>
      </c>
      <c r="U17" s="22">
        <v>0</v>
      </c>
      <c r="V17" s="22">
        <v>0</v>
      </c>
      <c r="W17" s="22">
        <v>31.4</v>
      </c>
      <c r="X17" s="22">
        <v>32.5</v>
      </c>
      <c r="Y17" s="22">
        <f t="shared" ref="Y17:Y19" si="73">U17*1.05</f>
        <v>0</v>
      </c>
      <c r="Z17" s="22">
        <f t="shared" ref="Z17:Z19" si="74">V17*1.05</f>
        <v>0</v>
      </c>
      <c r="AI17" s="2">
        <f t="shared" ref="AI17:AI19" si="75">SUM(C17:F17)</f>
        <v>0</v>
      </c>
      <c r="AJ17" s="2">
        <f t="shared" ref="AJ17:AJ19" si="76">SUM(G17:J17)</f>
        <v>0</v>
      </c>
      <c r="AK17" s="2">
        <f t="shared" ref="AK17:AK19" si="77">SUM(K17:N17)</f>
        <v>0</v>
      </c>
      <c r="AL17" s="2">
        <f t="shared" ref="AL17:AL19" si="78">SUM(O17:R17)</f>
        <v>0</v>
      </c>
      <c r="AM17" s="2">
        <f t="shared" ref="AM17:AM19" si="79">SUM(S17:V17)</f>
        <v>0</v>
      </c>
      <c r="AN17" s="2">
        <f t="shared" ref="AN17:AN19" si="80">SUM(W17:Z17)</f>
        <v>63.9</v>
      </c>
      <c r="AO17" s="22">
        <f t="shared" ref="AO17:AQ17" si="81">AN17*1.1</f>
        <v>70.290000000000006</v>
      </c>
      <c r="AP17" s="22">
        <f t="shared" si="81"/>
        <v>77.319000000000017</v>
      </c>
      <c r="AQ17" s="22">
        <f t="shared" si="81"/>
        <v>85.050900000000027</v>
      </c>
    </row>
    <row r="18" spans="1:223" x14ac:dyDescent="0.2">
      <c r="B18" s="21" t="s">
        <v>79</v>
      </c>
      <c r="C18" s="2">
        <v>0</v>
      </c>
      <c r="D18" s="2">
        <v>0</v>
      </c>
      <c r="E18" s="2">
        <v>0</v>
      </c>
      <c r="F18" s="2">
        <v>0</v>
      </c>
      <c r="G18" s="2">
        <v>0</v>
      </c>
      <c r="H18" s="2">
        <v>0</v>
      </c>
      <c r="I18" s="2">
        <v>0</v>
      </c>
      <c r="J18" s="2">
        <v>0</v>
      </c>
      <c r="K18" s="2">
        <v>0</v>
      </c>
      <c r="L18" s="2">
        <v>0</v>
      </c>
      <c r="M18" s="2">
        <v>0</v>
      </c>
      <c r="N18" s="2">
        <v>0</v>
      </c>
      <c r="O18" s="2">
        <v>0</v>
      </c>
      <c r="P18" s="2">
        <v>0</v>
      </c>
      <c r="Q18" s="2">
        <v>0</v>
      </c>
      <c r="R18" s="2">
        <v>0</v>
      </c>
      <c r="S18" s="2">
        <v>252.53100000000001</v>
      </c>
      <c r="T18" s="2">
        <v>0</v>
      </c>
      <c r="U18" s="2">
        <v>0</v>
      </c>
      <c r="V18" s="2">
        <v>0</v>
      </c>
      <c r="W18" s="2">
        <v>0</v>
      </c>
      <c r="X18" s="22">
        <v>0</v>
      </c>
      <c r="Y18" s="22">
        <f t="shared" si="73"/>
        <v>0</v>
      </c>
      <c r="Z18" s="22">
        <f t="shared" si="74"/>
        <v>0</v>
      </c>
      <c r="AI18" s="2">
        <f t="shared" si="75"/>
        <v>0</v>
      </c>
      <c r="AJ18" s="2">
        <f t="shared" si="76"/>
        <v>0</v>
      </c>
      <c r="AK18" s="2">
        <f t="shared" si="77"/>
        <v>0</v>
      </c>
      <c r="AL18" s="2">
        <f t="shared" si="78"/>
        <v>0</v>
      </c>
      <c r="AM18" s="2">
        <f t="shared" si="79"/>
        <v>252.53100000000001</v>
      </c>
      <c r="AN18" s="2">
        <f t="shared" si="80"/>
        <v>0</v>
      </c>
      <c r="AO18" s="22">
        <f t="shared" ref="AO18:AQ18" si="82">AN18*1.1</f>
        <v>0</v>
      </c>
      <c r="AP18" s="22">
        <f t="shared" si="82"/>
        <v>0</v>
      </c>
      <c r="AQ18" s="22">
        <f t="shared" si="82"/>
        <v>0</v>
      </c>
    </row>
    <row r="19" spans="1:223" x14ac:dyDescent="0.2">
      <c r="B19" s="21" t="s">
        <v>80</v>
      </c>
      <c r="C19" s="2">
        <v>-5.1210000000000004</v>
      </c>
      <c r="D19" s="2">
        <v>-1.5209999999999999</v>
      </c>
      <c r="E19" s="2">
        <v>-1.462</v>
      </c>
      <c r="F19" s="2">
        <v>-2.6779999999999999</v>
      </c>
      <c r="G19" s="2">
        <v>-6.0339999999999998</v>
      </c>
      <c r="H19" s="2">
        <v>3.8610000000000002</v>
      </c>
      <c r="I19" s="2">
        <v>0.376</v>
      </c>
      <c r="J19" s="2">
        <v>4.6269999999999998</v>
      </c>
      <c r="K19" s="2">
        <v>-11.579000000000001</v>
      </c>
      <c r="L19" s="2">
        <v>-9.093</v>
      </c>
      <c r="M19" s="2">
        <v>-7.3129999999999997</v>
      </c>
      <c r="N19" s="2">
        <v>-8.9139999999999997</v>
      </c>
      <c r="O19" s="2">
        <v>-2.6349999999999998</v>
      </c>
      <c r="P19" s="2">
        <v>1.8340000000000001</v>
      </c>
      <c r="Q19" s="2">
        <v>-5.7169999999999996</v>
      </c>
      <c r="R19" s="2">
        <v>-15.445</v>
      </c>
      <c r="S19" s="2">
        <v>-8.4260000000000002</v>
      </c>
      <c r="T19" s="2">
        <v>-31.378</v>
      </c>
      <c r="U19" s="2">
        <v>-25.771999999999998</v>
      </c>
      <c r="V19" s="2">
        <v>-41.027999999999999</v>
      </c>
      <c r="W19" s="2">
        <v>8.1</v>
      </c>
      <c r="X19" s="22">
        <v>11.8</v>
      </c>
      <c r="Y19" s="22">
        <f t="shared" si="73"/>
        <v>-27.060600000000001</v>
      </c>
      <c r="Z19" s="22">
        <f t="shared" si="74"/>
        <v>-43.0794</v>
      </c>
      <c r="AI19" s="2">
        <f t="shared" si="75"/>
        <v>-10.782</v>
      </c>
      <c r="AJ19" s="2">
        <f t="shared" si="76"/>
        <v>2.83</v>
      </c>
      <c r="AK19" s="2">
        <f t="shared" si="77"/>
        <v>-36.899000000000001</v>
      </c>
      <c r="AL19" s="2">
        <f t="shared" si="78"/>
        <v>-21.963000000000001</v>
      </c>
      <c r="AM19" s="2">
        <f t="shared" si="79"/>
        <v>-106.60399999999998</v>
      </c>
      <c r="AN19" s="2">
        <f t="shared" si="80"/>
        <v>-50.24</v>
      </c>
      <c r="AO19" s="22">
        <f t="shared" ref="AO19:AQ19" si="83">AN19*1.1</f>
        <v>-55.26400000000001</v>
      </c>
      <c r="AP19" s="22">
        <f t="shared" si="83"/>
        <v>-60.790400000000012</v>
      </c>
      <c r="AQ19" s="22">
        <f t="shared" si="83"/>
        <v>-66.869440000000026</v>
      </c>
    </row>
    <row r="20" spans="1:223" x14ac:dyDescent="0.2">
      <c r="B20" s="1" t="s">
        <v>15</v>
      </c>
      <c r="C20" s="2">
        <f t="shared" ref="C20:V20" si="84">C16-C17+C18+C19</f>
        <v>39.08600000000002</v>
      </c>
      <c r="D20" s="2">
        <f t="shared" si="84"/>
        <v>47.523999999999987</v>
      </c>
      <c r="E20" s="2">
        <f t="shared" si="84"/>
        <v>4.574999999999978</v>
      </c>
      <c r="F20" s="2">
        <f t="shared" si="84"/>
        <v>-23.13</v>
      </c>
      <c r="G20" s="2">
        <f t="shared" si="84"/>
        <v>79.950000000000031</v>
      </c>
      <c r="H20" s="2">
        <f t="shared" si="84"/>
        <v>78.18100000000004</v>
      </c>
      <c r="I20" s="2">
        <f t="shared" si="84"/>
        <v>11.074999999999998</v>
      </c>
      <c r="J20" s="2">
        <f t="shared" si="84"/>
        <v>-37.93399999999999</v>
      </c>
      <c r="K20" s="2">
        <f t="shared" si="84"/>
        <v>58.056999999999967</v>
      </c>
      <c r="L20" s="2">
        <f t="shared" si="84"/>
        <v>36.10599999999998</v>
      </c>
      <c r="M20" s="2">
        <f t="shared" si="84"/>
        <v>33.175999999999974</v>
      </c>
      <c r="N20" s="2">
        <f t="shared" si="84"/>
        <v>-31.569999999999951</v>
      </c>
      <c r="O20" s="2">
        <f t="shared" si="84"/>
        <v>111.96600000000002</v>
      </c>
      <c r="P20" s="2">
        <f t="shared" si="84"/>
        <v>-1.346000000000021</v>
      </c>
      <c r="Q20" s="2">
        <f t="shared" si="84"/>
        <v>57.791999999999959</v>
      </c>
      <c r="R20" s="2">
        <f t="shared" si="84"/>
        <v>-47.699999999999996</v>
      </c>
      <c r="S20" s="2">
        <f t="shared" si="84"/>
        <v>320.18300000000005</v>
      </c>
      <c r="T20" s="2">
        <f t="shared" si="84"/>
        <v>75.850000000000065</v>
      </c>
      <c r="U20" s="2">
        <f t="shared" si="84"/>
        <v>50.238000000000049</v>
      </c>
      <c r="V20" s="2">
        <f t="shared" si="84"/>
        <v>-95.691000000000059</v>
      </c>
      <c r="W20" s="2">
        <f>W16-W17+W18+W19</f>
        <v>71.000000000000071</v>
      </c>
      <c r="X20" s="2">
        <f t="shared" ref="X20:Z20" si="85">X16-X17+X18+X19</f>
        <v>108.29999999999977</v>
      </c>
      <c r="Y20" s="2">
        <f t="shared" si="85"/>
        <v>121.97429999999994</v>
      </c>
      <c r="Z20" s="2">
        <f t="shared" si="85"/>
        <v>-42.417800000000092</v>
      </c>
      <c r="AI20" s="2">
        <f t="shared" ref="AI20" si="86">AI16-AI17+AI18+AI19</f>
        <v>68.055000000000049</v>
      </c>
      <c r="AJ20" s="2">
        <f t="shared" ref="AJ20" si="87">AJ16-AJ17+AJ18+AJ19</f>
        <v>131.27199999999985</v>
      </c>
      <c r="AK20" s="2">
        <f t="shared" ref="AK20" si="88">AK16-AK17+AK18+AK19</f>
        <v>95.769000000000233</v>
      </c>
      <c r="AL20" s="2">
        <f t="shared" ref="AL20" si="89">AL16-AL17+AL18+AL19</f>
        <v>120.71199999999996</v>
      </c>
      <c r="AM20" s="2">
        <f t="shared" ref="AM20" si="90">AM16-AM17+AM18+AM19</f>
        <v>350.58000000000027</v>
      </c>
      <c r="AN20" s="2">
        <f t="shared" ref="AN20" si="91">AN16-AN17+AN18+AN19</f>
        <v>258.85649999999976</v>
      </c>
      <c r="AO20" s="2">
        <f t="shared" ref="AO20" si="92">AO16-AO17+AO18+AO19</f>
        <v>680.67342499999916</v>
      </c>
      <c r="AP20" s="2">
        <f t="shared" ref="AP20" si="93">AP16-AP17+AP18+AP19</f>
        <v>748.74076749999983</v>
      </c>
      <c r="AQ20" s="2">
        <f t="shared" ref="AQ20" si="94">AQ16-AQ17+AQ18+AQ19</f>
        <v>823.61484424999981</v>
      </c>
    </row>
    <row r="21" spans="1:223" x14ac:dyDescent="0.2">
      <c r="B21" s="1" t="s">
        <v>16</v>
      </c>
      <c r="C21" s="2">
        <v>13.206</v>
      </c>
      <c r="D21" s="2">
        <v>16.05</v>
      </c>
      <c r="E21" s="2">
        <v>1.486</v>
      </c>
      <c r="F21" s="2">
        <v>-4.3540000000000001</v>
      </c>
      <c r="G21" s="2">
        <v>17.219000000000001</v>
      </c>
      <c r="H21" s="2">
        <v>17.247</v>
      </c>
      <c r="I21" s="2">
        <v>1.335</v>
      </c>
      <c r="J21" s="2">
        <v>-9.7829999999999995</v>
      </c>
      <c r="K21" s="2">
        <v>9.5559999999999992</v>
      </c>
      <c r="L21" s="2">
        <v>7.2080000000000002</v>
      </c>
      <c r="M21" s="2">
        <v>2.1280000000000001</v>
      </c>
      <c r="N21" s="2">
        <v>-2.3519999999999999</v>
      </c>
      <c r="O21" s="2">
        <v>9.1509999999999998</v>
      </c>
      <c r="P21" s="2">
        <v>-7.931</v>
      </c>
      <c r="Q21" s="2">
        <v>5.36</v>
      </c>
      <c r="R21" s="2">
        <v>-7.1239999999999997</v>
      </c>
      <c r="S21" s="2">
        <v>47.743000000000002</v>
      </c>
      <c r="T21" s="2">
        <v>-15.853</v>
      </c>
      <c r="U21" s="2">
        <v>66.228999999999999</v>
      </c>
      <c r="V21" s="2">
        <v>-69.465000000000003</v>
      </c>
      <c r="W21" s="2">
        <v>-15.7</v>
      </c>
      <c r="X21" s="2">
        <v>2.9</v>
      </c>
      <c r="Y21" s="2">
        <f t="shared" ref="Y21:Z21" si="95">Y20*0.21</f>
        <v>25.614602999999988</v>
      </c>
      <c r="Z21" s="2">
        <f t="shared" si="95"/>
        <v>-8.9077380000000197</v>
      </c>
      <c r="AI21" s="2">
        <f>SUM(C21:F21)</f>
        <v>26.388000000000002</v>
      </c>
      <c r="AJ21" s="2">
        <f>SUM(G21:J21)</f>
        <v>26.018000000000001</v>
      </c>
      <c r="AK21" s="2">
        <f t="shared" ref="AK21:AK22" si="96">SUM(K21:N21)</f>
        <v>16.54</v>
      </c>
      <c r="AL21" s="2">
        <f t="shared" ref="AL21:AL22" si="97">SUM(O21:R21)</f>
        <v>-0.54399999999999959</v>
      </c>
      <c r="AM21" s="2">
        <f t="shared" ref="AM21:AM22" si="98">SUM(S21:V21)</f>
        <v>28.653999999999996</v>
      </c>
      <c r="AN21" s="2">
        <f t="shared" ref="AN21:AN22" si="99">SUM(W21:Z21)</f>
        <v>3.9068649999999696</v>
      </c>
      <c r="AO21" s="2">
        <f>AO20*0.21</f>
        <v>142.94141924999983</v>
      </c>
      <c r="AP21" s="2">
        <f t="shared" ref="AP21:AQ21" si="100">AP20*0.21</f>
        <v>157.23556117499996</v>
      </c>
      <c r="AQ21" s="2">
        <f t="shared" si="100"/>
        <v>172.95911729249994</v>
      </c>
    </row>
    <row r="22" spans="1:223" x14ac:dyDescent="0.2">
      <c r="B22" s="1" t="s">
        <v>17</v>
      </c>
      <c r="C22" s="2">
        <v>0.191</v>
      </c>
      <c r="D22" s="2">
        <v>3.1E-2</v>
      </c>
      <c r="E22" s="2">
        <v>2.9000000000000001E-2</v>
      </c>
      <c r="F22" s="2">
        <v>0.61</v>
      </c>
      <c r="G22" s="2">
        <v>-0.124</v>
      </c>
      <c r="H22" s="2">
        <v>6.7000000000000004E-2</v>
      </c>
      <c r="I22" s="2">
        <v>0.223</v>
      </c>
      <c r="J22" s="2">
        <v>0.34799999999999998</v>
      </c>
      <c r="K22" s="2">
        <v>-0.14599999999999999</v>
      </c>
      <c r="L22" s="2">
        <v>-3.3000000000000002E-2</v>
      </c>
      <c r="M22" s="2">
        <v>0</v>
      </c>
      <c r="N22" s="2">
        <v>0</v>
      </c>
      <c r="O22" s="2">
        <v>0</v>
      </c>
      <c r="P22" s="2">
        <v>0</v>
      </c>
      <c r="Q22" s="2">
        <v>0</v>
      </c>
      <c r="R22" s="2">
        <v>0</v>
      </c>
      <c r="S22" s="2">
        <v>0</v>
      </c>
      <c r="T22" s="2">
        <v>0</v>
      </c>
      <c r="U22" s="2">
        <v>0</v>
      </c>
      <c r="V22" s="2">
        <v>0</v>
      </c>
      <c r="W22" s="2">
        <v>0</v>
      </c>
      <c r="X22" s="2">
        <v>0</v>
      </c>
      <c r="Y22" s="2">
        <f t="shared" ref="Y22:Z22" si="101">U22*1.01</f>
        <v>0</v>
      </c>
      <c r="Z22" s="2">
        <f t="shared" si="101"/>
        <v>0</v>
      </c>
      <c r="AI22" s="2">
        <f>SUM(C22:F22)</f>
        <v>0.86099999999999999</v>
      </c>
      <c r="AJ22" s="2">
        <f>SUM(G22:J22)</f>
        <v>0.51400000000000001</v>
      </c>
      <c r="AK22" s="2">
        <f t="shared" si="96"/>
        <v>-0.17899999999999999</v>
      </c>
      <c r="AL22" s="2">
        <f t="shared" si="97"/>
        <v>0</v>
      </c>
      <c r="AM22" s="2">
        <f t="shared" si="98"/>
        <v>0</v>
      </c>
      <c r="AN22" s="2">
        <f t="shared" si="99"/>
        <v>0</v>
      </c>
      <c r="AO22" s="2">
        <v>0</v>
      </c>
      <c r="AP22" s="2">
        <v>0</v>
      </c>
      <c r="AQ22" s="2">
        <v>0</v>
      </c>
    </row>
    <row r="23" spans="1:223" s="6" customFormat="1" ht="15" x14ac:dyDescent="0.25">
      <c r="A23" s="5"/>
      <c r="B23" s="5" t="s">
        <v>18</v>
      </c>
      <c r="C23" s="6">
        <f t="shared" ref="C23:Q23" si="102">+C20-C21-C22</f>
        <v>25.689000000000021</v>
      </c>
      <c r="D23" s="6">
        <f t="shared" si="102"/>
        <v>31.442999999999987</v>
      </c>
      <c r="E23" s="6">
        <f t="shared" si="102"/>
        <v>3.0599999999999783</v>
      </c>
      <c r="F23" s="6">
        <f t="shared" si="102"/>
        <v>-19.385999999999999</v>
      </c>
      <c r="G23" s="6">
        <f t="shared" si="102"/>
        <v>62.855000000000032</v>
      </c>
      <c r="H23" s="6">
        <f t="shared" si="102"/>
        <v>60.86700000000004</v>
      </c>
      <c r="I23" s="6">
        <f t="shared" si="102"/>
        <v>9.5169999999999977</v>
      </c>
      <c r="J23" s="6">
        <f t="shared" si="102"/>
        <v>-28.498999999999988</v>
      </c>
      <c r="K23" s="6">
        <f t="shared" si="102"/>
        <v>48.64699999999997</v>
      </c>
      <c r="L23" s="6">
        <f>+L20-L21-L22</f>
        <v>28.930999999999983</v>
      </c>
      <c r="M23" s="6">
        <f t="shared" si="102"/>
        <v>31.047999999999973</v>
      </c>
      <c r="N23" s="6">
        <f t="shared" si="102"/>
        <v>-29.21799999999995</v>
      </c>
      <c r="O23" s="6">
        <f t="shared" si="102"/>
        <v>102.81500000000003</v>
      </c>
      <c r="P23" s="6">
        <f>+P20-P21-P22</f>
        <v>6.5849999999999795</v>
      </c>
      <c r="Q23" s="6">
        <f t="shared" si="102"/>
        <v>52.43199999999996</v>
      </c>
      <c r="R23" s="6">
        <f>+R20-R21-R22</f>
        <v>-40.575999999999993</v>
      </c>
      <c r="S23" s="6">
        <f t="shared" ref="S23:Z23" si="103">+S20-S21-S22</f>
        <v>272.44000000000005</v>
      </c>
      <c r="T23" s="6">
        <f t="shared" si="103"/>
        <v>91.70300000000006</v>
      </c>
      <c r="U23" s="6">
        <f t="shared" si="103"/>
        <v>-15.99099999999995</v>
      </c>
      <c r="V23" s="6">
        <f t="shared" si="103"/>
        <v>-26.226000000000056</v>
      </c>
      <c r="W23" s="6">
        <f t="shared" si="103"/>
        <v>86.700000000000074</v>
      </c>
      <c r="X23" s="6">
        <f t="shared" si="103"/>
        <v>105.39999999999976</v>
      </c>
      <c r="Y23" s="6">
        <f t="shared" si="103"/>
        <v>96.359696999999954</v>
      </c>
      <c r="Z23" s="6">
        <f t="shared" si="103"/>
        <v>-33.510062000000076</v>
      </c>
      <c r="AI23" s="6">
        <f t="shared" ref="AI23" si="104">+AI20-AI21-AI22</f>
        <v>40.806000000000047</v>
      </c>
      <c r="AJ23" s="6">
        <f t="shared" ref="AJ23" si="105">+AJ20-AJ21-AJ22</f>
        <v>104.73999999999985</v>
      </c>
      <c r="AK23" s="6">
        <f t="shared" ref="AK23" si="106">+AK20-AK21-AK22</f>
        <v>79.408000000000243</v>
      </c>
      <c r="AL23" s="6">
        <f t="shared" ref="AL23" si="107">+AL20-AL21-AL22</f>
        <v>121.25599999999996</v>
      </c>
      <c r="AM23" s="6">
        <f t="shared" ref="AM23" si="108">+AM20-AM21-AM22</f>
        <v>321.92600000000027</v>
      </c>
      <c r="AN23" s="6">
        <f t="shared" ref="AN23" si="109">+AN20-AN21-AN22</f>
        <v>254.94963499999977</v>
      </c>
      <c r="AO23" s="6">
        <f t="shared" ref="AO23" si="110">+AO20-AO21-AO22</f>
        <v>537.7320057499993</v>
      </c>
      <c r="AP23" s="6">
        <f t="shared" ref="AP23" si="111">+AP20-AP21-AP22</f>
        <v>591.5052063249999</v>
      </c>
      <c r="AQ23" s="6">
        <f t="shared" ref="AQ23" si="112">+AQ20-AQ21-AQ22</f>
        <v>650.65572695749984</v>
      </c>
      <c r="AR23" s="6">
        <f t="shared" ref="AR23:BW23" si="113">AQ23*(1+$AU$28)</f>
        <v>644.14916968792488</v>
      </c>
      <c r="AS23" s="6">
        <f t="shared" si="113"/>
        <v>637.70767799104567</v>
      </c>
      <c r="AT23" s="6">
        <f t="shared" si="113"/>
        <v>631.33060121113522</v>
      </c>
      <c r="AU23" s="6">
        <f t="shared" si="113"/>
        <v>625.01729519902381</v>
      </c>
      <c r="AV23" s="6">
        <f t="shared" si="113"/>
        <v>618.76712224703351</v>
      </c>
      <c r="AW23" s="6">
        <f t="shared" si="113"/>
        <v>612.57945102456313</v>
      </c>
      <c r="AX23" s="6">
        <f t="shared" si="113"/>
        <v>606.45365651431746</v>
      </c>
      <c r="AY23" s="6">
        <f t="shared" si="113"/>
        <v>600.3891199491743</v>
      </c>
      <c r="AZ23" s="6">
        <f t="shared" si="113"/>
        <v>594.3852287496826</v>
      </c>
      <c r="BA23" s="6">
        <f t="shared" si="113"/>
        <v>588.44137646218576</v>
      </c>
      <c r="BB23" s="6">
        <f t="shared" si="113"/>
        <v>582.5569626975639</v>
      </c>
      <c r="BC23" s="6">
        <f t="shared" si="113"/>
        <v>576.7313930705883</v>
      </c>
      <c r="BD23" s="6">
        <f t="shared" si="113"/>
        <v>570.96407913988241</v>
      </c>
      <c r="BE23" s="6">
        <f t="shared" si="113"/>
        <v>565.25443834848363</v>
      </c>
      <c r="BF23" s="6">
        <f t="shared" si="113"/>
        <v>559.60189396499879</v>
      </c>
      <c r="BG23" s="6">
        <f t="shared" si="113"/>
        <v>554.00587502534881</v>
      </c>
      <c r="BH23" s="6">
        <f t="shared" si="113"/>
        <v>548.46581627509534</v>
      </c>
      <c r="BI23" s="6">
        <f t="shared" si="113"/>
        <v>542.98115811234436</v>
      </c>
      <c r="BJ23" s="6">
        <f t="shared" si="113"/>
        <v>537.55134653122093</v>
      </c>
      <c r="BK23" s="6">
        <f t="shared" si="113"/>
        <v>532.17583306590871</v>
      </c>
      <c r="BL23" s="6">
        <f t="shared" si="113"/>
        <v>526.85407473524958</v>
      </c>
      <c r="BM23" s="6">
        <f t="shared" si="113"/>
        <v>521.58553398789707</v>
      </c>
      <c r="BN23" s="6">
        <f t="shared" si="113"/>
        <v>516.36967864801807</v>
      </c>
      <c r="BO23" s="6">
        <f t="shared" si="113"/>
        <v>511.20598186153791</v>
      </c>
      <c r="BP23" s="6">
        <f t="shared" si="113"/>
        <v>506.09392204292254</v>
      </c>
      <c r="BQ23" s="6">
        <f t="shared" si="113"/>
        <v>501.0329828224933</v>
      </c>
      <c r="BR23" s="6">
        <f t="shared" si="113"/>
        <v>496.02265299426836</v>
      </c>
      <c r="BS23" s="6">
        <f t="shared" si="113"/>
        <v>491.06242646432565</v>
      </c>
      <c r="BT23" s="6">
        <f t="shared" si="113"/>
        <v>486.15180219968238</v>
      </c>
      <c r="BU23" s="6">
        <f t="shared" si="113"/>
        <v>481.29028417768558</v>
      </c>
      <c r="BV23" s="6">
        <f t="shared" si="113"/>
        <v>476.47738133590872</v>
      </c>
      <c r="BW23" s="6">
        <f t="shared" si="113"/>
        <v>471.7126075225496</v>
      </c>
      <c r="BX23" s="6">
        <f t="shared" ref="BX23:DC23" si="114">BW23*(1+$AU$28)</f>
        <v>466.9954814473241</v>
      </c>
      <c r="BY23" s="6">
        <f t="shared" si="114"/>
        <v>462.32552663285082</v>
      </c>
      <c r="BZ23" s="6">
        <f t="shared" si="114"/>
        <v>457.70227136652233</v>
      </c>
      <c r="CA23" s="6">
        <f t="shared" si="114"/>
        <v>453.12524865285712</v>
      </c>
      <c r="CB23" s="6">
        <f t="shared" si="114"/>
        <v>448.59399616632857</v>
      </c>
      <c r="CC23" s="6">
        <f t="shared" si="114"/>
        <v>444.10805620466527</v>
      </c>
      <c r="CD23" s="6">
        <f t="shared" si="114"/>
        <v>439.66697564261864</v>
      </c>
      <c r="CE23" s="6">
        <f t="shared" si="114"/>
        <v>435.27030588619243</v>
      </c>
      <c r="CF23" s="6">
        <f t="shared" si="114"/>
        <v>430.91760282733048</v>
      </c>
      <c r="CG23" s="6">
        <f t="shared" si="114"/>
        <v>426.60842679905716</v>
      </c>
      <c r="CH23" s="6">
        <f t="shared" si="114"/>
        <v>422.34234253106661</v>
      </c>
      <c r="CI23" s="6">
        <f t="shared" si="114"/>
        <v>418.11891910575594</v>
      </c>
      <c r="CJ23" s="6">
        <f t="shared" si="114"/>
        <v>413.93772991469837</v>
      </c>
      <c r="CK23" s="6">
        <f t="shared" si="114"/>
        <v>409.79835261555138</v>
      </c>
      <c r="CL23" s="6">
        <f t="shared" si="114"/>
        <v>405.70036908939585</v>
      </c>
      <c r="CM23" s="6">
        <f t="shared" si="114"/>
        <v>401.64336539850189</v>
      </c>
      <c r="CN23" s="6">
        <f t="shared" si="114"/>
        <v>397.62693174451687</v>
      </c>
      <c r="CO23" s="6">
        <f t="shared" si="114"/>
        <v>393.65066242707172</v>
      </c>
      <c r="CP23" s="6">
        <f t="shared" si="114"/>
        <v>389.71415580280097</v>
      </c>
      <c r="CQ23" s="6">
        <f t="shared" si="114"/>
        <v>385.81701424477296</v>
      </c>
      <c r="CR23" s="6">
        <f t="shared" si="114"/>
        <v>381.9588441023252</v>
      </c>
      <c r="CS23" s="6">
        <f t="shared" si="114"/>
        <v>378.13925566130195</v>
      </c>
      <c r="CT23" s="6">
        <f t="shared" si="114"/>
        <v>374.35786310468893</v>
      </c>
      <c r="CU23" s="6">
        <f t="shared" si="114"/>
        <v>370.61428447364204</v>
      </c>
      <c r="CV23" s="6">
        <f t="shared" si="114"/>
        <v>366.90814162890564</v>
      </c>
      <c r="CW23" s="6">
        <f t="shared" si="114"/>
        <v>363.23906021261661</v>
      </c>
      <c r="CX23" s="6">
        <f t="shared" si="114"/>
        <v>359.60666961049043</v>
      </c>
      <c r="CY23" s="6">
        <f t="shared" si="114"/>
        <v>356.01060291438552</v>
      </c>
      <c r="CZ23" s="6">
        <f t="shared" si="114"/>
        <v>352.45049688524165</v>
      </c>
      <c r="DA23" s="6">
        <f t="shared" si="114"/>
        <v>348.92599191638925</v>
      </c>
      <c r="DB23" s="6">
        <f t="shared" si="114"/>
        <v>345.43673199722537</v>
      </c>
      <c r="DC23" s="6">
        <f t="shared" si="114"/>
        <v>341.98236467725309</v>
      </c>
      <c r="DD23" s="6">
        <f t="shared" ref="DD23:EI23" si="115">DC23*(1+$AU$28)</f>
        <v>338.56254103048053</v>
      </c>
      <c r="DE23" s="6">
        <f t="shared" si="115"/>
        <v>335.17691562017575</v>
      </c>
      <c r="DF23" s="6">
        <f t="shared" si="115"/>
        <v>331.82514646397397</v>
      </c>
      <c r="DG23" s="6">
        <f t="shared" si="115"/>
        <v>328.50689499933424</v>
      </c>
      <c r="DH23" s="6">
        <f t="shared" si="115"/>
        <v>325.2218260493409</v>
      </c>
      <c r="DI23" s="6">
        <f t="shared" si="115"/>
        <v>321.9696077888475</v>
      </c>
      <c r="DJ23" s="6">
        <f t="shared" si="115"/>
        <v>318.749911710959</v>
      </c>
      <c r="DK23" s="6">
        <f t="shared" si="115"/>
        <v>315.56241259384939</v>
      </c>
      <c r="DL23" s="6">
        <f t="shared" si="115"/>
        <v>312.40678846791087</v>
      </c>
      <c r="DM23" s="6">
        <f t="shared" si="115"/>
        <v>309.28272058323176</v>
      </c>
      <c r="DN23" s="6">
        <f t="shared" si="115"/>
        <v>306.18989337739947</v>
      </c>
      <c r="DO23" s="6">
        <f t="shared" si="115"/>
        <v>303.12799444362548</v>
      </c>
      <c r="DP23" s="6">
        <f t="shared" si="115"/>
        <v>300.0967144991892</v>
      </c>
      <c r="DQ23" s="6">
        <f t="shared" si="115"/>
        <v>297.09574735419733</v>
      </c>
      <c r="DR23" s="6">
        <f t="shared" si="115"/>
        <v>294.12478988065533</v>
      </c>
      <c r="DS23" s="6">
        <f t="shared" si="115"/>
        <v>291.18354198184875</v>
      </c>
      <c r="DT23" s="6">
        <f t="shared" si="115"/>
        <v>288.27170656203026</v>
      </c>
      <c r="DU23" s="6">
        <f t="shared" si="115"/>
        <v>285.38898949640998</v>
      </c>
      <c r="DV23" s="6">
        <f t="shared" si="115"/>
        <v>282.53509960144589</v>
      </c>
      <c r="DW23" s="6">
        <f t="shared" si="115"/>
        <v>279.70974860543146</v>
      </c>
      <c r="DX23" s="6">
        <f t="shared" si="115"/>
        <v>276.91265111937713</v>
      </c>
      <c r="DY23" s="6">
        <f t="shared" si="115"/>
        <v>274.14352460818338</v>
      </c>
      <c r="DZ23" s="6">
        <f t="shared" si="115"/>
        <v>271.40208936210155</v>
      </c>
      <c r="EA23" s="6">
        <f t="shared" si="115"/>
        <v>268.68806846848054</v>
      </c>
      <c r="EB23" s="6">
        <f t="shared" si="115"/>
        <v>266.00118778379573</v>
      </c>
      <c r="EC23" s="6">
        <f t="shared" si="115"/>
        <v>263.34117590595775</v>
      </c>
      <c r="ED23" s="6">
        <f t="shared" si="115"/>
        <v>260.70776414689817</v>
      </c>
      <c r="EE23" s="6">
        <f t="shared" si="115"/>
        <v>258.10068650542917</v>
      </c>
      <c r="EF23" s="6">
        <f t="shared" si="115"/>
        <v>255.51967964037487</v>
      </c>
      <c r="EG23" s="6">
        <f t="shared" si="115"/>
        <v>252.96448284397113</v>
      </c>
      <c r="EH23" s="6">
        <f t="shared" si="115"/>
        <v>250.43483801553143</v>
      </c>
      <c r="EI23" s="6">
        <f t="shared" si="115"/>
        <v>247.93048963537612</v>
      </c>
      <c r="EJ23" s="6">
        <f t="shared" ref="EJ23:FO23" si="116">EI23*(1+$AU$28)</f>
        <v>245.45118473902235</v>
      </c>
      <c r="EK23" s="6">
        <f t="shared" si="116"/>
        <v>242.99667289163213</v>
      </c>
      <c r="EL23" s="6">
        <f t="shared" si="116"/>
        <v>240.5667061627158</v>
      </c>
      <c r="EM23" s="6">
        <f t="shared" si="116"/>
        <v>238.16103910108865</v>
      </c>
      <c r="EN23" s="6">
        <f t="shared" si="116"/>
        <v>235.77942871007775</v>
      </c>
      <c r="EO23" s="6">
        <f t="shared" si="116"/>
        <v>233.42163442297698</v>
      </c>
      <c r="EP23" s="6">
        <f t="shared" si="116"/>
        <v>231.08741807874722</v>
      </c>
      <c r="EQ23" s="6">
        <f t="shared" si="116"/>
        <v>228.77654389795975</v>
      </c>
      <c r="ER23" s="6">
        <f t="shared" si="116"/>
        <v>226.48877845898016</v>
      </c>
      <c r="ES23" s="6">
        <f t="shared" si="116"/>
        <v>224.22389067439036</v>
      </c>
      <c r="ET23" s="6">
        <f t="shared" si="116"/>
        <v>221.98165176764647</v>
      </c>
      <c r="EU23" s="6">
        <f t="shared" si="116"/>
        <v>219.76183524997001</v>
      </c>
      <c r="EV23" s="6">
        <f t="shared" si="116"/>
        <v>217.56421689747032</v>
      </c>
      <c r="EW23" s="6">
        <f t="shared" si="116"/>
        <v>215.3885747284956</v>
      </c>
      <c r="EX23" s="6">
        <f t="shared" si="116"/>
        <v>213.23468898121064</v>
      </c>
      <c r="EY23" s="6">
        <f t="shared" si="116"/>
        <v>211.10234209139853</v>
      </c>
      <c r="EZ23" s="6">
        <f t="shared" si="116"/>
        <v>208.99131867048453</v>
      </c>
      <c r="FA23" s="6">
        <f t="shared" si="116"/>
        <v>206.90140548377968</v>
      </c>
      <c r="FB23" s="6">
        <f t="shared" si="116"/>
        <v>204.83239142894189</v>
      </c>
      <c r="FC23" s="6">
        <f t="shared" si="116"/>
        <v>202.78406751465246</v>
      </c>
      <c r="FD23" s="6">
        <f t="shared" si="116"/>
        <v>200.75622683950593</v>
      </c>
      <c r="FE23" s="6">
        <f t="shared" si="116"/>
        <v>198.74866457111088</v>
      </c>
      <c r="FF23" s="6">
        <f t="shared" si="116"/>
        <v>196.76117792539978</v>
      </c>
      <c r="FG23" s="6">
        <f t="shared" si="116"/>
        <v>194.79356614614579</v>
      </c>
      <c r="FH23" s="6">
        <f t="shared" si="116"/>
        <v>192.84563048468434</v>
      </c>
      <c r="FI23" s="6">
        <f t="shared" si="116"/>
        <v>190.9171741798375</v>
      </c>
      <c r="FJ23" s="6">
        <f t="shared" si="116"/>
        <v>189.00800243803911</v>
      </c>
      <c r="FK23" s="6">
        <f t="shared" si="116"/>
        <v>187.11792241365873</v>
      </c>
      <c r="FL23" s="6">
        <f t="shared" si="116"/>
        <v>185.24674318952214</v>
      </c>
      <c r="FM23" s="6">
        <f t="shared" si="116"/>
        <v>183.3942757576269</v>
      </c>
      <c r="FN23" s="6">
        <f t="shared" si="116"/>
        <v>181.56033300005063</v>
      </c>
      <c r="FO23" s="6">
        <f t="shared" si="116"/>
        <v>179.74472967005013</v>
      </c>
      <c r="FP23" s="6">
        <f t="shared" ref="FP23:GU23" si="117">FO23*(1+$AU$28)</f>
        <v>177.94728237334962</v>
      </c>
      <c r="FQ23" s="6">
        <f t="shared" si="117"/>
        <v>176.16780954961612</v>
      </c>
      <c r="FR23" s="6">
        <f t="shared" si="117"/>
        <v>174.40613145411996</v>
      </c>
      <c r="FS23" s="6">
        <f t="shared" si="117"/>
        <v>172.66207013957876</v>
      </c>
      <c r="FT23" s="6">
        <f t="shared" si="117"/>
        <v>170.93544943818296</v>
      </c>
      <c r="FU23" s="6">
        <f t="shared" si="117"/>
        <v>169.22609494380112</v>
      </c>
      <c r="FV23" s="6">
        <f t="shared" si="117"/>
        <v>167.53383399436311</v>
      </c>
      <c r="FW23" s="6">
        <f t="shared" si="117"/>
        <v>165.85849565441947</v>
      </c>
      <c r="FX23" s="6">
        <f t="shared" si="117"/>
        <v>164.19991069787528</v>
      </c>
      <c r="FY23" s="6">
        <f t="shared" si="117"/>
        <v>162.55791159089654</v>
      </c>
      <c r="FZ23" s="6">
        <f t="shared" si="117"/>
        <v>160.93233247498756</v>
      </c>
      <c r="GA23" s="6">
        <f t="shared" si="117"/>
        <v>159.32300915023768</v>
      </c>
      <c r="GB23" s="6">
        <f t="shared" si="117"/>
        <v>157.72977905873529</v>
      </c>
      <c r="GC23" s="6">
        <f t="shared" si="117"/>
        <v>156.15248126814794</v>
      </c>
      <c r="GD23" s="6">
        <f t="shared" si="117"/>
        <v>154.59095645546645</v>
      </c>
      <c r="GE23" s="6">
        <f t="shared" si="117"/>
        <v>153.04504689091178</v>
      </c>
      <c r="GF23" s="6">
        <f t="shared" si="117"/>
        <v>151.51459642200265</v>
      </c>
      <c r="GG23" s="6">
        <f t="shared" si="117"/>
        <v>149.99945045778261</v>
      </c>
      <c r="GH23" s="6">
        <f t="shared" si="117"/>
        <v>148.4994559532048</v>
      </c>
      <c r="GI23" s="6">
        <f t="shared" si="117"/>
        <v>147.01446139367275</v>
      </c>
      <c r="GJ23" s="6">
        <f t="shared" si="117"/>
        <v>145.54431677973602</v>
      </c>
      <c r="GK23" s="6">
        <f t="shared" si="117"/>
        <v>144.08887361193865</v>
      </c>
      <c r="GL23" s="6">
        <f t="shared" si="117"/>
        <v>142.64798487581928</v>
      </c>
      <c r="GM23" s="6">
        <f t="shared" si="117"/>
        <v>141.22150502706108</v>
      </c>
      <c r="GN23" s="6">
        <f t="shared" si="117"/>
        <v>139.80928997679047</v>
      </c>
      <c r="GO23" s="6">
        <f t="shared" si="117"/>
        <v>138.41119707702256</v>
      </c>
      <c r="GP23" s="6">
        <f t="shared" si="117"/>
        <v>137.02708510625234</v>
      </c>
      <c r="GQ23" s="6">
        <f t="shared" si="117"/>
        <v>135.65681425518983</v>
      </c>
      <c r="GR23" s="6">
        <f t="shared" si="117"/>
        <v>134.30024611263792</v>
      </c>
      <c r="GS23" s="6">
        <f t="shared" si="117"/>
        <v>132.95724365151153</v>
      </c>
      <c r="GT23" s="6">
        <f t="shared" si="117"/>
        <v>131.62767121499641</v>
      </c>
      <c r="GU23" s="6">
        <f t="shared" si="117"/>
        <v>130.31139450284644</v>
      </c>
      <c r="GV23" s="6">
        <f t="shared" ref="GV23:HO23" si="118">GU23*(1+$AU$28)</f>
        <v>129.00828055781798</v>
      </c>
      <c r="GW23" s="6">
        <f t="shared" si="118"/>
        <v>127.7181977522398</v>
      </c>
      <c r="GX23" s="6">
        <f t="shared" si="118"/>
        <v>126.4410157747174</v>
      </c>
      <c r="GY23" s="6">
        <f t="shared" si="118"/>
        <v>125.17660561697022</v>
      </c>
      <c r="GZ23" s="6">
        <f t="shared" si="118"/>
        <v>123.92483956080052</v>
      </c>
      <c r="HA23" s="6">
        <f t="shared" si="118"/>
        <v>122.68559116519252</v>
      </c>
      <c r="HB23" s="6">
        <f t="shared" si="118"/>
        <v>121.4587352535406</v>
      </c>
      <c r="HC23" s="6">
        <f t="shared" si="118"/>
        <v>120.24414790100519</v>
      </c>
      <c r="HD23" s="6">
        <f t="shared" si="118"/>
        <v>119.04170642199514</v>
      </c>
      <c r="HE23" s="6">
        <f t="shared" si="118"/>
        <v>117.85128935777519</v>
      </c>
      <c r="HF23" s="6">
        <f t="shared" si="118"/>
        <v>116.67277646419744</v>
      </c>
      <c r="HG23" s="6">
        <f t="shared" si="118"/>
        <v>115.50604869955546</v>
      </c>
      <c r="HH23" s="6">
        <f t="shared" si="118"/>
        <v>114.35098821255991</v>
      </c>
      <c r="HI23" s="6">
        <f t="shared" si="118"/>
        <v>113.20747833043431</v>
      </c>
      <c r="HJ23" s="6">
        <f t="shared" si="118"/>
        <v>112.07540354712997</v>
      </c>
      <c r="HK23" s="6">
        <f t="shared" si="118"/>
        <v>110.95464951165866</v>
      </c>
      <c r="HL23" s="6">
        <f t="shared" si="118"/>
        <v>109.84510301654207</v>
      </c>
      <c r="HM23" s="6">
        <f t="shared" si="118"/>
        <v>108.74665198637665</v>
      </c>
      <c r="HN23" s="6">
        <f t="shared" si="118"/>
        <v>107.65918546651288</v>
      </c>
      <c r="HO23" s="6">
        <f t="shared" si="118"/>
        <v>106.58259361184776</v>
      </c>
    </row>
    <row r="24" spans="1:223" x14ac:dyDescent="0.2">
      <c r="B24" s="1" t="s">
        <v>3</v>
      </c>
      <c r="C24" s="2">
        <v>95.947999999999993</v>
      </c>
      <c r="D24" s="2">
        <v>96.197000000000003</v>
      </c>
      <c r="E24" s="2">
        <v>96.879000000000005</v>
      </c>
      <c r="F24" s="2">
        <v>94.572999999999993</v>
      </c>
      <c r="G24" s="2">
        <v>97.037999999999997</v>
      </c>
      <c r="H24" s="2">
        <v>96.927999999999997</v>
      </c>
      <c r="I24" s="2">
        <v>97.32</v>
      </c>
      <c r="J24" s="2">
        <v>94.504999999999995</v>
      </c>
      <c r="K24" s="2">
        <v>96.418999999999997</v>
      </c>
      <c r="L24" s="2">
        <v>95.891000000000005</v>
      </c>
      <c r="M24" s="2">
        <v>96.287000000000006</v>
      </c>
      <c r="N24" s="2">
        <v>94.153999999999996</v>
      </c>
      <c r="O24" s="2">
        <v>95.676000000000002</v>
      </c>
      <c r="P24" s="2">
        <v>94.141000000000005</v>
      </c>
      <c r="Q24" s="2">
        <v>96.611999999999995</v>
      </c>
      <c r="R24" s="2">
        <v>94.185000000000002</v>
      </c>
      <c r="S24" s="2">
        <v>124.57</v>
      </c>
      <c r="T24" s="2">
        <v>194.334</v>
      </c>
      <c r="U24" s="2">
        <v>185.96299999999999</v>
      </c>
      <c r="V24" s="2">
        <v>185.971</v>
      </c>
      <c r="W24" s="2">
        <v>200.8</v>
      </c>
      <c r="X24" s="2">
        <v>200.6</v>
      </c>
      <c r="Y24" s="2">
        <f t="shared" ref="Y24:Z24" si="119">U24*1.1</f>
        <v>204.55930000000001</v>
      </c>
      <c r="Z24" s="2">
        <f t="shared" si="119"/>
        <v>204.56810000000002</v>
      </c>
      <c r="AI24" s="2">
        <f>F24</f>
        <v>94.572999999999993</v>
      </c>
      <c r="AJ24" s="2">
        <f>J24</f>
        <v>94.504999999999995</v>
      </c>
      <c r="AK24" s="2">
        <f>N24</f>
        <v>94.153999999999996</v>
      </c>
      <c r="AL24" s="2">
        <f>R24</f>
        <v>94.185000000000002</v>
      </c>
      <c r="AM24" s="2">
        <f>V24</f>
        <v>185.971</v>
      </c>
      <c r="AN24" s="2">
        <f>Z24</f>
        <v>204.56810000000002</v>
      </c>
      <c r="AO24" s="2">
        <f t="shared" ref="AO24:AQ24" si="120">AN24*0.99</f>
        <v>202.52241900000001</v>
      </c>
      <c r="AP24" s="2">
        <f t="shared" si="120"/>
        <v>200.49719481000002</v>
      </c>
      <c r="AQ24" s="2">
        <f t="shared" si="120"/>
        <v>198.49222286190002</v>
      </c>
    </row>
    <row r="25" spans="1:223" x14ac:dyDescent="0.2">
      <c r="B25" s="1" t="s">
        <v>19</v>
      </c>
      <c r="C25" s="7">
        <f t="shared" ref="C25:Z25" si="121">C23/C24</f>
        <v>0.26773877516988392</v>
      </c>
      <c r="D25" s="7">
        <f t="shared" si="121"/>
        <v>0.32686050500535346</v>
      </c>
      <c r="E25" s="7">
        <f t="shared" si="121"/>
        <v>3.1585792586628456E-2</v>
      </c>
      <c r="F25" s="7">
        <f t="shared" si="121"/>
        <v>-0.20498450932084211</v>
      </c>
      <c r="G25" s="7">
        <f t="shared" si="121"/>
        <v>0.64773593849832056</v>
      </c>
      <c r="H25" s="7">
        <f t="shared" si="121"/>
        <v>0.62796096071310703</v>
      </c>
      <c r="I25" s="7">
        <f t="shared" si="121"/>
        <v>9.7790793259350584E-2</v>
      </c>
      <c r="J25" s="7">
        <f t="shared" si="121"/>
        <v>-0.30156076398074166</v>
      </c>
      <c r="K25" s="7">
        <f t="shared" si="121"/>
        <v>0.50453748742467741</v>
      </c>
      <c r="L25" s="7">
        <f t="shared" si="121"/>
        <v>0.30170714665609893</v>
      </c>
      <c r="M25" s="7">
        <f t="shared" si="121"/>
        <v>0.32245266754598201</v>
      </c>
      <c r="N25" s="7">
        <f t="shared" si="121"/>
        <v>-0.31032138836374401</v>
      </c>
      <c r="O25" s="7">
        <f t="shared" si="121"/>
        <v>1.0746164137296712</v>
      </c>
      <c r="P25" s="7">
        <f t="shared" si="121"/>
        <v>6.9948269085732886E-2</v>
      </c>
      <c r="Q25" s="7">
        <f t="shared" si="121"/>
        <v>0.54270691011468519</v>
      </c>
      <c r="R25" s="7">
        <f t="shared" si="121"/>
        <v>-0.43081170037691768</v>
      </c>
      <c r="S25" s="7">
        <f t="shared" si="121"/>
        <v>2.1870434293971268</v>
      </c>
      <c r="T25" s="7">
        <f t="shared" si="121"/>
        <v>0.47188345837578632</v>
      </c>
      <c r="U25" s="7">
        <f t="shared" si="121"/>
        <v>-8.5990223861735673E-2</v>
      </c>
      <c r="V25" s="7">
        <f t="shared" si="121"/>
        <v>-0.14102198729909532</v>
      </c>
      <c r="W25" s="7">
        <f t="shared" si="121"/>
        <v>0.4317729083665342</v>
      </c>
      <c r="X25" s="7">
        <f t="shared" si="121"/>
        <v>0.52542372881355814</v>
      </c>
      <c r="Y25" s="7">
        <f t="shared" si="121"/>
        <v>0.47105996647426907</v>
      </c>
      <c r="Z25" s="7">
        <f t="shared" si="121"/>
        <v>-0.16380883431972079</v>
      </c>
      <c r="AA25" s="7"/>
      <c r="AB25" s="7"/>
      <c r="AC25" s="7"/>
      <c r="AD25" s="7"/>
      <c r="AE25" s="7"/>
      <c r="AF25" s="7"/>
      <c r="AI25" s="7">
        <f>AI23/AI24</f>
        <v>0.43147621414145737</v>
      </c>
      <c r="AJ25" s="7">
        <f t="shared" ref="AJ25:AQ25" si="122">AJ23/AJ24</f>
        <v>1.1083011480874012</v>
      </c>
      <c r="AK25" s="7">
        <f t="shared" si="122"/>
        <v>0.84338424283620717</v>
      </c>
      <c r="AL25" s="7">
        <f>AL23/AL24</f>
        <v>1.2874236874236868</v>
      </c>
      <c r="AM25" s="7">
        <f t="shared" si="122"/>
        <v>1.7310548418839511</v>
      </c>
      <c r="AN25" s="7">
        <f t="shared" si="122"/>
        <v>1.2462824604618206</v>
      </c>
      <c r="AO25" s="7">
        <f t="shared" si="122"/>
        <v>2.6551727379377157</v>
      </c>
      <c r="AP25" s="7">
        <f t="shared" si="122"/>
        <v>2.9501919310419096</v>
      </c>
      <c r="AQ25" s="7">
        <f t="shared" si="122"/>
        <v>3.2779910344910106</v>
      </c>
      <c r="AR25" s="7"/>
    </row>
    <row r="26" spans="1:223" x14ac:dyDescent="0.2">
      <c r="P26" s="20"/>
      <c r="AL26" s="20"/>
    </row>
    <row r="28" spans="1:223" x14ac:dyDescent="0.2">
      <c r="B28" s="1" t="s">
        <v>34</v>
      </c>
      <c r="G28" s="4">
        <f t="shared" ref="G28:Z28" si="123">G6/C6-1</f>
        <v>0.30513357524593188</v>
      </c>
      <c r="H28" s="4">
        <f t="shared" si="123"/>
        <v>0.30130882488146371</v>
      </c>
      <c r="I28" s="4">
        <f t="shared" si="123"/>
        <v>7.8200686359829907E-2</v>
      </c>
      <c r="J28" s="4">
        <f t="shared" si="123"/>
        <v>-5.7284628268208349E-2</v>
      </c>
      <c r="K28" s="4">
        <f t="shared" si="123"/>
        <v>0.28027907368964078</v>
      </c>
      <c r="L28" s="4">
        <f t="shared" si="123"/>
        <v>0.12716528181150655</v>
      </c>
      <c r="M28" s="4">
        <f t="shared" si="123"/>
        <v>0.62273180686378282</v>
      </c>
      <c r="N28" s="4">
        <f t="shared" si="123"/>
        <v>0.72650239652863124</v>
      </c>
      <c r="O28" s="4">
        <f t="shared" si="123"/>
        <v>0</v>
      </c>
      <c r="P28" s="4">
        <f t="shared" si="123"/>
        <v>-0.33514510597526792</v>
      </c>
      <c r="Q28" s="4">
        <f t="shared" si="123"/>
        <v>0.11576732040251803</v>
      </c>
      <c r="R28" s="4">
        <f t="shared" si="123"/>
        <v>0.20096107917843442</v>
      </c>
      <c r="S28" s="4">
        <f t="shared" si="123"/>
        <v>0.26230876971388839</v>
      </c>
      <c r="T28" s="4">
        <f t="shared" si="123"/>
        <v>2.0761357055313878</v>
      </c>
      <c r="U28" s="4">
        <f t="shared" si="123"/>
        <v>0.80095634821336592</v>
      </c>
      <c r="V28" s="4">
        <f t="shared" si="123"/>
        <v>0.89981021223663915</v>
      </c>
      <c r="W28" s="4">
        <f t="shared" si="123"/>
        <v>0.59637814610190309</v>
      </c>
      <c r="X28" s="4">
        <f t="shared" si="123"/>
        <v>0.22121278458844107</v>
      </c>
      <c r="Y28" s="4">
        <f t="shared" si="123"/>
        <v>0.14999999999999991</v>
      </c>
      <c r="Z28" s="4">
        <f t="shared" si="123"/>
        <v>0.14999999999999991</v>
      </c>
      <c r="AA28" s="4"/>
      <c r="AB28" s="4"/>
      <c r="AC28" s="4"/>
      <c r="AD28" s="4"/>
      <c r="AE28" s="4"/>
      <c r="AF28" s="4"/>
      <c r="AJ28" s="4">
        <f t="shared" ref="AJ28:AQ28" si="124">AJ6/AI6-1</f>
        <v>0.18507803679858403</v>
      </c>
      <c r="AK28" s="4">
        <f t="shared" si="124"/>
        <v>0.36869686538990742</v>
      </c>
      <c r="AL28" s="4">
        <f t="shared" si="124"/>
        <v>-2.2152030818376689E-2</v>
      </c>
      <c r="AM28" s="4">
        <f t="shared" si="124"/>
        <v>0.88374461413230065</v>
      </c>
      <c r="AN28" s="4">
        <f t="shared" si="124"/>
        <v>0.26358961634143263</v>
      </c>
      <c r="AO28" s="4">
        <f t="shared" si="124"/>
        <v>0.19999999999999996</v>
      </c>
      <c r="AP28" s="4">
        <f t="shared" si="124"/>
        <v>0.10000000000000009</v>
      </c>
      <c r="AQ28" s="4">
        <f t="shared" si="124"/>
        <v>0.10000000000000009</v>
      </c>
      <c r="AT28" s="1" t="s">
        <v>43</v>
      </c>
      <c r="AU28" s="4">
        <v>-0.01</v>
      </c>
    </row>
    <row r="29" spans="1:223" x14ac:dyDescent="0.2">
      <c r="B29" s="1" t="s">
        <v>35</v>
      </c>
      <c r="G29" s="4">
        <f t="shared" ref="G29:Z29" si="125">G9/C9-1</f>
        <v>0.25753045678981734</v>
      </c>
      <c r="H29" s="4">
        <f t="shared" si="125"/>
        <v>0.30202131945288158</v>
      </c>
      <c r="I29" s="4">
        <f t="shared" si="125"/>
        <v>6.2818128073135249E-2</v>
      </c>
      <c r="J29" s="4">
        <f t="shared" si="125"/>
        <v>-1.1465207025564639E-2</v>
      </c>
      <c r="K29" s="4">
        <f t="shared" si="125"/>
        <v>0.37012464916218191</v>
      </c>
      <c r="L29" s="4">
        <f t="shared" si="125"/>
        <v>0.17816554853791966</v>
      </c>
      <c r="M29" s="4">
        <f t="shared" si="125"/>
        <v>0.59297222128005989</v>
      </c>
      <c r="N29" s="4">
        <f t="shared" si="125"/>
        <v>0.64210935171217742</v>
      </c>
      <c r="O29" s="4">
        <f t="shared" si="125"/>
        <v>-0.11218876456272231</v>
      </c>
      <c r="P29" s="4">
        <f t="shared" si="125"/>
        <v>-0.27074796470063478</v>
      </c>
      <c r="Q29" s="4">
        <f t="shared" si="125"/>
        <v>0.17032892159367718</v>
      </c>
      <c r="R29" s="4">
        <f t="shared" si="125"/>
        <v>0.29546242154538405</v>
      </c>
      <c r="S29" s="4">
        <f t="shared" si="125"/>
        <v>0.30418650294807015</v>
      </c>
      <c r="T29" s="4">
        <f t="shared" si="125"/>
        <v>1.0452266764223364</v>
      </c>
      <c r="U29" s="4">
        <f t="shared" si="125"/>
        <v>0.19506160261401728</v>
      </c>
      <c r="V29" s="4">
        <f t="shared" si="125"/>
        <v>0.11374232503630477</v>
      </c>
      <c r="W29" s="4">
        <f t="shared" si="125"/>
        <v>0.40167591685711179</v>
      </c>
      <c r="X29" s="4">
        <f t="shared" si="125"/>
        <v>0.25519153479376411</v>
      </c>
      <c r="Y29" s="4">
        <f t="shared" si="125"/>
        <v>0.10000000000000009</v>
      </c>
      <c r="Z29" s="4">
        <f t="shared" si="125"/>
        <v>0.10000000000000009</v>
      </c>
      <c r="AA29" s="4"/>
      <c r="AB29" s="4"/>
      <c r="AC29" s="4"/>
      <c r="AD29" s="4"/>
      <c r="AE29" s="4"/>
      <c r="AF29" s="4"/>
      <c r="AJ29" s="4">
        <f t="shared" ref="AJ29:AQ29" si="126">AJ9/AI9-1</f>
        <v>0.16923989244889914</v>
      </c>
      <c r="AK29" s="4">
        <f t="shared" si="126"/>
        <v>0.40605750490996506</v>
      </c>
      <c r="AL29" s="4">
        <f t="shared" si="126"/>
        <v>-2.5699043965594637E-3</v>
      </c>
      <c r="AM29" s="4">
        <f t="shared" si="126"/>
        <v>0.3629896713615024</v>
      </c>
      <c r="AN29" s="4">
        <f t="shared" si="126"/>
        <v>0.22010532730353272</v>
      </c>
      <c r="AO29" s="4">
        <f t="shared" si="126"/>
        <v>0.10000000000000009</v>
      </c>
      <c r="AP29" s="4">
        <f t="shared" si="126"/>
        <v>0.10000000000000009</v>
      </c>
      <c r="AQ29" s="4">
        <f t="shared" si="126"/>
        <v>9.9999999999999867E-2</v>
      </c>
      <c r="AT29" s="1" t="s">
        <v>44</v>
      </c>
      <c r="AU29" s="4">
        <f>WACC!C18</f>
        <v>7.8129364914613475E-2</v>
      </c>
    </row>
    <row r="30" spans="1:223" x14ac:dyDescent="0.2">
      <c r="B30" s="21" t="s">
        <v>81</v>
      </c>
      <c r="G30" s="4">
        <f t="shared" ref="G30:V30" si="127">G10/C10-1</f>
        <v>0.35708628101411488</v>
      </c>
      <c r="H30" s="4">
        <f t="shared" si="127"/>
        <v>0.30055681166267356</v>
      </c>
      <c r="I30" s="4">
        <f t="shared" si="127"/>
        <v>9.8539589330994826E-2</v>
      </c>
      <c r="J30" s="4">
        <f t="shared" si="127"/>
        <v>-0.1216955790425025</v>
      </c>
      <c r="K30" s="4">
        <f t="shared" si="127"/>
        <v>0.18941744570043184</v>
      </c>
      <c r="L30" s="4">
        <f t="shared" si="127"/>
        <v>7.3275660752372573E-2</v>
      </c>
      <c r="M30" s="4">
        <f t="shared" si="127"/>
        <v>0.66080059702010585</v>
      </c>
      <c r="N30" s="4">
        <f t="shared" si="127"/>
        <v>0.86002772577210584</v>
      </c>
      <c r="O30" s="4">
        <f t="shared" si="127"/>
        <v>0.13069499607856305</v>
      </c>
      <c r="P30" s="4">
        <f t="shared" si="127"/>
        <v>-0.40984058370443444</v>
      </c>
      <c r="Q30" s="4">
        <f t="shared" si="127"/>
        <v>4.8822032614204369E-2</v>
      </c>
      <c r="R30" s="4">
        <f t="shared" si="127"/>
        <v>6.8959953283953546E-2</v>
      </c>
      <c r="S30" s="4">
        <f t="shared" si="127"/>
        <v>0.22400267067267565</v>
      </c>
      <c r="T30" s="4">
        <f t="shared" si="127"/>
        <v>3.5537339723894981</v>
      </c>
      <c r="U30" s="4">
        <f t="shared" si="127"/>
        <v>1.630494238615475</v>
      </c>
      <c r="V30" s="4">
        <f t="shared" si="127"/>
        <v>2.2304579400961728</v>
      </c>
      <c r="W30" s="4">
        <f>W10/S10-1</f>
        <v>0.78614179432398457</v>
      </c>
      <c r="X30" s="4">
        <f t="shared" ref="X30:Z30" si="128">X10/T10-1</f>
        <v>0.19933933782650737</v>
      </c>
      <c r="Y30" s="4">
        <f t="shared" si="128"/>
        <v>0.18110011419870564</v>
      </c>
      <c r="Z30" s="4">
        <f t="shared" si="128"/>
        <v>0.1791805638685362</v>
      </c>
      <c r="AA30" s="4"/>
      <c r="AB30" s="4"/>
      <c r="AC30" s="4"/>
      <c r="AD30" s="4"/>
      <c r="AE30" s="4"/>
      <c r="AF30" s="4"/>
      <c r="AJ30" s="4">
        <f>AJ10/AI10-1</f>
        <v>0.20381185893166309</v>
      </c>
      <c r="AK30" s="4">
        <f t="shared" ref="AK30:AQ30" si="129">AK10/AJ10-1</f>
        <v>0.32577472167422594</v>
      </c>
      <c r="AL30" s="4">
        <f t="shared" si="129"/>
        <v>-4.6011473851278462E-2</v>
      </c>
      <c r="AM30" s="4">
        <f>AM10/AL10-1</f>
        <v>1.5471411034222555</v>
      </c>
      <c r="AN30" s="4">
        <f t="shared" si="129"/>
        <v>0.2932319029823709</v>
      </c>
      <c r="AO30" s="4">
        <f t="shared" si="129"/>
        <v>0.26431321825718013</v>
      </c>
      <c r="AP30" s="4">
        <f t="shared" si="129"/>
        <v>0.10000000000000009</v>
      </c>
      <c r="AQ30" s="4">
        <f t="shared" si="129"/>
        <v>0.10000000000000009</v>
      </c>
      <c r="AT30" s="1" t="s">
        <v>45</v>
      </c>
      <c r="AU30" s="2">
        <f>NPV(AU29,AM23:HO23)</f>
        <v>6849.2855321300494</v>
      </c>
    </row>
    <row r="31" spans="1:223" x14ac:dyDescent="0.2">
      <c r="B31" s="1" t="s">
        <v>36</v>
      </c>
      <c r="G31" s="4">
        <f t="shared" ref="G31:P32" si="130">G15/C15-1</f>
        <v>0.10598214630753144</v>
      </c>
      <c r="H31" s="4">
        <f t="shared" si="130"/>
        <v>0.19427966101694905</v>
      </c>
      <c r="I31" s="4">
        <f t="shared" si="130"/>
        <v>5.7401507105649063E-2</v>
      </c>
      <c r="J31" s="4">
        <f t="shared" si="130"/>
        <v>0.12399368744881034</v>
      </c>
      <c r="K31" s="4">
        <f t="shared" si="130"/>
        <v>0.47449291566938667</v>
      </c>
      <c r="L31" s="4">
        <f t="shared" si="130"/>
        <v>0.36528210716608811</v>
      </c>
      <c r="M31" s="4">
        <f t="shared" si="130"/>
        <v>0.44346661564951217</v>
      </c>
      <c r="N31" s="4">
        <f t="shared" si="130"/>
        <v>0.35787153876230748</v>
      </c>
      <c r="O31" s="4">
        <f t="shared" si="130"/>
        <v>-8.1772780321925254E-2</v>
      </c>
      <c r="P31" s="4">
        <f t="shared" si="130"/>
        <v>-0.22511725179126085</v>
      </c>
      <c r="Q31" s="4">
        <f t="shared" ref="Q31:Z32" si="131">Q15/M15-1</f>
        <v>-9.0629555997349343E-2</v>
      </c>
      <c r="R31" s="4">
        <f t="shared" si="131"/>
        <v>0.1215544095704304</v>
      </c>
      <c r="S31" s="4">
        <f t="shared" si="131"/>
        <v>0.63817309057124794</v>
      </c>
      <c r="T31" s="4">
        <f t="shared" si="131"/>
        <v>2.5818900467121808</v>
      </c>
      <c r="U31" s="4">
        <f t="shared" si="131"/>
        <v>2.2940083367340991</v>
      </c>
      <c r="V31" s="4">
        <f t="shared" si="131"/>
        <v>1.9414160510683982</v>
      </c>
      <c r="W31" s="4">
        <f t="shared" si="131"/>
        <v>0.94992654790927378</v>
      </c>
      <c r="X31" s="4">
        <f t="shared" si="131"/>
        <v>0.19845378061340524</v>
      </c>
      <c r="Y31" s="4">
        <f t="shared" si="131"/>
        <v>5.0000000000000044E-2</v>
      </c>
      <c r="Z31" s="4">
        <f t="shared" si="131"/>
        <v>5.0000000000000044E-2</v>
      </c>
      <c r="AA31" s="4"/>
      <c r="AB31" s="4"/>
      <c r="AC31" s="4"/>
      <c r="AD31" s="4"/>
      <c r="AE31" s="4"/>
      <c r="AF31" s="4"/>
      <c r="AJ31" s="4">
        <f t="shared" ref="AJ31:AQ32" si="132">AJ15/AI15-1</f>
        <v>0.12030546972069955</v>
      </c>
      <c r="AK31" s="4">
        <f t="shared" si="132"/>
        <v>0.40938196640788393</v>
      </c>
      <c r="AL31" s="4">
        <f t="shared" si="132"/>
        <v>-7.1418771555496696E-2</v>
      </c>
      <c r="AM31" s="4">
        <f t="shared" si="132"/>
        <v>1.8167606664730633</v>
      </c>
      <c r="AN31" s="4">
        <f t="shared" si="132"/>
        <v>0.22791599039187371</v>
      </c>
      <c r="AO31" s="4">
        <f t="shared" si="132"/>
        <v>0.10000000000000009</v>
      </c>
      <c r="AP31" s="4">
        <f t="shared" si="132"/>
        <v>9.9999999999999867E-2</v>
      </c>
      <c r="AQ31" s="4">
        <f t="shared" si="132"/>
        <v>0.10000000000000009</v>
      </c>
      <c r="AT31" s="1" t="s">
        <v>46</v>
      </c>
      <c r="AU31" s="2">
        <f>Main!C7-Main!C8</f>
        <v>-988.00000000000023</v>
      </c>
    </row>
    <row r="32" spans="1:223" x14ac:dyDescent="0.2">
      <c r="B32" s="1" t="s">
        <v>37</v>
      </c>
      <c r="G32" s="4">
        <f t="shared" si="130"/>
        <v>0.94503132987988314</v>
      </c>
      <c r="H32" s="4">
        <f t="shared" si="130"/>
        <v>0.5153430522989102</v>
      </c>
      <c r="I32" s="4">
        <f t="shared" si="130"/>
        <v>0.77223786648998471</v>
      </c>
      <c r="J32" s="4">
        <f t="shared" si="130"/>
        <v>1.0810189712497555</v>
      </c>
      <c r="K32" s="4">
        <f t="shared" si="130"/>
        <v>-0.19012839598064835</v>
      </c>
      <c r="L32" s="4">
        <f t="shared" si="130"/>
        <v>-0.39183261571582395</v>
      </c>
      <c r="M32" s="4">
        <f t="shared" si="130"/>
        <v>2.7843723712496478</v>
      </c>
      <c r="N32" s="4">
        <f t="shared" si="130"/>
        <v>-0.4676816804116456</v>
      </c>
      <c r="O32" s="4">
        <f t="shared" si="130"/>
        <v>0.64571486012981905</v>
      </c>
      <c r="P32" s="4">
        <f t="shared" si="130"/>
        <v>-1.0703555388393553</v>
      </c>
      <c r="Q32" s="4">
        <f t="shared" si="131"/>
        <v>0.56854948257551419</v>
      </c>
      <c r="R32" s="4">
        <f t="shared" si="131"/>
        <v>0.42368467514124597</v>
      </c>
      <c r="S32" s="4">
        <f t="shared" si="131"/>
        <v>-0.33614889922426516</v>
      </c>
      <c r="T32" s="4">
        <f t="shared" si="131"/>
        <v>-34.71949685534571</v>
      </c>
      <c r="U32" s="4">
        <f t="shared" si="131"/>
        <v>0.19683824339857492</v>
      </c>
      <c r="V32" s="4">
        <f t="shared" si="131"/>
        <v>0.69471399782979626</v>
      </c>
      <c r="W32" s="4">
        <f t="shared" si="131"/>
        <v>0.23951733746944015</v>
      </c>
      <c r="X32" s="4">
        <f t="shared" si="131"/>
        <v>0.20304398104972288</v>
      </c>
      <c r="Y32" s="4">
        <f t="shared" si="131"/>
        <v>0.96072753585054382</v>
      </c>
      <c r="Z32" s="4">
        <f t="shared" si="131"/>
        <v>-1.0121032508277976</v>
      </c>
      <c r="AA32" s="4"/>
      <c r="AB32" s="4"/>
      <c r="AC32" s="4"/>
      <c r="AD32" s="4"/>
      <c r="AE32" s="4"/>
      <c r="AF32" s="4"/>
      <c r="AJ32" s="4">
        <f t="shared" si="132"/>
        <v>0.62920963506982464</v>
      </c>
      <c r="AK32" s="4">
        <f t="shared" si="132"/>
        <v>3.2902010245872804E-2</v>
      </c>
      <c r="AL32" s="4">
        <f t="shared" si="132"/>
        <v>7.5428890161905793E-2</v>
      </c>
      <c r="AM32" s="4">
        <f t="shared" si="132"/>
        <v>0.43439985982127438</v>
      </c>
      <c r="AN32" s="4">
        <f t="shared" si="132"/>
        <v>0.82258017229163172</v>
      </c>
      <c r="AO32" s="4">
        <f t="shared" si="132"/>
        <v>1.1614879094039749</v>
      </c>
      <c r="AP32" s="4">
        <f t="shared" si="132"/>
        <v>0.10000000000000098</v>
      </c>
      <c r="AQ32" s="4">
        <f t="shared" si="132"/>
        <v>0.10000000000000031</v>
      </c>
      <c r="AT32" s="1" t="s">
        <v>47</v>
      </c>
      <c r="AU32" s="2">
        <f>AU30+AU31</f>
        <v>5861.2855321300494</v>
      </c>
    </row>
    <row r="33" spans="2:47" x14ac:dyDescent="0.2">
      <c r="B33" s="1" t="s">
        <v>38</v>
      </c>
      <c r="G33" s="4">
        <f>G23/C23-1</f>
        <v>1.4467670987582224</v>
      </c>
      <c r="H33" s="4">
        <f t="shared" ref="H33:R35" si="133">H23/D23-1</f>
        <v>0.93578856979296066</v>
      </c>
      <c r="I33" s="4">
        <f t="shared" si="133"/>
        <v>2.1101307189542697</v>
      </c>
      <c r="J33" s="4">
        <f t="shared" si="133"/>
        <v>0.47008150211492783</v>
      </c>
      <c r="K33" s="4">
        <f t="shared" si="133"/>
        <v>-0.22604406968419466</v>
      </c>
      <c r="L33" s="4">
        <f t="shared" si="133"/>
        <v>-0.5246849688665457</v>
      </c>
      <c r="M33" s="4">
        <f t="shared" si="133"/>
        <v>2.2623725964064287</v>
      </c>
      <c r="N33" s="4">
        <f t="shared" si="133"/>
        <v>2.5228955401942699E-2</v>
      </c>
      <c r="O33" s="4">
        <f t="shared" si="133"/>
        <v>1.113491068308428</v>
      </c>
      <c r="P33" s="4">
        <f t="shared" si="133"/>
        <v>-0.77238947841415839</v>
      </c>
      <c r="Q33" s="4">
        <f t="shared" si="133"/>
        <v>0.68874001545993324</v>
      </c>
      <c r="R33" s="4">
        <f t="shared" si="133"/>
        <v>0.3887329728249731</v>
      </c>
      <c r="S33" s="4">
        <f t="shared" ref="S33:S35" si="134">S23/O23-1</f>
        <v>1.6498079074065068</v>
      </c>
      <c r="T33" s="4">
        <f t="shared" ref="T33:T35" si="135">T23/P23-1</f>
        <v>12.926044039483727</v>
      </c>
      <c r="U33" s="4">
        <f t="shared" ref="U33:U35" si="136">U23/Q23-1</f>
        <v>-1.3049855050350923</v>
      </c>
      <c r="V33" s="4">
        <f t="shared" ref="V33:V35" si="137">V23/R23-1</f>
        <v>-0.35365733438485658</v>
      </c>
      <c r="W33" s="4">
        <f>W23/S23-1</f>
        <v>-0.68176479224783415</v>
      </c>
      <c r="X33" s="4">
        <f t="shared" ref="X33:X35" si="138">X23/T23-1</f>
        <v>0.14936261627209246</v>
      </c>
      <c r="Y33" s="4">
        <f t="shared" ref="Y33:Y35" si="139">Y23/U23-1</f>
        <v>-7.0258706147207963</v>
      </c>
      <c r="Z33" s="4">
        <f t="shared" ref="Z33:Z35" si="140">Z23/V23-1</f>
        <v>0.27774201174407098</v>
      </c>
      <c r="AA33" s="4"/>
      <c r="AB33" s="4"/>
      <c r="AC33" s="4"/>
      <c r="AD33" s="4"/>
      <c r="AE33" s="4"/>
      <c r="AF33" s="4"/>
      <c r="AJ33" s="4">
        <f t="shared" ref="AJ33:AL35" si="141">AJ23/AI23-1</f>
        <v>1.566779395186976</v>
      </c>
      <c r="AK33" s="4">
        <f t="shared" si="141"/>
        <v>-0.2418560244414707</v>
      </c>
      <c r="AL33" s="4">
        <f t="shared" si="141"/>
        <v>0.52699979850896117</v>
      </c>
      <c r="AM33" s="4">
        <f t="shared" ref="AM33:AQ33" si="142">AM23/AL23-1</f>
        <v>1.6549284159134423</v>
      </c>
      <c r="AN33" s="4">
        <f t="shared" si="142"/>
        <v>-0.20804894603107682</v>
      </c>
      <c r="AO33" s="4">
        <f t="shared" si="142"/>
        <v>1.1091695453888364</v>
      </c>
      <c r="AP33" s="4">
        <f t="shared" si="142"/>
        <v>0.1000000000000012</v>
      </c>
      <c r="AQ33" s="4">
        <f t="shared" si="142"/>
        <v>9.9999999999999867E-2</v>
      </c>
      <c r="AT33" s="1" t="s">
        <v>48</v>
      </c>
      <c r="AU33" s="7">
        <f>AU32/Main!C5</f>
        <v>29.218771346610417</v>
      </c>
    </row>
    <row r="34" spans="2:47" x14ac:dyDescent="0.2">
      <c r="B34" s="1" t="s">
        <v>39</v>
      </c>
      <c r="G34" s="4">
        <f>G24/C24-1</f>
        <v>1.1360320173427363E-2</v>
      </c>
      <c r="H34" s="4">
        <f t="shared" si="133"/>
        <v>7.5989895734793755E-3</v>
      </c>
      <c r="I34" s="4">
        <f t="shared" si="133"/>
        <v>4.5520701080727921E-3</v>
      </c>
      <c r="J34" s="4">
        <f t="shared" si="133"/>
        <v>-7.1902128514478303E-4</v>
      </c>
      <c r="K34" s="4">
        <f t="shared" si="133"/>
        <v>-6.3789443310867666E-3</v>
      </c>
      <c r="L34" s="4">
        <f t="shared" si="133"/>
        <v>-1.0698662925057723E-2</v>
      </c>
      <c r="M34" s="4">
        <f t="shared" si="133"/>
        <v>-1.0614467735306055E-2</v>
      </c>
      <c r="N34" s="4">
        <f t="shared" si="133"/>
        <v>-3.7140892016295224E-3</v>
      </c>
      <c r="O34" s="4">
        <f t="shared" si="133"/>
        <v>-7.7059500720811913E-3</v>
      </c>
      <c r="P34" s="4">
        <f t="shared" si="133"/>
        <v>-1.8249887893545758E-2</v>
      </c>
      <c r="Q34" s="4">
        <f t="shared" si="133"/>
        <v>3.3753258487645432E-3</v>
      </c>
      <c r="R34" s="4">
        <f t="shared" si="133"/>
        <v>3.2924782802656871E-4</v>
      </c>
      <c r="S34" s="4">
        <f>S24/O24-1</f>
        <v>0.30199841130482041</v>
      </c>
      <c r="T34" s="4">
        <f>T24/P24-1</f>
        <v>1.0642865489000539</v>
      </c>
      <c r="U34" s="4">
        <f>U24/Q24-1</f>
        <v>0.92484370471577027</v>
      </c>
      <c r="V34" s="4">
        <f>V24/R24-1</f>
        <v>0.97452885278972246</v>
      </c>
      <c r="W34" s="4">
        <f>W24/S24-1</f>
        <v>0.61194509111343032</v>
      </c>
      <c r="X34" s="4">
        <f t="shared" si="138"/>
        <v>3.2243457140798792E-2</v>
      </c>
      <c r="Y34" s="4">
        <f t="shared" si="139"/>
        <v>0.10000000000000009</v>
      </c>
      <c r="Z34" s="4">
        <f t="shared" si="140"/>
        <v>0.10000000000000009</v>
      </c>
      <c r="AA34" s="4"/>
      <c r="AB34" s="4"/>
      <c r="AC34" s="4"/>
      <c r="AD34" s="4"/>
      <c r="AE34" s="4"/>
      <c r="AF34" s="4"/>
      <c r="AJ34" s="4">
        <f>AJ24/AI24-1</f>
        <v>-7.1902128514478303E-4</v>
      </c>
      <c r="AK34" s="4">
        <f t="shared" si="141"/>
        <v>-3.7140892016295224E-3</v>
      </c>
      <c r="AL34" s="4">
        <f t="shared" si="141"/>
        <v>3.2924782802656871E-4</v>
      </c>
      <c r="AM34" s="4">
        <f>AM24/AL24-1</f>
        <v>0.97452885278972246</v>
      </c>
      <c r="AN34" s="4">
        <f t="shared" ref="AN34:AQ34" si="143">AN24/AM24-1</f>
        <v>0.10000000000000009</v>
      </c>
      <c r="AO34" s="4">
        <f t="shared" si="143"/>
        <v>-1.0000000000000009E-2</v>
      </c>
      <c r="AP34" s="4">
        <f t="shared" si="143"/>
        <v>-9.9999999999998979E-3</v>
      </c>
      <c r="AQ34" s="4">
        <f t="shared" si="143"/>
        <v>-1.0000000000000009E-2</v>
      </c>
      <c r="AT34" s="1" t="s">
        <v>49</v>
      </c>
      <c r="AU34" s="1">
        <f>Main!C4</f>
        <v>21.95</v>
      </c>
    </row>
    <row r="35" spans="2:47" x14ac:dyDescent="0.2">
      <c r="B35" s="1" t="s">
        <v>40</v>
      </c>
      <c r="G35" s="4">
        <f>G25/C25-1</f>
        <v>1.4192832662632568</v>
      </c>
      <c r="H35" s="4">
        <f t="shared" si="133"/>
        <v>0.9211894710338957</v>
      </c>
      <c r="I35" s="4">
        <f t="shared" si="133"/>
        <v>2.0960373399257168</v>
      </c>
      <c r="J35" s="4">
        <f t="shared" si="133"/>
        <v>0.47113928257251003</v>
      </c>
      <c r="K35" s="4">
        <f t="shared" si="133"/>
        <v>-0.22107535272109102</v>
      </c>
      <c r="L35" s="4">
        <f t="shared" si="133"/>
        <v>-0.51954473998911821</v>
      </c>
      <c r="M35" s="4">
        <f t="shared" si="133"/>
        <v>2.2973724498870416</v>
      </c>
      <c r="N35" s="4">
        <f t="shared" si="133"/>
        <v>2.9050942395018708E-2</v>
      </c>
      <c r="O35" s="4">
        <f t="shared" si="133"/>
        <v>1.1299040022077667</v>
      </c>
      <c r="P35" s="4">
        <f t="shared" si="133"/>
        <v>-0.76815839511596495</v>
      </c>
      <c r="Q35" s="4">
        <f t="shared" si="133"/>
        <v>0.68305914243148491</v>
      </c>
      <c r="R35" s="4">
        <f t="shared" si="133"/>
        <v>0.38827588600480434</v>
      </c>
      <c r="S35" s="4">
        <f t="shared" si="134"/>
        <v>1.0351852079074013</v>
      </c>
      <c r="T35" s="4">
        <f t="shared" si="135"/>
        <v>5.7461777759992465</v>
      </c>
      <c r="U35" s="4">
        <f t="shared" si="136"/>
        <v>-1.1584468932661354</v>
      </c>
      <c r="V35" s="4">
        <f t="shared" si="137"/>
        <v>-0.67265980200696729</v>
      </c>
      <c r="W35" s="4">
        <f>W25/S25-1</f>
        <v>-0.80257689327844972</v>
      </c>
      <c r="X35" s="4">
        <f t="shared" si="138"/>
        <v>0.11346079098016348</v>
      </c>
      <c r="Y35" s="4">
        <f t="shared" si="139"/>
        <v>-6.478064195200723</v>
      </c>
      <c r="Z35" s="4">
        <f t="shared" si="140"/>
        <v>0.16158364704006445</v>
      </c>
      <c r="AA35" s="4"/>
      <c r="AB35" s="4"/>
      <c r="AC35" s="4"/>
      <c r="AD35" s="4"/>
      <c r="AE35" s="4"/>
      <c r="AF35" s="4"/>
      <c r="AJ35" s="4">
        <f t="shared" si="141"/>
        <v>1.5686262921646246</v>
      </c>
      <c r="AK35" s="4">
        <f t="shared" si="141"/>
        <v>-0.23902971291544906</v>
      </c>
      <c r="AL35" s="4">
        <f t="shared" si="141"/>
        <v>0.5264972026205097</v>
      </c>
      <c r="AM35" s="4">
        <f t="shared" ref="AM35:AQ35" si="144">AM25/AL25-1</f>
        <v>0.34458831136471613</v>
      </c>
      <c r="AN35" s="4">
        <f t="shared" si="144"/>
        <v>-0.28004449639188811</v>
      </c>
      <c r="AO35" s="4">
        <f t="shared" si="144"/>
        <v>1.1304742882715519</v>
      </c>
      <c r="AP35" s="4">
        <f t="shared" si="144"/>
        <v>0.11111111111111227</v>
      </c>
      <c r="AQ35" s="4">
        <f t="shared" si="144"/>
        <v>0.11111111111111116</v>
      </c>
      <c r="AT35" s="1" t="s">
        <v>50</v>
      </c>
      <c r="AU35" s="8">
        <f>AU33/AU34-1</f>
        <v>0.33115131419637445</v>
      </c>
    </row>
    <row r="36" spans="2:47" x14ac:dyDescent="0.2">
      <c r="B36" s="1" t="s">
        <v>41</v>
      </c>
      <c r="C36" s="4">
        <f t="shared" ref="C36:Z36" si="145">C10/C6-1</f>
        <v>-0.52184496661023472</v>
      </c>
      <c r="D36" s="4">
        <f t="shared" si="145"/>
        <v>-0.5134921260359615</v>
      </c>
      <c r="E36" s="4">
        <f t="shared" si="145"/>
        <v>-0.56937488711187012</v>
      </c>
      <c r="F36" s="4">
        <f t="shared" si="145"/>
        <v>-0.58433034013889396</v>
      </c>
      <c r="G36" s="4">
        <f t="shared" si="145"/>
        <v>-0.50281132267337314</v>
      </c>
      <c r="H36" s="4">
        <f t="shared" si="145"/>
        <v>-0.51377327401964612</v>
      </c>
      <c r="I36" s="4">
        <f t="shared" si="145"/>
        <v>-0.56125168472591314</v>
      </c>
      <c r="J36" s="4">
        <f t="shared" si="145"/>
        <v>-0.6127309356977606</v>
      </c>
      <c r="K36" s="4">
        <f t="shared" si="145"/>
        <v>-0.53809688936588163</v>
      </c>
      <c r="L36" s="4">
        <f t="shared" si="145"/>
        <v>-0.53701970862397808</v>
      </c>
      <c r="M36" s="4">
        <f t="shared" si="145"/>
        <v>-0.55095878390585074</v>
      </c>
      <c r="N36" s="4">
        <f t="shared" si="145"/>
        <v>-0.58278007700174062</v>
      </c>
      <c r="O36" s="4">
        <f t="shared" si="145"/>
        <v>-0.4777284641328795</v>
      </c>
      <c r="P36" s="4">
        <f t="shared" si="145"/>
        <v>-0.58903486915648706</v>
      </c>
      <c r="Q36" s="4">
        <f t="shared" si="145"/>
        <v>-0.57790095445570377</v>
      </c>
      <c r="R36" s="4">
        <f t="shared" si="145"/>
        <v>-0.62863793246118149</v>
      </c>
      <c r="S36" s="4">
        <f t="shared" si="145"/>
        <v>-0.49357734806629838</v>
      </c>
      <c r="T36" s="4">
        <f t="shared" si="145"/>
        <v>-0.39163091068301226</v>
      </c>
      <c r="U36" s="4">
        <f t="shared" si="145"/>
        <v>-0.38347805679417968</v>
      </c>
      <c r="V36" s="4">
        <f t="shared" si="145"/>
        <v>-0.36853190281626025</v>
      </c>
      <c r="W36" s="4">
        <f t="shared" si="145"/>
        <v>-0.43337819650067289</v>
      </c>
      <c r="X36" s="4">
        <f t="shared" si="145"/>
        <v>-0.40252756117235822</v>
      </c>
      <c r="Y36" s="4">
        <f t="shared" si="145"/>
        <v>-0.36680509780312842</v>
      </c>
      <c r="Z36" s="4">
        <f t="shared" si="145"/>
        <v>-0.35250877660685764</v>
      </c>
      <c r="AA36" s="4"/>
      <c r="AB36" s="4"/>
      <c r="AC36" s="4"/>
      <c r="AD36" s="4"/>
      <c r="AE36" s="4"/>
      <c r="AF36" s="4"/>
      <c r="AI36" s="4">
        <f t="shared" ref="AI36:AQ36" si="146">AI10/AI6</f>
        <v>0.45812101424953472</v>
      </c>
      <c r="AJ36" s="4">
        <f t="shared" si="146"/>
        <v>0.46536303319671002</v>
      </c>
      <c r="AK36" s="4">
        <f t="shared" si="146"/>
        <v>0.45076931307070939</v>
      </c>
      <c r="AL36" s="4">
        <f t="shared" si="146"/>
        <v>0.43977056368925693</v>
      </c>
      <c r="AM36" s="4">
        <f t="shared" si="146"/>
        <v>0.5946441308680549</v>
      </c>
      <c r="AN36" s="4">
        <f t="shared" si="146"/>
        <v>0.60859376415768118</v>
      </c>
      <c r="AO36" s="4">
        <f t="shared" si="146"/>
        <v>0.64121095047787435</v>
      </c>
      <c r="AP36" s="4">
        <f t="shared" si="146"/>
        <v>0.64121095047787435</v>
      </c>
      <c r="AQ36" s="4">
        <f t="shared" si="146"/>
        <v>0.64121095047787435</v>
      </c>
    </row>
    <row r="37" spans="2:47" x14ac:dyDescent="0.2">
      <c r="B37" s="1" t="s">
        <v>42</v>
      </c>
      <c r="C37" s="4">
        <f t="shared" ref="C37:Z37" si="147">C16/C6-1</f>
        <v>-0.85690146863174788</v>
      </c>
      <c r="D37" s="4">
        <f t="shared" si="147"/>
        <v>-0.8389580624400752</v>
      </c>
      <c r="E37" s="4">
        <f t="shared" si="147"/>
        <v>-0.97521797671631016</v>
      </c>
      <c r="F37" s="4">
        <f t="shared" si="147"/>
        <v>-1.1067114689262589</v>
      </c>
      <c r="G37" s="4">
        <f t="shared" si="147"/>
        <v>-0.78674127150655637</v>
      </c>
      <c r="H37" s="4">
        <f t="shared" si="147"/>
        <v>-0.81247050927175879</v>
      </c>
      <c r="I37" s="4">
        <f t="shared" si="147"/>
        <v>-0.95926580215797208</v>
      </c>
      <c r="J37" s="4">
        <f t="shared" si="147"/>
        <v>-1.2355627137781025</v>
      </c>
      <c r="K37" s="4">
        <f t="shared" si="147"/>
        <v>-0.86509801490516225</v>
      </c>
      <c r="L37" s="4">
        <f t="shared" si="147"/>
        <v>-0.89881757210526791</v>
      </c>
      <c r="M37" s="4">
        <f t="shared" si="147"/>
        <v>-0.90500378914965851</v>
      </c>
      <c r="N37" s="4">
        <f t="shared" si="147"/>
        <v>-1.0726291189680097</v>
      </c>
      <c r="O37" s="4">
        <f t="shared" si="147"/>
        <v>-0.7779897984684141</v>
      </c>
      <c r="P37" s="4">
        <f t="shared" si="147"/>
        <v>-1.0107072149119853</v>
      </c>
      <c r="Q37" s="4">
        <f t="shared" si="147"/>
        <v>-0.86645400465557387</v>
      </c>
      <c r="R37" s="4">
        <f t="shared" si="147"/>
        <v>-1.0860985134626524</v>
      </c>
      <c r="S37" s="4">
        <f t="shared" si="147"/>
        <v>-0.88324432166973599</v>
      </c>
      <c r="T37" s="4">
        <f t="shared" si="147"/>
        <v>-0.88263134851138347</v>
      </c>
      <c r="U37" s="4">
        <f t="shared" si="147"/>
        <v>-0.91125106689037794</v>
      </c>
      <c r="V37" s="4">
        <f t="shared" si="147"/>
        <v>-1.0768036486053583</v>
      </c>
      <c r="W37" s="4">
        <f t="shared" si="147"/>
        <v>-0.90934435685445103</v>
      </c>
      <c r="X37" s="4">
        <f t="shared" si="147"/>
        <v>-0.88437752083893539</v>
      </c>
      <c r="Y37" s="4">
        <f t="shared" si="147"/>
        <v>-0.84868480267357038</v>
      </c>
      <c r="Z37" s="4">
        <f t="shared" si="147"/>
        <v>-0.99919167493603422</v>
      </c>
      <c r="AA37" s="4"/>
      <c r="AB37" s="4"/>
      <c r="AC37" s="4"/>
      <c r="AD37" s="4"/>
      <c r="AE37" s="4"/>
      <c r="AF37" s="4"/>
      <c r="AI37" s="4">
        <f t="shared" ref="AI37:AQ37" si="148">AI16/AI6</f>
        <v>7.5173351539376959E-2</v>
      </c>
      <c r="AJ37" s="4">
        <f t="shared" si="148"/>
        <v>0.10334606230598765</v>
      </c>
      <c r="AK37" s="4">
        <f t="shared" si="148"/>
        <v>7.7991232541064159E-2</v>
      </c>
      <c r="AL37" s="4">
        <f t="shared" si="148"/>
        <v>8.577409505098349E-2</v>
      </c>
      <c r="AM37" s="4">
        <f t="shared" si="148"/>
        <v>6.5313710252650162E-2</v>
      </c>
      <c r="AN37" s="4">
        <f t="shared" si="148"/>
        <v>9.4207384854858897E-2</v>
      </c>
      <c r="AO37" s="4">
        <f t="shared" si="148"/>
        <v>0.16969010278362054</v>
      </c>
      <c r="AP37" s="4">
        <f t="shared" si="148"/>
        <v>0.16969010278362065</v>
      </c>
      <c r="AQ37" s="4">
        <f t="shared" si="148"/>
        <v>0.16969010278362068</v>
      </c>
    </row>
    <row r="38" spans="2:47" x14ac:dyDescent="0.2">
      <c r="B38" s="1" t="s">
        <v>16</v>
      </c>
      <c r="C38" s="4">
        <f t="shared" ref="C38:V38" si="149">C21/C20</f>
        <v>0.33787033720513721</v>
      </c>
      <c r="D38" s="4">
        <f t="shared" si="149"/>
        <v>0.33772409729820735</v>
      </c>
      <c r="E38" s="4">
        <f t="shared" si="149"/>
        <v>0.32480874316940045</v>
      </c>
      <c r="F38" s="4">
        <f t="shared" si="149"/>
        <v>0.18824038045827932</v>
      </c>
      <c r="G38" s="4">
        <f t="shared" si="149"/>
        <v>0.21537210756722944</v>
      </c>
      <c r="H38" s="4">
        <f t="shared" si="149"/>
        <v>0.22060347143167766</v>
      </c>
      <c r="I38" s="4">
        <f t="shared" si="149"/>
        <v>0.12054176072234765</v>
      </c>
      <c r="J38" s="4">
        <f t="shared" si="149"/>
        <v>0.25789529182263937</v>
      </c>
      <c r="K38" s="4">
        <f t="shared" si="149"/>
        <v>0.16459686170487633</v>
      </c>
      <c r="L38" s="4">
        <f t="shared" si="149"/>
        <v>0.19963440979338626</v>
      </c>
      <c r="M38" s="4">
        <f t="shared" si="149"/>
        <v>6.4142753797926264E-2</v>
      </c>
      <c r="N38" s="4">
        <f t="shared" si="149"/>
        <v>7.4501108647450229E-2</v>
      </c>
      <c r="O38" s="4">
        <f>O21/O20</f>
        <v>8.1730168086740593E-2</v>
      </c>
      <c r="P38" s="4">
        <f>P21/P20</f>
        <v>5.8922734026744994</v>
      </c>
      <c r="Q38" s="4">
        <f t="shared" si="149"/>
        <v>9.2746400885935845E-2</v>
      </c>
      <c r="R38" s="4">
        <f t="shared" si="149"/>
        <v>0.14935010482180294</v>
      </c>
      <c r="S38" s="4">
        <f t="shared" si="149"/>
        <v>0.14911160180271904</v>
      </c>
      <c r="T38" s="4">
        <f t="shared" si="149"/>
        <v>-0.20900461437046786</v>
      </c>
      <c r="U38" s="4">
        <f t="shared" si="149"/>
        <v>1.3183048688243946</v>
      </c>
      <c r="V38" s="4">
        <f t="shared" si="149"/>
        <v>0.72593033827632647</v>
      </c>
      <c r="W38" s="4">
        <f>W21/W20</f>
        <v>-0.22112676056338004</v>
      </c>
      <c r="X38" s="4">
        <f>X21/X6</f>
        <v>2.5992650354037827E-3</v>
      </c>
      <c r="Y38" s="4">
        <f>Y21/Y6</f>
        <v>2.6006517314958823E-2</v>
      </c>
      <c r="Z38" s="4">
        <f>Z21/Z6</f>
        <v>-1.0883234414512929E-2</v>
      </c>
      <c r="AA38" s="4"/>
      <c r="AB38" s="4"/>
      <c r="AC38" s="4"/>
      <c r="AD38" s="4"/>
      <c r="AE38" s="4"/>
      <c r="AF38" s="4"/>
      <c r="AI38" s="4">
        <f>AI21/AI20</f>
        <v>0.3877452060833147</v>
      </c>
      <c r="AJ38" s="4">
        <f>AJ21/AJ20</f>
        <v>0.19819915899811102</v>
      </c>
      <c r="AK38" s="4">
        <f t="shared" ref="AK38:AL38" si="150">AK21/AK20</f>
        <v>0.17270724347126898</v>
      </c>
      <c r="AL38" s="4">
        <f t="shared" si="150"/>
        <v>-4.5065942077009719E-3</v>
      </c>
      <c r="AM38" s="4">
        <f t="shared" ref="AM38:AQ38" si="151">AM21/AM20</f>
        <v>8.1733127959381521E-2</v>
      </c>
      <c r="AN38" s="4">
        <f t="shared" si="151"/>
        <v>1.5092783067066013E-2</v>
      </c>
      <c r="AO38" s="4">
        <f t="shared" si="151"/>
        <v>0.21</v>
      </c>
      <c r="AP38" s="4">
        <f t="shared" si="151"/>
        <v>0.21</v>
      </c>
      <c r="AQ38" s="4">
        <f t="shared" si="151"/>
        <v>0.20999999999999996</v>
      </c>
    </row>
  </sheetData>
  <phoneticPr fontId="5" type="noConversion"/>
  <conditionalFormatting sqref="AU35">
    <cfRule type="cellIs" dxfId="1" priority="1" operator="lessThan">
      <formula>0</formula>
    </cfRule>
    <cfRule type="cellIs" dxfId="0" priority="2" operator="greaterThan">
      <formula>0</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AD736-AC2E-4F15-A06F-ADC610620DD7}">
  <dimension ref="B3:D18"/>
  <sheetViews>
    <sheetView workbookViewId="0">
      <selection activeCell="C14" sqref="C14"/>
    </sheetView>
  </sheetViews>
  <sheetFormatPr defaultRowHeight="14.25" x14ac:dyDescent="0.2"/>
  <cols>
    <col min="1" max="1" width="9.140625" style="1"/>
    <col min="2" max="2" width="16.42578125" style="1" bestFit="1" customWidth="1"/>
    <col min="3" max="3" width="8" style="1" bestFit="1" customWidth="1"/>
    <col min="4" max="4" width="17.28515625" style="1" bestFit="1" customWidth="1"/>
    <col min="5" max="16384" width="9.140625" style="1"/>
  </cols>
  <sheetData>
    <row r="3" spans="2:4" x14ac:dyDescent="0.2">
      <c r="B3" s="1" t="s">
        <v>7</v>
      </c>
      <c r="C3" s="2">
        <f>Main!C8</f>
        <v>1166.3000000000002</v>
      </c>
    </row>
    <row r="4" spans="2:4" x14ac:dyDescent="0.2">
      <c r="B4" s="1" t="s">
        <v>51</v>
      </c>
      <c r="C4" s="2">
        <f>Main!C6</f>
        <v>4403.17</v>
      </c>
    </row>
    <row r="5" spans="2:4" x14ac:dyDescent="0.2">
      <c r="B5" s="1" t="s">
        <v>52</v>
      </c>
      <c r="C5" s="2">
        <f>+C3+C4</f>
        <v>5569.47</v>
      </c>
    </row>
    <row r="6" spans="2:4" x14ac:dyDescent="0.2">
      <c r="B6" s="1" t="s">
        <v>53</v>
      </c>
      <c r="C6" s="3">
        <f>C3/C5</f>
        <v>0.20940951293390575</v>
      </c>
    </row>
    <row r="7" spans="2:4" x14ac:dyDescent="0.2">
      <c r="B7" s="1" t="s">
        <v>54</v>
      </c>
      <c r="C7" s="3">
        <f>C4/C5</f>
        <v>0.79059048706609425</v>
      </c>
    </row>
    <row r="9" spans="2:4" x14ac:dyDescent="0.2">
      <c r="B9" s="1" t="s">
        <v>55</v>
      </c>
      <c r="C9" s="4">
        <f>AVERAGE(Model!AI38:AM38)</f>
        <v>0.16717562846087505</v>
      </c>
      <c r="D9" s="1" t="s">
        <v>64</v>
      </c>
    </row>
    <row r="10" spans="2:4" x14ac:dyDescent="0.2">
      <c r="B10" s="1" t="s">
        <v>56</v>
      </c>
      <c r="C10" s="2">
        <v>116.2</v>
      </c>
      <c r="D10" s="21" t="s">
        <v>82</v>
      </c>
    </row>
    <row r="11" spans="2:4" x14ac:dyDescent="0.2">
      <c r="B11" s="1" t="s">
        <v>57</v>
      </c>
      <c r="C11" s="3">
        <f>(C10*(1-C9))/C3</f>
        <v>8.2975385383560238E-2</v>
      </c>
    </row>
    <row r="13" spans="2:4" x14ac:dyDescent="0.2">
      <c r="B13" s="1" t="s">
        <v>58</v>
      </c>
      <c r="C13" s="3">
        <f>'[1]T-Bond Yields'!$C$7</f>
        <v>3.3000000000000002E-2</v>
      </c>
      <c r="D13" s="24" t="s">
        <v>87</v>
      </c>
    </row>
    <row r="14" spans="2:4" x14ac:dyDescent="0.2">
      <c r="B14" s="1" t="s">
        <v>59</v>
      </c>
      <c r="C14" s="1">
        <v>1.76</v>
      </c>
      <c r="D14" s="24" t="s">
        <v>88</v>
      </c>
    </row>
    <row r="15" spans="2:4" x14ac:dyDescent="0.2">
      <c r="B15" s="1" t="s">
        <v>60</v>
      </c>
      <c r="C15" s="4">
        <v>0.06</v>
      </c>
      <c r="D15" s="1" t="s">
        <v>61</v>
      </c>
    </row>
    <row r="16" spans="2:4" x14ac:dyDescent="0.2">
      <c r="B16" s="1" t="s">
        <v>62</v>
      </c>
      <c r="C16" s="3">
        <f>(C13+C14*(C15-C13))</f>
        <v>8.0519999999999994E-2</v>
      </c>
    </row>
    <row r="18" spans="2:3" x14ac:dyDescent="0.2">
      <c r="B18" s="1" t="s">
        <v>63</v>
      </c>
      <c r="C18" s="4">
        <f>(C7*C16)+(C6*C11)*(1-C9)</f>
        <v>7.8129364914613475E-2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Model</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dc:creator>
  <cp:lastModifiedBy>William S</cp:lastModifiedBy>
  <dcterms:created xsi:type="dcterms:W3CDTF">2020-12-07T05:54:18Z</dcterms:created>
  <dcterms:modified xsi:type="dcterms:W3CDTF">2022-09-05T20:12:51Z</dcterms:modified>
</cp:coreProperties>
</file>