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William S\Documents\Models\"/>
    </mc:Choice>
  </mc:AlternateContent>
  <xr:revisionPtr revIDLastSave="0" documentId="8_{A74A2533-47CB-49BE-A378-AAA90821013B}" xr6:coauthVersionLast="47" xr6:coauthVersionMax="47" xr10:uidLastSave="{00000000-0000-0000-0000-000000000000}"/>
  <bookViews>
    <workbookView xWindow="-6255" yWindow="3930" windowWidth="21600" windowHeight="11385" xr2:uid="{B7D3DC1B-6F44-4F99-897C-092975BC6035}"/>
  </bookViews>
  <sheets>
    <sheet name="Main" sheetId="1" r:id="rId1"/>
    <sheet name="DCF" sheetId="2" r:id="rId2"/>
    <sheet name="WACC"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M11" i="2" l="1"/>
  <c r="AN11" i="2" s="1"/>
  <c r="AM10" i="2"/>
  <c r="AN10" i="2" s="1"/>
  <c r="AM9" i="2"/>
  <c r="AN9" i="2" s="1"/>
  <c r="AN7" i="2"/>
  <c r="AM7" i="2"/>
  <c r="AL11" i="2"/>
  <c r="AL10" i="2"/>
  <c r="AL19" i="2"/>
  <c r="AL9" i="2"/>
  <c r="AL7" i="2"/>
  <c r="AN5" i="2"/>
  <c r="AN4" i="2"/>
  <c r="AN3" i="2"/>
  <c r="AL5" i="2"/>
  <c r="AM5" i="2" s="1"/>
  <c r="AL4" i="2"/>
  <c r="AM4" i="2" s="1"/>
  <c r="AM3" i="2"/>
  <c r="AL3" i="2"/>
  <c r="C13" i="3"/>
  <c r="AM8" i="2" l="1"/>
  <c r="AN8" i="2"/>
  <c r="C9" i="3" l="1"/>
  <c r="AM19" i="2"/>
  <c r="AN19" i="2" s="1"/>
  <c r="AM16" i="2"/>
  <c r="AN16" i="2" s="1"/>
  <c r="AL16" i="2"/>
  <c r="AM13" i="2"/>
  <c r="AN13" i="2" s="1"/>
  <c r="AM12" i="2"/>
  <c r="AN12" i="2"/>
  <c r="AL15" i="2"/>
  <c r="AL13" i="2"/>
  <c r="AK17" i="2"/>
  <c r="AJ17" i="2"/>
  <c r="AI17" i="2"/>
  <c r="AG17" i="2"/>
  <c r="AG14" i="2"/>
  <c r="AJ19" i="2"/>
  <c r="AJ18" i="2"/>
  <c r="AJ16" i="2"/>
  <c r="AJ15" i="2"/>
  <c r="AJ13" i="2"/>
  <c r="AJ11" i="2"/>
  <c r="AJ10" i="2"/>
  <c r="AJ9" i="2"/>
  <c r="AJ12" i="2" s="1"/>
  <c r="AJ7" i="2"/>
  <c r="AJ5" i="2"/>
  <c r="AJ4" i="2"/>
  <c r="AJ6" i="2" s="1"/>
  <c r="AJ3" i="2"/>
  <c r="AK21" i="2"/>
  <c r="AK19" i="2"/>
  <c r="AK18" i="2"/>
  <c r="AK15" i="2"/>
  <c r="AK16" i="2"/>
  <c r="AK13" i="2"/>
  <c r="AK11" i="2"/>
  <c r="AK10" i="2"/>
  <c r="AK12" i="2" s="1"/>
  <c r="AK9" i="2"/>
  <c r="AK5" i="2"/>
  <c r="AK4" i="2"/>
  <c r="AK3" i="2"/>
  <c r="AF19" i="2"/>
  <c r="AF18" i="2"/>
  <c r="AF16" i="2"/>
  <c r="AF15" i="2"/>
  <c r="AF13" i="2"/>
  <c r="AF11" i="2"/>
  <c r="AF10" i="2"/>
  <c r="AF9" i="2"/>
  <c r="AF7" i="2"/>
  <c r="AF5" i="2"/>
  <c r="AF4" i="2"/>
  <c r="AF3" i="2"/>
  <c r="AG19" i="2"/>
  <c r="AG18" i="2"/>
  <c r="AG16" i="2"/>
  <c r="AG15" i="2"/>
  <c r="AG13" i="2"/>
  <c r="AG11" i="2"/>
  <c r="AG10" i="2"/>
  <c r="AG9" i="2"/>
  <c r="AG7" i="2"/>
  <c r="AG5" i="2"/>
  <c r="AG4" i="2"/>
  <c r="AG3" i="2"/>
  <c r="AG6" i="2" s="1"/>
  <c r="AG8" i="2" s="1"/>
  <c r="AH3" i="2"/>
  <c r="AF21" i="2"/>
  <c r="AG21" i="2"/>
  <c r="AH21" i="2"/>
  <c r="AH19" i="2"/>
  <c r="AH18" i="2"/>
  <c r="AH16" i="2"/>
  <c r="AH15" i="2"/>
  <c r="AH13" i="2"/>
  <c r="AH11" i="2"/>
  <c r="AH10" i="2"/>
  <c r="AH9" i="2"/>
  <c r="AH12" i="2" s="1"/>
  <c r="AH7" i="2"/>
  <c r="AH5" i="2"/>
  <c r="AH4" i="2"/>
  <c r="AI16" i="2"/>
  <c r="C15" i="2"/>
  <c r="D15" i="2"/>
  <c r="E15" i="2"/>
  <c r="F15" i="2"/>
  <c r="G15" i="2"/>
  <c r="H15" i="2"/>
  <c r="I15" i="2"/>
  <c r="J15" i="2"/>
  <c r="K15" i="2"/>
  <c r="L15" i="2"/>
  <c r="M15" i="2"/>
  <c r="N15" i="2"/>
  <c r="O15" i="2"/>
  <c r="P15" i="2"/>
  <c r="AI15" i="2"/>
  <c r="Q15" i="2"/>
  <c r="R15" i="2"/>
  <c r="R17" i="2" s="1"/>
  <c r="S17" i="2"/>
  <c r="S15" i="2"/>
  <c r="AI21" i="2"/>
  <c r="AI19" i="2"/>
  <c r="AI18" i="2"/>
  <c r="AI13" i="2"/>
  <c r="AI11" i="2"/>
  <c r="AI10" i="2"/>
  <c r="AI9" i="2"/>
  <c r="AI7" i="2"/>
  <c r="AI5" i="2"/>
  <c r="AI4" i="2"/>
  <c r="AI3" i="2"/>
  <c r="AJ21" i="2"/>
  <c r="AL12" i="2"/>
  <c r="AI12" i="2"/>
  <c r="AG12" i="2"/>
  <c r="AF12" i="2"/>
  <c r="AK6" i="2"/>
  <c r="AI6" i="2"/>
  <c r="AI8" i="2" s="1"/>
  <c r="AI14" i="2" s="1"/>
  <c r="AH6" i="2"/>
  <c r="AF6" i="2"/>
  <c r="AF8" i="2" s="1"/>
  <c r="AF14" i="2" s="1"/>
  <c r="Z6" i="2"/>
  <c r="Y35" i="2"/>
  <c r="X35" i="2"/>
  <c r="W35" i="2"/>
  <c r="V35" i="2"/>
  <c r="U35" i="2"/>
  <c r="T35" i="2"/>
  <c r="Y34" i="2"/>
  <c r="X34" i="2"/>
  <c r="W34" i="2"/>
  <c r="V34" i="2"/>
  <c r="U34" i="2"/>
  <c r="T34" i="2"/>
  <c r="Z33" i="2"/>
  <c r="Y33" i="2"/>
  <c r="X33" i="2"/>
  <c r="W33" i="2"/>
  <c r="V33" i="2"/>
  <c r="U33" i="2"/>
  <c r="T33" i="2"/>
  <c r="Y32" i="2"/>
  <c r="X32" i="2"/>
  <c r="Z31" i="2"/>
  <c r="Y31" i="2"/>
  <c r="X31" i="2"/>
  <c r="W31" i="2"/>
  <c r="V31" i="2"/>
  <c r="U31" i="2"/>
  <c r="T31" i="2"/>
  <c r="Y30" i="2"/>
  <c r="X30" i="2"/>
  <c r="Z29" i="2"/>
  <c r="Y29" i="2"/>
  <c r="X29" i="2"/>
  <c r="W29" i="2"/>
  <c r="V29" i="2"/>
  <c r="U29" i="2"/>
  <c r="T29" i="2"/>
  <c r="Z28" i="2"/>
  <c r="Y28" i="2"/>
  <c r="X28" i="2"/>
  <c r="W28" i="2"/>
  <c r="V28" i="2"/>
  <c r="U28" i="2"/>
  <c r="T28" i="2"/>
  <c r="Z27" i="2"/>
  <c r="Y27" i="2"/>
  <c r="X27" i="2"/>
  <c r="W27" i="2"/>
  <c r="V27" i="2"/>
  <c r="U27" i="2"/>
  <c r="T27" i="2"/>
  <c r="V8" i="2"/>
  <c r="S8" i="2"/>
  <c r="R8" i="2"/>
  <c r="Q8" i="2"/>
  <c r="P8" i="2"/>
  <c r="O8" i="2"/>
  <c r="N8" i="2"/>
  <c r="M8" i="2"/>
  <c r="L8" i="2"/>
  <c r="K8" i="2"/>
  <c r="J8" i="2"/>
  <c r="I8" i="2"/>
  <c r="H8" i="2"/>
  <c r="H14" i="2" s="1"/>
  <c r="H17" i="2" s="1"/>
  <c r="G8" i="2"/>
  <c r="F8" i="2"/>
  <c r="E8" i="2"/>
  <c r="D8" i="2"/>
  <c r="D14" i="2" s="1"/>
  <c r="D17" i="2" s="1"/>
  <c r="C8" i="2"/>
  <c r="L14" i="2"/>
  <c r="L17" i="2" s="1"/>
  <c r="Y12" i="2"/>
  <c r="X12" i="2"/>
  <c r="W12" i="2"/>
  <c r="V12" i="2"/>
  <c r="U12" i="2"/>
  <c r="T12" i="2"/>
  <c r="S12" i="2"/>
  <c r="R12" i="2"/>
  <c r="Q12" i="2"/>
  <c r="P12" i="2"/>
  <c r="O12" i="2"/>
  <c r="N12" i="2"/>
  <c r="M12" i="2"/>
  <c r="L12" i="2"/>
  <c r="K12" i="2"/>
  <c r="J12" i="2"/>
  <c r="I12" i="2"/>
  <c r="H12" i="2"/>
  <c r="G12" i="2"/>
  <c r="F12" i="2"/>
  <c r="E12" i="2"/>
  <c r="D12" i="2"/>
  <c r="C12" i="2"/>
  <c r="S14" i="2"/>
  <c r="Q14" i="2"/>
  <c r="P14" i="2"/>
  <c r="O14" i="2"/>
  <c r="O17" i="2" s="1"/>
  <c r="M14" i="2"/>
  <c r="M17" i="2" s="1"/>
  <c r="K14" i="2"/>
  <c r="K17" i="2" s="1"/>
  <c r="I14" i="2"/>
  <c r="I17" i="2" s="1"/>
  <c r="G14" i="2"/>
  <c r="G17" i="2" s="1"/>
  <c r="E14" i="2"/>
  <c r="E17" i="2" s="1"/>
  <c r="C14" i="2"/>
  <c r="C17" i="2" s="1"/>
  <c r="P17" i="2"/>
  <c r="V15" i="2"/>
  <c r="Z14" i="2"/>
  <c r="Z17" i="2" s="1"/>
  <c r="Z35" i="2" s="1"/>
  <c r="Z12" i="2"/>
  <c r="Z8" i="2"/>
  <c r="Y6" i="2"/>
  <c r="Y8" i="2" s="1"/>
  <c r="X6" i="2"/>
  <c r="X8" i="2" s="1"/>
  <c r="W6" i="2"/>
  <c r="W8" i="2" s="1"/>
  <c r="V6" i="2"/>
  <c r="U6" i="2"/>
  <c r="U8" i="2" s="1"/>
  <c r="T6" i="2"/>
  <c r="T8" i="2" s="1"/>
  <c r="C8" i="1"/>
  <c r="C7" i="1"/>
  <c r="S6" i="2"/>
  <c r="S31" i="2"/>
  <c r="S28" i="2"/>
  <c r="S25" i="2"/>
  <c r="M25" i="2"/>
  <c r="L25" i="2"/>
  <c r="K25" i="2"/>
  <c r="J25" i="2"/>
  <c r="I25" i="2"/>
  <c r="H25" i="2"/>
  <c r="G25" i="2"/>
  <c r="N25" i="2"/>
  <c r="O25" i="2"/>
  <c r="P25" i="2"/>
  <c r="Q25" i="2"/>
  <c r="R25" i="2"/>
  <c r="AL6" i="2" l="1"/>
  <c r="AN6" i="2"/>
  <c r="AM6" i="2"/>
  <c r="AH8" i="2"/>
  <c r="AH14" i="2"/>
  <c r="Q17" i="2"/>
  <c r="AI20" i="2"/>
  <c r="Z34" i="2"/>
  <c r="W14" i="2"/>
  <c r="W17" i="2" s="1"/>
  <c r="T14" i="2"/>
  <c r="T17" i="2" s="1"/>
  <c r="X14" i="2"/>
  <c r="X17" i="2" s="1"/>
  <c r="X20" i="2" s="1"/>
  <c r="X22" i="2" s="1"/>
  <c r="U14" i="2"/>
  <c r="U17" i="2" s="1"/>
  <c r="U20" i="2" s="1"/>
  <c r="U22" i="2" s="1"/>
  <c r="Y14" i="2"/>
  <c r="Y17" i="2" s="1"/>
  <c r="Y20" i="2" s="1"/>
  <c r="Y22" i="2" s="1"/>
  <c r="T20" i="2"/>
  <c r="T22" i="2" s="1"/>
  <c r="F14" i="2"/>
  <c r="F17" i="2" s="1"/>
  <c r="J14" i="2"/>
  <c r="J17" i="2" s="1"/>
  <c r="N14" i="2"/>
  <c r="N17" i="2" s="1"/>
  <c r="R14" i="2"/>
  <c r="V14" i="2"/>
  <c r="V17" i="2" s="1"/>
  <c r="V20" i="2" s="1"/>
  <c r="V22" i="2" s="1"/>
  <c r="W20" i="2"/>
  <c r="W22" i="2" s="1"/>
  <c r="Z20" i="2"/>
  <c r="Z30" i="2" s="1"/>
  <c r="S20" i="2"/>
  <c r="S33" i="2"/>
  <c r="AQ29" i="2"/>
  <c r="AI24" i="2"/>
  <c r="R31" i="2"/>
  <c r="Q31" i="2"/>
  <c r="P31" i="2"/>
  <c r="O31" i="2"/>
  <c r="N31" i="2"/>
  <c r="M31" i="2"/>
  <c r="L31" i="2"/>
  <c r="K31" i="2"/>
  <c r="J31" i="2"/>
  <c r="I31" i="2"/>
  <c r="H31" i="2"/>
  <c r="R28" i="2"/>
  <c r="Q28" i="2"/>
  <c r="P28" i="2"/>
  <c r="O28" i="2"/>
  <c r="N28" i="2"/>
  <c r="M28" i="2"/>
  <c r="L28" i="2"/>
  <c r="K28" i="2"/>
  <c r="J28" i="2"/>
  <c r="I28" i="2"/>
  <c r="H28" i="2"/>
  <c r="G31" i="2"/>
  <c r="G28" i="2"/>
  <c r="AH24" i="2"/>
  <c r="AG24" i="2"/>
  <c r="AF24" i="2"/>
  <c r="C6" i="2"/>
  <c r="C33" i="2" s="1"/>
  <c r="G6" i="2"/>
  <c r="D6" i="2"/>
  <c r="D33" i="2" s="1"/>
  <c r="H6" i="2"/>
  <c r="H33" i="2" s="1"/>
  <c r="E6" i="2"/>
  <c r="E33" i="2" s="1"/>
  <c r="I6" i="2"/>
  <c r="F6" i="2"/>
  <c r="F33" i="2" s="1"/>
  <c r="J6" i="2"/>
  <c r="J33" i="2" s="1"/>
  <c r="K6" i="2"/>
  <c r="K33" i="2" s="1"/>
  <c r="O6" i="2"/>
  <c r="S27" i="2" s="1"/>
  <c r="P29" i="2"/>
  <c r="L6" i="2"/>
  <c r="L33" i="2" s="1"/>
  <c r="P6" i="2"/>
  <c r="P33" i="2" s="1"/>
  <c r="M6" i="2"/>
  <c r="M33" i="2" s="1"/>
  <c r="Q6" i="2"/>
  <c r="N6" i="2"/>
  <c r="N33" i="2" s="1"/>
  <c r="R6" i="2"/>
  <c r="R33" i="2" s="1"/>
  <c r="C3" i="3"/>
  <c r="C16" i="3"/>
  <c r="C4" i="1" a="1"/>
  <c r="C4" i="1" s="1"/>
  <c r="S22" i="2" l="1"/>
  <c r="W32" i="2" s="1"/>
  <c r="W30" i="2"/>
  <c r="Z22" i="2"/>
  <c r="Z32" i="2" s="1"/>
  <c r="K29" i="2"/>
  <c r="S34" i="2"/>
  <c r="G29" i="2"/>
  <c r="AH17" i="2"/>
  <c r="AH20" i="2" s="1"/>
  <c r="K27" i="2"/>
  <c r="AG20" i="2"/>
  <c r="AG28" i="2"/>
  <c r="AG25" i="2"/>
  <c r="AH28" i="2"/>
  <c r="AI25" i="2"/>
  <c r="AH25" i="2"/>
  <c r="L29" i="2"/>
  <c r="Q29" i="2"/>
  <c r="O29" i="2"/>
  <c r="H29" i="2"/>
  <c r="AH33" i="2"/>
  <c r="AI29" i="2"/>
  <c r="N27" i="2"/>
  <c r="R29" i="2"/>
  <c r="J29" i="2"/>
  <c r="AI28" i="2"/>
  <c r="S29" i="2"/>
  <c r="S35" i="2"/>
  <c r="I33" i="2"/>
  <c r="I27" i="2"/>
  <c r="G33" i="2"/>
  <c r="G27" i="2"/>
  <c r="Q33" i="2"/>
  <c r="Q27" i="2"/>
  <c r="O33" i="2"/>
  <c r="O27" i="2"/>
  <c r="M29" i="2"/>
  <c r="I29" i="2"/>
  <c r="AF17" i="2"/>
  <c r="AF20" i="2" s="1"/>
  <c r="R27" i="2"/>
  <c r="AF33" i="2"/>
  <c r="J27" i="2"/>
  <c r="H27" i="2"/>
  <c r="L27" i="2"/>
  <c r="P27" i="2"/>
  <c r="N29" i="2"/>
  <c r="AJ8" i="2"/>
  <c r="AJ14" i="2" s="1"/>
  <c r="M27" i="2"/>
  <c r="C6" i="1"/>
  <c r="C4" i="3" s="1"/>
  <c r="C5" i="3" s="1"/>
  <c r="C6" i="3" s="1"/>
  <c r="AQ32" i="2"/>
  <c r="AG31" i="2"/>
  <c r="AH31" i="2"/>
  <c r="AJ31" i="2"/>
  <c r="AI31" i="2"/>
  <c r="C9" i="1" l="1"/>
  <c r="AH27" i="2"/>
  <c r="AG33" i="2"/>
  <c r="AI33" i="2"/>
  <c r="AH29" i="2"/>
  <c r="AI27" i="2"/>
  <c r="AJ27" i="2"/>
  <c r="M34" i="2"/>
  <c r="K34" i="2"/>
  <c r="E34" i="2"/>
  <c r="C34" i="2"/>
  <c r="AK7" i="2"/>
  <c r="AK8" i="2" s="1"/>
  <c r="AK14" i="2" s="1"/>
  <c r="AJ28" i="2"/>
  <c r="R34" i="2"/>
  <c r="P34" i="2"/>
  <c r="J34" i="2"/>
  <c r="H34" i="2"/>
  <c r="AJ33" i="2"/>
  <c r="N34" i="2"/>
  <c r="L20" i="2"/>
  <c r="L34" i="2"/>
  <c r="F34" i="2"/>
  <c r="D34" i="2"/>
  <c r="AG29" i="2"/>
  <c r="AG27" i="2"/>
  <c r="C7" i="3"/>
  <c r="AL21" i="2"/>
  <c r="AK31" i="2"/>
  <c r="AK27" i="2"/>
  <c r="AJ29" i="2"/>
  <c r="AH34" i="2"/>
  <c r="G34" i="2" l="1"/>
  <c r="O34" i="2"/>
  <c r="F35" i="2"/>
  <c r="F20" i="2"/>
  <c r="F22" i="2" s="1"/>
  <c r="N35" i="2"/>
  <c r="N20" i="2"/>
  <c r="N22" i="2" s="1"/>
  <c r="AF34" i="2"/>
  <c r="O20" i="2"/>
  <c r="S30" i="2" s="1"/>
  <c r="O35" i="2"/>
  <c r="J35" i="2"/>
  <c r="J20" i="2"/>
  <c r="J22" i="2" s="1"/>
  <c r="R20" i="2"/>
  <c r="V30" i="2" s="1"/>
  <c r="R35" i="2"/>
  <c r="C20" i="2"/>
  <c r="C22" i="2" s="1"/>
  <c r="C35" i="2"/>
  <c r="K35" i="2"/>
  <c r="K20" i="2"/>
  <c r="K22" i="2" s="1"/>
  <c r="G20" i="2"/>
  <c r="G35" i="2"/>
  <c r="Q34" i="2"/>
  <c r="D20" i="2"/>
  <c r="D22" i="2" s="1"/>
  <c r="D35" i="2"/>
  <c r="L35" i="2"/>
  <c r="I34" i="2"/>
  <c r="H20" i="2"/>
  <c r="H35" i="2"/>
  <c r="P20" i="2"/>
  <c r="P35" i="2"/>
  <c r="AL8" i="2"/>
  <c r="AL14" i="2" s="1"/>
  <c r="AL17" i="2" s="1"/>
  <c r="AL18" i="2" s="1"/>
  <c r="AK28" i="2"/>
  <c r="E20" i="2"/>
  <c r="E22" i="2" s="1"/>
  <c r="E35" i="2"/>
  <c r="M20" i="2"/>
  <c r="M22" i="2" s="1"/>
  <c r="M35" i="2"/>
  <c r="AL31" i="2"/>
  <c r="AM21" i="2"/>
  <c r="AK29" i="2"/>
  <c r="AI34" i="2"/>
  <c r="AH35" i="2"/>
  <c r="AL27" i="2"/>
  <c r="AG34" i="2"/>
  <c r="AF22" i="2"/>
  <c r="AF35" i="2"/>
  <c r="AK33" i="2"/>
  <c r="G30" i="2" l="1"/>
  <c r="P22" i="2"/>
  <c r="T32" i="2" s="1"/>
  <c r="T30" i="2"/>
  <c r="AJ35" i="2"/>
  <c r="AJ20" i="2"/>
  <c r="AJ22" i="2" s="1"/>
  <c r="R30" i="2"/>
  <c r="H30" i="2"/>
  <c r="L30" i="2"/>
  <c r="O22" i="2"/>
  <c r="S32" i="2" s="1"/>
  <c r="N32" i="2"/>
  <c r="N30" i="2"/>
  <c r="AM14" i="2"/>
  <c r="AM17" i="2" s="1"/>
  <c r="AM18" i="2" s="1"/>
  <c r="AL28" i="2"/>
  <c r="I20" i="2"/>
  <c r="I30" i="2" s="1"/>
  <c r="I35" i="2"/>
  <c r="L22" i="2"/>
  <c r="G22" i="2"/>
  <c r="G32" i="2" s="1"/>
  <c r="J32" i="2"/>
  <c r="Q20" i="2"/>
  <c r="U30" i="2" s="1"/>
  <c r="Q35" i="2"/>
  <c r="K30" i="2"/>
  <c r="R22" i="2"/>
  <c r="AL33" i="2"/>
  <c r="AJ34" i="2"/>
  <c r="M30" i="2"/>
  <c r="P30" i="2"/>
  <c r="H22" i="2"/>
  <c r="H32" i="2" s="1"/>
  <c r="J30" i="2"/>
  <c r="O30" i="2"/>
  <c r="AM31" i="2"/>
  <c r="AN21" i="2"/>
  <c r="AN31" i="2" s="1"/>
  <c r="AH22" i="2"/>
  <c r="AM27" i="2"/>
  <c r="AL29" i="2"/>
  <c r="AK34" i="2"/>
  <c r="AK20" i="2"/>
  <c r="AG35" i="2"/>
  <c r="AI35" i="2"/>
  <c r="R32" i="2" l="1"/>
  <c r="V32" i="2"/>
  <c r="AJ30" i="2"/>
  <c r="C11" i="3"/>
  <c r="C18" i="3" s="1"/>
  <c r="AQ27" i="2" s="1"/>
  <c r="O32" i="2"/>
  <c r="I22" i="2"/>
  <c r="K32" i="2"/>
  <c r="L32" i="2"/>
  <c r="P32" i="2"/>
  <c r="Q30" i="2"/>
  <c r="Q22" i="2"/>
  <c r="AM28" i="2"/>
  <c r="AI22" i="2"/>
  <c r="AI32" i="2" s="1"/>
  <c r="AI30" i="2"/>
  <c r="AL34" i="2"/>
  <c r="AL20" i="2"/>
  <c r="AN29" i="2"/>
  <c r="AM29" i="2"/>
  <c r="AN27" i="2"/>
  <c r="AG30" i="2"/>
  <c r="AG22" i="2"/>
  <c r="AG32" i="2" s="1"/>
  <c r="AK35" i="2"/>
  <c r="AM33" i="2"/>
  <c r="AH30" i="2"/>
  <c r="Q32" i="2" l="1"/>
  <c r="U32" i="2"/>
  <c r="AN28" i="2"/>
  <c r="AN14" i="2"/>
  <c r="AN17" i="2" s="1"/>
  <c r="AN18" i="2" s="1"/>
  <c r="I32" i="2"/>
  <c r="M32" i="2"/>
  <c r="AK22" i="2"/>
  <c r="AK32" i="2" s="1"/>
  <c r="AK30" i="2"/>
  <c r="AL35" i="2"/>
  <c r="AJ32" i="2"/>
  <c r="AM20" i="2"/>
  <c r="AM34" i="2"/>
  <c r="AH32" i="2"/>
  <c r="AN33" i="2" l="1"/>
  <c r="AL22" i="2"/>
  <c r="AL32" i="2" s="1"/>
  <c r="AL30" i="2"/>
  <c r="AM35" i="2"/>
  <c r="AN20" i="2"/>
  <c r="AO20" i="2" s="1"/>
  <c r="AP20" i="2" s="1"/>
  <c r="AQ20" i="2" s="1"/>
  <c r="AR20" i="2" s="1"/>
  <c r="AS20" i="2" s="1"/>
  <c r="AT20" i="2" s="1"/>
  <c r="AU20" i="2" s="1"/>
  <c r="AV20" i="2" s="1"/>
  <c r="AW20" i="2" s="1"/>
  <c r="AX20" i="2" s="1"/>
  <c r="AY20" i="2" s="1"/>
  <c r="AZ20" i="2" s="1"/>
  <c r="BA20" i="2" s="1"/>
  <c r="BB20" i="2" s="1"/>
  <c r="BC20" i="2" s="1"/>
  <c r="BD20" i="2" s="1"/>
  <c r="BE20" i="2" s="1"/>
  <c r="BF20" i="2" s="1"/>
  <c r="BG20" i="2" s="1"/>
  <c r="BH20" i="2" s="1"/>
  <c r="BI20" i="2" s="1"/>
  <c r="BJ20" i="2" s="1"/>
  <c r="BK20" i="2" s="1"/>
  <c r="BL20" i="2" s="1"/>
  <c r="BM20" i="2" s="1"/>
  <c r="BN20" i="2" s="1"/>
  <c r="BO20" i="2" s="1"/>
  <c r="BP20" i="2" s="1"/>
  <c r="BQ20" i="2" s="1"/>
  <c r="BR20" i="2" s="1"/>
  <c r="BS20" i="2" s="1"/>
  <c r="BT20" i="2" s="1"/>
  <c r="BU20" i="2" s="1"/>
  <c r="BV20" i="2" s="1"/>
  <c r="BW20" i="2" s="1"/>
  <c r="BX20" i="2" s="1"/>
  <c r="BY20" i="2" s="1"/>
  <c r="BZ20" i="2" s="1"/>
  <c r="CA20" i="2" s="1"/>
  <c r="CB20" i="2" s="1"/>
  <c r="CC20" i="2" s="1"/>
  <c r="CD20" i="2" s="1"/>
  <c r="CE20" i="2" s="1"/>
  <c r="CF20" i="2" s="1"/>
  <c r="CG20" i="2" s="1"/>
  <c r="CH20" i="2" s="1"/>
  <c r="CI20" i="2" s="1"/>
  <c r="CJ20" i="2" s="1"/>
  <c r="CK20" i="2" s="1"/>
  <c r="CL20" i="2" s="1"/>
  <c r="CM20" i="2" s="1"/>
  <c r="CN20" i="2" s="1"/>
  <c r="CO20" i="2" s="1"/>
  <c r="CP20" i="2" s="1"/>
  <c r="CQ20" i="2" s="1"/>
  <c r="CR20" i="2" s="1"/>
  <c r="CS20" i="2" s="1"/>
  <c r="CT20" i="2" s="1"/>
  <c r="CU20" i="2" s="1"/>
  <c r="CV20" i="2" s="1"/>
  <c r="CW20" i="2" s="1"/>
  <c r="CX20" i="2" s="1"/>
  <c r="CY20" i="2" s="1"/>
  <c r="CZ20" i="2" s="1"/>
  <c r="DA20" i="2" s="1"/>
  <c r="DB20" i="2" s="1"/>
  <c r="DC20" i="2" s="1"/>
  <c r="DD20" i="2" s="1"/>
  <c r="DE20" i="2" s="1"/>
  <c r="DF20" i="2" s="1"/>
  <c r="DG20" i="2" s="1"/>
  <c r="DH20" i="2" s="1"/>
  <c r="DI20" i="2" s="1"/>
  <c r="DJ20" i="2" s="1"/>
  <c r="DK20" i="2" s="1"/>
  <c r="DL20" i="2" s="1"/>
  <c r="DM20" i="2" s="1"/>
  <c r="DN20" i="2" s="1"/>
  <c r="DO20" i="2" s="1"/>
  <c r="DP20" i="2" s="1"/>
  <c r="DQ20" i="2" s="1"/>
  <c r="DR20" i="2" s="1"/>
  <c r="DS20" i="2" s="1"/>
  <c r="DT20" i="2" s="1"/>
  <c r="DU20" i="2" s="1"/>
  <c r="DV20" i="2" s="1"/>
  <c r="DW20" i="2" s="1"/>
  <c r="DX20" i="2" s="1"/>
  <c r="DY20" i="2" s="1"/>
  <c r="DZ20" i="2" s="1"/>
  <c r="EA20" i="2" s="1"/>
  <c r="EB20" i="2" s="1"/>
  <c r="EC20" i="2" s="1"/>
  <c r="ED20" i="2" s="1"/>
  <c r="EE20" i="2" s="1"/>
  <c r="EF20" i="2" s="1"/>
  <c r="EG20" i="2" s="1"/>
  <c r="EH20" i="2" s="1"/>
  <c r="EI20" i="2" s="1"/>
  <c r="EJ20" i="2" s="1"/>
  <c r="EK20" i="2" s="1"/>
  <c r="EL20" i="2" s="1"/>
  <c r="EM20" i="2" s="1"/>
  <c r="EN20" i="2" s="1"/>
  <c r="EO20" i="2" s="1"/>
  <c r="EP20" i="2" s="1"/>
  <c r="EQ20" i="2" s="1"/>
  <c r="ER20" i="2" s="1"/>
  <c r="ES20" i="2" s="1"/>
  <c r="ET20" i="2" s="1"/>
  <c r="EU20" i="2" s="1"/>
  <c r="EV20" i="2" s="1"/>
  <c r="EW20" i="2" s="1"/>
  <c r="EX20" i="2" s="1"/>
  <c r="EY20" i="2" s="1"/>
  <c r="EZ20" i="2" s="1"/>
  <c r="FA20" i="2" s="1"/>
  <c r="FB20" i="2" s="1"/>
  <c r="FC20" i="2" s="1"/>
  <c r="FD20" i="2" s="1"/>
  <c r="FE20" i="2" s="1"/>
  <c r="FF20" i="2" s="1"/>
  <c r="FG20" i="2" s="1"/>
  <c r="FH20" i="2" s="1"/>
  <c r="FI20" i="2" s="1"/>
  <c r="FJ20" i="2" s="1"/>
  <c r="FK20" i="2" s="1"/>
  <c r="FL20" i="2" s="1"/>
  <c r="FM20" i="2" s="1"/>
  <c r="FN20" i="2" s="1"/>
  <c r="FO20" i="2" s="1"/>
  <c r="FP20" i="2" s="1"/>
  <c r="FQ20" i="2" s="1"/>
  <c r="FR20" i="2" s="1"/>
  <c r="FS20" i="2" s="1"/>
  <c r="FT20" i="2" s="1"/>
  <c r="FU20" i="2" s="1"/>
  <c r="FV20" i="2" s="1"/>
  <c r="FW20" i="2" s="1"/>
  <c r="FX20" i="2" s="1"/>
  <c r="FY20" i="2" s="1"/>
  <c r="FZ20" i="2" s="1"/>
  <c r="GA20" i="2" s="1"/>
  <c r="GB20" i="2" s="1"/>
  <c r="GC20" i="2" s="1"/>
  <c r="GD20" i="2" s="1"/>
  <c r="GE20" i="2" s="1"/>
  <c r="GF20" i="2" s="1"/>
  <c r="GG20" i="2" s="1"/>
  <c r="GH20" i="2" s="1"/>
  <c r="GI20" i="2" s="1"/>
  <c r="GJ20" i="2" s="1"/>
  <c r="GK20" i="2" s="1"/>
  <c r="GL20" i="2" s="1"/>
  <c r="GM20" i="2" s="1"/>
  <c r="GN20" i="2" s="1"/>
  <c r="GO20" i="2" s="1"/>
  <c r="GP20" i="2" s="1"/>
  <c r="GQ20" i="2" s="1"/>
  <c r="GR20" i="2" s="1"/>
  <c r="GS20" i="2" s="1"/>
  <c r="GT20" i="2" s="1"/>
  <c r="GU20" i="2" s="1"/>
  <c r="GV20" i="2" s="1"/>
  <c r="GW20" i="2" s="1"/>
  <c r="GX20" i="2" s="1"/>
  <c r="GY20" i="2" s="1"/>
  <c r="GZ20" i="2" s="1"/>
  <c r="HA20" i="2" s="1"/>
  <c r="HB20" i="2" s="1"/>
  <c r="HC20" i="2" s="1"/>
  <c r="HD20" i="2" s="1"/>
  <c r="HE20" i="2" s="1"/>
  <c r="HF20" i="2" s="1"/>
  <c r="HG20" i="2" s="1"/>
  <c r="HH20" i="2" s="1"/>
  <c r="HI20" i="2" s="1"/>
  <c r="HJ20" i="2" s="1"/>
  <c r="HK20" i="2" s="1"/>
  <c r="HL20" i="2" s="1"/>
  <c r="HM20" i="2" s="1"/>
  <c r="HN20" i="2" s="1"/>
  <c r="HO20" i="2" s="1"/>
  <c r="HP20" i="2" s="1"/>
  <c r="HQ20" i="2" s="1"/>
  <c r="HR20" i="2" s="1"/>
  <c r="HS20" i="2" s="1"/>
  <c r="HT20" i="2" s="1"/>
  <c r="HU20" i="2" s="1"/>
  <c r="HV20" i="2" s="1"/>
  <c r="HW20" i="2" s="1"/>
  <c r="HX20" i="2" s="1"/>
  <c r="HY20" i="2" s="1"/>
  <c r="HZ20" i="2" s="1"/>
  <c r="IA20" i="2" s="1"/>
  <c r="IB20" i="2" s="1"/>
  <c r="IC20" i="2" s="1"/>
  <c r="ID20" i="2" s="1"/>
  <c r="IE20" i="2" s="1"/>
  <c r="IF20" i="2" s="1"/>
  <c r="IG20" i="2" s="1"/>
  <c r="IH20" i="2" s="1"/>
  <c r="II20" i="2" s="1"/>
  <c r="IJ20" i="2" s="1"/>
  <c r="IK20" i="2" s="1"/>
  <c r="IL20" i="2" s="1"/>
  <c r="IM20" i="2" s="1"/>
  <c r="IN20" i="2" s="1"/>
  <c r="IO20" i="2" s="1"/>
  <c r="IP20" i="2" s="1"/>
  <c r="IQ20" i="2" s="1"/>
  <c r="IR20" i="2" s="1"/>
  <c r="IS20" i="2" s="1"/>
  <c r="IT20" i="2" s="1"/>
  <c r="IU20" i="2" s="1"/>
  <c r="IV20" i="2" s="1"/>
  <c r="IW20" i="2" s="1"/>
  <c r="IX20" i="2" s="1"/>
  <c r="IY20" i="2" s="1"/>
  <c r="IZ20" i="2" s="1"/>
  <c r="JA20" i="2" s="1"/>
  <c r="JB20" i="2" s="1"/>
  <c r="JC20" i="2" s="1"/>
  <c r="JD20" i="2" s="1"/>
  <c r="JE20" i="2" s="1"/>
  <c r="JF20" i="2" s="1"/>
  <c r="JG20" i="2" s="1"/>
  <c r="JH20" i="2" s="1"/>
  <c r="JI20" i="2" s="1"/>
  <c r="JJ20" i="2" s="1"/>
  <c r="JK20" i="2" s="1"/>
  <c r="JL20" i="2" s="1"/>
  <c r="JM20" i="2" s="1"/>
  <c r="JN20" i="2" s="1"/>
  <c r="JO20" i="2" s="1"/>
  <c r="JP20" i="2" s="1"/>
  <c r="JQ20" i="2" s="1"/>
  <c r="JR20" i="2" s="1"/>
  <c r="JS20" i="2" s="1"/>
  <c r="JT20" i="2" s="1"/>
  <c r="JU20" i="2" s="1"/>
  <c r="JV20" i="2" s="1"/>
  <c r="JW20" i="2" s="1"/>
  <c r="JX20" i="2" s="1"/>
  <c r="JY20" i="2" s="1"/>
  <c r="JZ20" i="2" s="1"/>
  <c r="KA20" i="2" s="1"/>
  <c r="KB20" i="2" s="1"/>
  <c r="KC20" i="2" s="1"/>
  <c r="KD20" i="2" s="1"/>
  <c r="KE20" i="2" s="1"/>
  <c r="KF20" i="2" s="1"/>
  <c r="KG20" i="2" s="1"/>
  <c r="KH20" i="2" s="1"/>
  <c r="KI20" i="2" s="1"/>
  <c r="KJ20" i="2" s="1"/>
  <c r="KK20" i="2" s="1"/>
  <c r="KL20" i="2" s="1"/>
  <c r="KM20" i="2" s="1"/>
  <c r="KN20" i="2" s="1"/>
  <c r="KO20" i="2" s="1"/>
  <c r="KP20" i="2" s="1"/>
  <c r="KQ20" i="2" s="1"/>
  <c r="KR20" i="2" s="1"/>
  <c r="KS20" i="2" s="1"/>
  <c r="KT20" i="2" s="1"/>
  <c r="KU20" i="2" s="1"/>
  <c r="KV20" i="2" s="1"/>
  <c r="KW20" i="2" s="1"/>
  <c r="KX20" i="2" s="1"/>
  <c r="KY20" i="2" s="1"/>
  <c r="KZ20" i="2" s="1"/>
  <c r="LA20" i="2" s="1"/>
  <c r="LB20" i="2" s="1"/>
  <c r="LC20" i="2" s="1"/>
  <c r="LD20" i="2" s="1"/>
  <c r="LE20" i="2" s="1"/>
  <c r="LF20" i="2" s="1"/>
  <c r="LG20" i="2" s="1"/>
  <c r="LH20" i="2" s="1"/>
  <c r="LI20" i="2" s="1"/>
  <c r="LJ20" i="2" s="1"/>
  <c r="LK20" i="2" s="1"/>
  <c r="LL20" i="2" s="1"/>
  <c r="LM20" i="2" s="1"/>
  <c r="LN20" i="2" s="1"/>
  <c r="LO20" i="2" s="1"/>
  <c r="LP20" i="2" s="1"/>
  <c r="LQ20" i="2" s="1"/>
  <c r="LR20" i="2" s="1"/>
  <c r="LS20" i="2" s="1"/>
  <c r="LT20" i="2" s="1"/>
  <c r="LU20" i="2" s="1"/>
  <c r="LV20" i="2" s="1"/>
  <c r="LW20" i="2" s="1"/>
  <c r="LX20" i="2" s="1"/>
  <c r="LY20" i="2" s="1"/>
  <c r="LZ20" i="2" s="1"/>
  <c r="MA20" i="2" s="1"/>
  <c r="MB20" i="2" s="1"/>
  <c r="MC20" i="2" s="1"/>
  <c r="MD20" i="2" s="1"/>
  <c r="ME20" i="2" s="1"/>
  <c r="MF20" i="2" s="1"/>
  <c r="MG20" i="2" s="1"/>
  <c r="MH20" i="2" s="1"/>
  <c r="MI20" i="2" s="1"/>
  <c r="MJ20" i="2" s="1"/>
  <c r="MK20" i="2" s="1"/>
  <c r="ML20" i="2" s="1"/>
  <c r="MM20" i="2" s="1"/>
  <c r="MN20" i="2" s="1"/>
  <c r="MO20" i="2" s="1"/>
  <c r="MP20" i="2" s="1"/>
  <c r="MQ20" i="2" s="1"/>
  <c r="MR20" i="2" s="1"/>
  <c r="MS20" i="2" s="1"/>
  <c r="MT20" i="2" s="1"/>
  <c r="MU20" i="2" s="1"/>
  <c r="MV20" i="2" s="1"/>
  <c r="MW20" i="2" s="1"/>
  <c r="MX20" i="2" s="1"/>
  <c r="MY20" i="2" s="1"/>
  <c r="MZ20" i="2" s="1"/>
  <c r="NA20" i="2" s="1"/>
  <c r="NB20" i="2" s="1"/>
  <c r="NC20" i="2" s="1"/>
  <c r="ND20" i="2" s="1"/>
  <c r="NE20" i="2" s="1"/>
  <c r="NF20" i="2" s="1"/>
  <c r="NG20" i="2" s="1"/>
  <c r="NH20" i="2" s="1"/>
  <c r="NI20" i="2" s="1"/>
  <c r="NJ20" i="2" s="1"/>
  <c r="NK20" i="2" s="1"/>
  <c r="NL20" i="2" s="1"/>
  <c r="NM20" i="2" s="1"/>
  <c r="NN20" i="2" s="1"/>
  <c r="NO20" i="2" s="1"/>
  <c r="NP20" i="2" s="1"/>
  <c r="NQ20" i="2" s="1"/>
  <c r="NR20" i="2" s="1"/>
  <c r="NS20" i="2" s="1"/>
  <c r="NT20" i="2" s="1"/>
  <c r="AN34" i="2"/>
  <c r="AN35" i="2" l="1"/>
  <c r="AQ28" i="2"/>
  <c r="AQ30" i="2" s="1"/>
  <c r="AQ31" i="2" s="1"/>
  <c r="AQ33" i="2" l="1"/>
  <c r="AN22" i="2"/>
  <c r="AN30" i="2"/>
  <c r="AM22" i="2"/>
  <c r="AM30" i="2"/>
  <c r="AN32" i="2" l="1"/>
  <c r="AM3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tc={59809C56-6C89-4628-A493-853E0D72DDA0}</author>
    <author>tc={25046376-1097-4A93-B412-F09C231599D3}</author>
  </authors>
  <commentList>
    <comment ref="B7" authorId="0" shapeId="0" xr:uid="{59809C56-6C89-4628-A493-853E0D72DDA0}">
      <text>
        <t>[Threaded comment]
Your version of Excel allows you to read this threaded comment; however, any edits to it will get removed if the file is opened in a newer version of Excel. Learn more: https://go.microsoft.com/fwlink/?linkid=870924
Comment:
    Cash &amp; equivs., ST investments, LT investments, equity investments</t>
      </text>
    </comment>
    <comment ref="B8" authorId="1" shapeId="0" xr:uid="{25046376-1097-4A93-B412-F09C231599D3}">
      <text>
        <t>[Threaded comment]
Your version of Excel allows you to read this threaded comment; however, any edits to it will get removed if the file is opened in a newer version of Excel. Learn more: https://go.microsoft.com/fwlink/?linkid=870924
Comment:
    ST debt + current portion of LT debt + LT debt</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<sst xmlns="http://schemas.openxmlformats.org/spreadsheetml/2006/main" count="92" uniqueCount="86">
  <si>
    <t>Company</t>
  </si>
  <si>
    <t>Source</t>
  </si>
  <si>
    <t>Price</t>
  </si>
  <si>
    <t>Shares</t>
  </si>
  <si>
    <t>4Q20</t>
  </si>
  <si>
    <t>Market Cap</t>
  </si>
  <si>
    <t>Cash</t>
  </si>
  <si>
    <t>Debt</t>
  </si>
  <si>
    <t>EV</t>
  </si>
  <si>
    <t>Competitors</t>
  </si>
  <si>
    <t>Equity</t>
  </si>
  <si>
    <t>D+E</t>
  </si>
  <si>
    <t>Wdebt</t>
  </si>
  <si>
    <t>Wequity</t>
  </si>
  <si>
    <t>Tax rate</t>
  </si>
  <si>
    <t>Interest expense</t>
  </si>
  <si>
    <t>Cost of debt</t>
  </si>
  <si>
    <t>Risk-free rate</t>
  </si>
  <si>
    <t>Beta</t>
  </si>
  <si>
    <t>Market return</t>
  </si>
  <si>
    <t xml:space="preserve">average </t>
  </si>
  <si>
    <t>Cost of equity</t>
  </si>
  <si>
    <t>WACC</t>
  </si>
  <si>
    <t>SBUX-operated Stores</t>
  </si>
  <si>
    <t>Licensed Stores</t>
  </si>
  <si>
    <t>Other</t>
  </si>
  <si>
    <t>Total Revenue</t>
  </si>
  <si>
    <t>COGS</t>
  </si>
  <si>
    <t>Gross Profit</t>
  </si>
  <si>
    <t>Store Opex</t>
  </si>
  <si>
    <t>Other Opex</t>
  </si>
  <si>
    <t>G&amp;A</t>
  </si>
  <si>
    <t>Total Opex</t>
  </si>
  <si>
    <t>Operating Income</t>
  </si>
  <si>
    <t>Pretax Income</t>
  </si>
  <si>
    <t>Taxes</t>
  </si>
  <si>
    <t>Net Income</t>
  </si>
  <si>
    <t>EPS</t>
  </si>
  <si>
    <t>1Q17</t>
  </si>
  <si>
    <t>2Q17</t>
  </si>
  <si>
    <t>3Q17</t>
  </si>
  <si>
    <t>4Q17</t>
  </si>
  <si>
    <t>1Q18</t>
  </si>
  <si>
    <t>2Q18</t>
  </si>
  <si>
    <t>3Q18</t>
  </si>
  <si>
    <t>4Q18</t>
  </si>
  <si>
    <t>1Q19</t>
  </si>
  <si>
    <t>2Q19</t>
  </si>
  <si>
    <t>3Q19</t>
  </si>
  <si>
    <t>4Q19</t>
  </si>
  <si>
    <t>1Q20</t>
  </si>
  <si>
    <t>2Q20</t>
  </si>
  <si>
    <t>3Q20</t>
  </si>
  <si>
    <t>Income from Equity Investees</t>
  </si>
  <si>
    <t>Net Earnings/(Loss) to NCI</t>
  </si>
  <si>
    <t xml:space="preserve">Dividend </t>
  </si>
  <si>
    <t>Revenue Y/Y</t>
  </si>
  <si>
    <t>COGS Y/Y</t>
  </si>
  <si>
    <t>Opex Y/Y</t>
  </si>
  <si>
    <t>NI Y/Y</t>
  </si>
  <si>
    <t>Shares Y/Y</t>
  </si>
  <si>
    <t>EPS Y/Y</t>
  </si>
  <si>
    <t>GM</t>
  </si>
  <si>
    <t>OM</t>
  </si>
  <si>
    <t>average</t>
  </si>
  <si>
    <t>Dividend Y/Y</t>
  </si>
  <si>
    <t>Maturity Value</t>
  </si>
  <si>
    <t>Discount Rate</t>
  </si>
  <si>
    <t>NPV</t>
  </si>
  <si>
    <t>Net Cash</t>
  </si>
  <si>
    <t>Total Value</t>
  </si>
  <si>
    <t>Per Share</t>
  </si>
  <si>
    <t>Current</t>
  </si>
  <si>
    <t>Difference</t>
  </si>
  <si>
    <t>1Q21</t>
  </si>
  <si>
    <t>4Q22</t>
  </si>
  <si>
    <t>2Q21</t>
  </si>
  <si>
    <t>3Q21</t>
  </si>
  <si>
    <t>4Q21</t>
  </si>
  <si>
    <t>1Q22</t>
  </si>
  <si>
    <t>2Q22</t>
  </si>
  <si>
    <t>3Q22</t>
  </si>
  <si>
    <t>Interest Income</t>
  </si>
  <si>
    <t>Interest Expense</t>
  </si>
  <si>
    <t>10K22</t>
  </si>
  <si>
    <t>koyfin 1/13/23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</si>
</sst>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_([$$-409]* #,##0.00_);_([$$-409]* \(#,##0.00\);_([$$-409]* &quot;-&quot;??_);_(@_)"/>
    <numFmt numFmtId="166" formatCode="#,##0.0"/>
    <numFmt numFmtId="167" formatCode="#,##0.000"/>
  </numFmts>
  <fonts count="9" x14ac:knownFonts="1">
    <font>
      <sz val="11"/>
      <color theme="1"/>
      <name val="Calibri"/>
      <family val="2"/>
      <scheme val="minor"/>
    </font>
    <font>
      <sz val="11"/>
      <color theme="1"/>
      <name val="Arial"/>
      <family val="2"/>
    </font>
    <font>
      <sz val="11"/>
      <color theme="1"/>
      <name val="Arial"/>
      <family val="2"/>
    </font>
    <font>
      <sz val="11"/>
      <color theme="1"/>
      <name val="Calibri"/>
      <family val="2"/>
      <scheme val="minor"/>
    </font>
    <font>
      <u/>
      <sz val="11"/>
      <color theme="10"/>
      <name val="Calibri"/>
      <family val="2"/>
      <scheme val="minor"/>
    </font>
    <font>
      <b/>
      <sz val="11"/>
      <color theme="1"/>
      <name val="Arial"/>
      <family val="2"/>
    </font>
    <font>
      <u/>
      <sz val="11"/>
      <color theme="10"/>
      <name val="Arial"/>
      <family val="2"/>
    </font>
    <font>
      <sz val="9"/>
      <color indexed="81"/>
      <name val="Tahoma"/>
      <family val="2"/>
    </font>
    <font>
      <sz val="8"/>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3">
    <xf numFmtId="0" fontId="0" fillId="0" borderId="0"/>
    <xf numFmtId="9" fontId="3" fillId="0" borderId="0" applyFont="0" applyFill="0" applyBorder="0" applyAlignment="0" applyProtection="0"/>
    <xf numFmtId="0" fontId="4" fillId="0" borderId="0" applyNumberFormat="0" applyFill="0" applyBorder="0" applyAlignment="0" applyProtection="0"/>
  </cellStyleXfs>
  <cellXfs count="26">
    <xf numFmtId="0" fontId="0" fillId="0" borderId="0" xfId="0"/>
    <xf numFmtId="0" fontId="2" fillId="0" borderId="1" xfId="0" applyFont="1" applyBorder="1"/>
    <xf numFmtId="0" fontId="2" fillId="0" borderId="2" xfId="0" applyFont="1" applyBorder="1"/>
    <xf numFmtId="0" fontId="2" fillId="0" borderId="3" xfId="0" applyFont="1" applyBorder="1"/>
    <xf numFmtId="0" fontId="2" fillId="0" borderId="0" xfId="0" applyFont="1"/>
    <xf numFmtId="0" fontId="2" fillId="0" borderId="4" xfId="0" applyFont="1" applyBorder="1"/>
    <xf numFmtId="165" fontId="2" fillId="0" borderId="0" xfId="0" applyNumberFormat="1" applyFont="1" applyAlignment="1">
      <alignment horizontal="right"/>
    </xf>
    <xf numFmtId="0" fontId="2" fillId="0" borderId="1" xfId="0" applyFont="1" applyBorder="1" applyAlignment="1">
      <alignment horizontal="right"/>
    </xf>
    <xf numFmtId="4" fontId="2" fillId="0" borderId="0" xfId="0" applyNumberFormat="1" applyFont="1"/>
    <xf numFmtId="3" fontId="2" fillId="0" borderId="0" xfId="0" applyNumberFormat="1" applyFont="1" applyAlignment="1">
      <alignment horizontal="right"/>
    </xf>
    <xf numFmtId="0" fontId="2" fillId="0" borderId="4" xfId="0" applyFont="1" applyBorder="1" applyAlignment="1">
      <alignment horizontal="right"/>
    </xf>
    <xf numFmtId="0" fontId="2" fillId="0" borderId="5" xfId="0" applyFont="1" applyBorder="1"/>
    <xf numFmtId="3" fontId="2" fillId="0" borderId="6" xfId="0" applyNumberFormat="1" applyFont="1" applyBorder="1" applyAlignment="1">
      <alignment horizontal="right"/>
    </xf>
    <xf numFmtId="0" fontId="2" fillId="0" borderId="5" xfId="0" applyFont="1" applyBorder="1" applyAlignment="1">
      <alignment horizontal="right"/>
    </xf>
    <xf numFmtId="0" fontId="6" fillId="0" borderId="4" xfId="2" applyFont="1" applyBorder="1"/>
    <xf numFmtId="14" fontId="2" fillId="0" borderId="0" xfId="0" applyNumberFormat="1" applyFont="1"/>
    <xf numFmtId="3" fontId="2" fillId="0" borderId="0" xfId="0" applyNumberFormat="1" applyFont="1"/>
    <xf numFmtId="0" fontId="5" fillId="0" borderId="0" xfId="0" applyFont="1"/>
    <xf numFmtId="3" fontId="5" fillId="0" borderId="0" xfId="0" applyNumberFormat="1" applyFont="1"/>
    <xf numFmtId="167" fontId="5" fillId="0" borderId="0" xfId="0" applyNumberFormat="1" applyFont="1"/>
    <xf numFmtId="9" fontId="2" fillId="0" borderId="0" xfId="0" applyNumberFormat="1" applyFont="1"/>
    <xf numFmtId="166" fontId="2" fillId="0" borderId="0" xfId="0" applyNumberFormat="1" applyFont="1"/>
    <xf numFmtId="10" fontId="2" fillId="0" borderId="0" xfId="1" applyNumberFormat="1" applyFont="1"/>
    <xf numFmtId="10" fontId="2" fillId="0" borderId="0" xfId="0" applyNumberFormat="1" applyFont="1"/>
    <xf numFmtId="0" fontId="1" fillId="0" borderId="4" xfId="0" applyFont="1" applyBorder="1" applyAlignment="1">
      <alignment horizontal="right"/>
    </xf>
    <xf numFmtId="0" fontId="1" fillId="0" borderId="0" xfId="0" applyFont="1"/>
  </cellXfs>
  <cellStyles count="3">
    <cellStyle name="Hyperlink" xfId="2" builtinId="8"/>
    <cellStyle name="Normal" xfId="0" builtinId="0"/>
    <cellStyle name="Percent" xfId="1" builtinId="5"/>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microsoft.com/office/2017/10/relationships/person" Target="persons/perso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37</xdr:col>
      <xdr:colOff>95250</xdr:colOff>
      <xdr:row>0</xdr:row>
      <xdr:rowOff>19050</xdr:rowOff>
    </xdr:from>
    <xdr:to>
      <xdr:col>37</xdr:col>
      <xdr:colOff>95250</xdr:colOff>
      <xdr:row>36</xdr:row>
      <xdr:rowOff>95250</xdr:rowOff>
    </xdr:to>
    <xdr:cxnSp macro="">
      <xdr:nvCxnSpPr>
        <xdr:cNvPr id="3" name="Straight Connector 2">
          <a:extLst>
            <a:ext uri="{FF2B5EF4-FFF2-40B4-BE49-F238E27FC236}">
              <a16:creationId xmlns:a16="http://schemas.microsoft.com/office/drawing/2014/main" id="{516732B2-F798-41E3-A513-C524C3385EE7}"/>
            </a:ext>
          </a:extLst>
        </xdr:cNvPr>
        <xdr:cNvCxnSpPr/>
      </xdr:nvCxnSpPr>
      <xdr:spPr>
        <a:xfrm>
          <a:off x="26346150" y="19050"/>
          <a:ext cx="0" cy="66103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William%20S/Documents/Models%20Backup/00%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Bond Yields"/>
      <sheetName val="Companies"/>
    </sheetNames>
    <sheetDataSet>
      <sheetData sheetId="0">
        <row r="7">
          <cell r="C7">
            <v>3.5999999999999997E-2</v>
          </cell>
        </row>
      </sheetData>
      <sheetData sheetId="1"/>
    </sheetDataSet>
  </externalBook>
</externalLink>
</file>

<file path=xl/persons/person.xml><?xml version="1.0" encoding="utf-8"?>
<personList xmlns="http://schemas.microsoft.com/office/spreadsheetml/2018/threadedcomments" xmlns:x="http://schemas.openxmlformats.org/spreadsheetml/2006/main">
  <person displayName="William Sheldon" id="{91FDBF73-31A5-4871-8A44-C2D4E603F1CE}" userId="667679d5bb2810d2" providerId="Windows Live"/>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9">
  <rv s="0">
    <v>https://www.bing.com/financeapi/forcetrigger?t=a22k9c&amp;q=XNAS%3aSBUX&amp;form=skydnc</v>
    <v>Learn more on Bing</v>
  </rv>
  <rv s="1">
    <v>en-US</v>
    <v>a22k9c</v>
    <v>268435456</v>
    <v>1</v>
    <v>Powered by Refinitiv</v>
    <v>0</v>
    <v>STARBUCKS CORPORATION (XNAS:SBUX)</v>
    <v>2</v>
    <v>3</v>
    <v>Finance</v>
    <v>4</v>
    <v>107.3</v>
    <v>68.39</v>
    <v>0.91500000000000004</v>
    <v>1.38</v>
    <v>-9.3260000000000001E-4</v>
    <v>1.3037E-2</v>
    <v>-0.1</v>
    <v>USD</v>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v>402000</v>
    <v>Nasdaq Stock Market</v>
    <v>XNAS</v>
    <v>XNAS</v>
    <v>P O Box 34067, SEATTLE, WA, 98124-1067 US</v>
    <v>107.3</v>
    <v>Hotels &amp; Entertainment Services</v>
    <v>Stock</v>
    <v>44939.910315138281</v>
    <v>0</v>
    <v>105.07</v>
    <v>123078600000</v>
    <v>STARBUCKS CORPORATION</v>
    <v>STARBUCKS CORPORATION</v>
    <v>105.07</v>
    <v>37.360599999999998</v>
    <v>105.85</v>
    <v>107.23</v>
    <v>107.13</v>
    <v>1147800000</v>
    <v>SBUX</v>
    <v>STARBUCKS CORPORATION (XNAS:SBUX)</v>
    <v>5529705</v>
    <v>6100134</v>
    <v>1985</v>
  </rv>
  <rv s="2">
    <v>1</v>
  </rv>
  <rv s="0">
    <v>http://en.wikipedia.org/wiki/Public_domain</v>
    <v>Public domain</v>
  </rv>
  <rv s="0">
    <v>http://en.wikipedia.org/wiki/McDonald's</v>
    <v>Wikipedia</v>
  </rv>
  <rv s="3">
    <v>3</v>
    <v>4</v>
  </rv>
  <rv s="4">
    <v>10</v>
    <v>https://www.bing.com/th?id=AMMS_7d8255243964a8970376f8dd41121106&amp;qlt=95</v>
    <v>5</v>
    <v>0</v>
    <v>https://www.bing.com/images/search?form=xlimg&amp;q=mcdonald%27s</v>
    <v>Image of MCDONALD'S CORPORATION</v>
  </rv>
  <rv s="0">
    <v>https://www.bing.com/financeapi/forcetrigger?t=a1xdec&amp;q=XNYS%3aMCD&amp;form=skydnc</v>
    <v>Learn more on Bing</v>
  </rv>
  <rv s="5">
    <v>en-US</v>
    <v>a1xdec</v>
    <v>268435456</v>
    <v>1</v>
    <v>Powered by Refinitiv</v>
    <v>5</v>
    <v>MCDONALD'S CORPORATION (XNYS:MCD)</v>
    <v>7</v>
    <v>8</v>
    <v>Finance</v>
    <v>9</v>
    <v>281.67</v>
    <v>217.67500000000001</v>
    <v>0.64859999999999995</v>
    <v>2.1800000000000002</v>
    <v>-1.8220000000000001E-3</v>
    <v>8.1740000000000007E-3</v>
    <v>-0.49</v>
    <v>USD</v>
    <v>McDonald's Corporation (McDonald's) operates and franchises McDonald's restaurants. The Company's restaurants serve a locally relevant menu of food and beverages. Its restaurants are owned and operated by independent local business owners. The Company's segments include United States (U.S.), International Operated Markets (IOM) and International Developmental Licensed Markets &amp; Corporate (IDL). The U.S. segment focuses on Company's menu and offerings, as well as delivery and digital platforms. Its IOM segment includes its operations in markets, such as Australia, Canada, France, Germany, Italy, the Netherlands, Spain, and the United Kingdom. Its IDL segment includes its operations in markets, such as Latin America and Asia. Its digital offerings include drive thru, takeaway, delivery, curbside pick-up, and dine-in. Its menu includes hamburgers and cheeseburgers, Big Mac, Quarter Pounder with Cheese, Filet-O-Fish, wraps, shakes, soft drinks, coffee, McCafe beverages and other beverages.</v>
    <v>200000</v>
    <v>New York Stock Exchange</v>
    <v>XNYS</v>
    <v>XNYS</v>
    <v>110 N Carpenter St, CHICAGO, IL, 60607-2104 US</v>
    <v>268.95</v>
    <v>6</v>
    <v>Hotels &amp; Entertainment Services</v>
    <v>Stock</v>
    <v>44939.886611376562</v>
    <v>7</v>
    <v>265.88</v>
    <v>196941500000</v>
    <v>MCDONALD'S CORPORATION</v>
    <v>MCDONALD'S CORPORATION</v>
    <v>266.39</v>
    <v>33.593699999999998</v>
    <v>266.69</v>
    <v>268.87</v>
    <v>268.39999999999998</v>
    <v>732423900</v>
    <v>MCD</v>
    <v>MCDONALD'S CORPORATION (XNYS:MCD)</v>
    <v>2169133</v>
    <v>2416353</v>
    <v>1964</v>
  </rv>
  <rv s="2">
    <v>8</v>
  </rv>
  <rv s="0">
    <v>https://www.bing.com/financeapi/forcetrigger?t=a1pxbh&amp;q=XNYS%3aCMG&amp;form=skydnc</v>
    <v>Learn more on Bing</v>
  </rv>
  <rv s="1">
    <v>en-US</v>
    <v>a1pxbh</v>
    <v>268435456</v>
    <v>1</v>
    <v>Powered by Refinitiv</v>
    <v>0</v>
    <v>CHIPOTLE MEXICAN GRILL, INC. (XNYS:CMG)</v>
    <v>2</v>
    <v>3</v>
    <v>Finance</v>
    <v>9</v>
    <v>1754.56</v>
    <v>1196.28</v>
    <v>1.2607999999999999</v>
    <v>12.73</v>
    <v>-9.6420000000000002E-4</v>
    <v>8.4170000000000009E-3</v>
    <v>-1.47</v>
    <v>USD</v>
    <v>Chipotle Mexican Grill, Inc. together with its subsidiaries owns and operates Chipotle Mexican Grill restaurants. The Company’s Chipotle Mexican Grill restaurants serves a relevant menu of burritos, burrito bowls (a burrito without the tortilla), quesadillas, tacos, and salads. The Company owns and operates approximately 2,918 Chipotle restaurants throughout the United States, 44 international Chipotle restaurants, and four non-Chipotle restaurants. In its Chipotle restaurants, the Company serves only meats and brand these meats as Responsibly Raised. The Company manages its operations based on eight regions. It sells gift cards, which do not have expiration dates. The Company’s subsidiaries include Chipotle Mexican Grill, Corp.; Nova Scotia, Chipotle Mexican Grill, SAS; France Chipotle, Grill Germany GMBH; Chipotle Mexican Grill of Berwyn Heights, LLC; Chipotle Services, LLC; Chipotle Texas, LLC; CMG Concessions, LLC; CMG of Prince Georges, LLC and other.</v>
    <v>97660</v>
    <v>New York Stock Exchange</v>
    <v>XNYS</v>
    <v>XNYS</v>
    <v>610 Newport Center Dr, Suite 1100, NEWPORT BEACH, CA, 92660 US</v>
    <v>1525.44</v>
    <v>Hotels &amp; Entertainment Services</v>
    <v>Stock</v>
    <v>44939.882378981252</v>
    <v>10</v>
    <v>1498.09</v>
    <v>42262780000</v>
    <v>CHIPOTLE MEXICAN GRILL, INC.</v>
    <v>CHIPOTLE MEXICAN GRILL, INC.</v>
    <v>1503.89</v>
    <v>52.643599999999999</v>
    <v>1512.47</v>
    <v>1525.2</v>
    <v>1523.1</v>
    <v>27721110</v>
    <v>CMG</v>
    <v>CHIPOTLE MEXICAN GRILL, INC. (XNYS:CMG)</v>
    <v>290171</v>
    <v>256447</v>
    <v>1998</v>
  </rv>
  <rv s="2">
    <v>11</v>
  </rv>
  <rv s="0">
    <v>https://www.bing.com/financeapi/forcetrigger?t=a21n6h&amp;q=XNYS%3aQSR&amp;form=skydnc</v>
    <v>Learn more on Bing</v>
  </rv>
  <rv s="1">
    <v>en-US</v>
    <v>a21n6h</v>
    <v>268435456</v>
    <v>1</v>
    <v>Powered by Refinitiv</v>
    <v>0</v>
    <v>Restaurant Brands International Inc. (XNYS:QSR)</v>
    <v>2</v>
    <v>3</v>
    <v>Finance</v>
    <v>4</v>
    <v>68.540000000000006</v>
    <v>46.68</v>
    <v>0.99380000000000002</v>
    <v>0.67</v>
    <v>0</v>
    <v>1.0201E-2</v>
    <v>0</v>
    <v>USD</v>
    <v>Restaurant Brands International Inc. is a quick service restaurant company engaged in serving coffee and other beverage and food products. The Company’s segments include TH segment, which includes all operations of its Tim Hortons brand; BK segment, which includes all operations of its Burger King brand; PLK, which includes all operations of its Popeyes brand, and FHS segment, which includes all operations of its Firehouse Subs brand. Under the Tim Hortons brand, the Company operates in the donut/coffee/tea category of the quick service segment of the restaurant industry. Under the Burger King brand, the Company operates in the fast food hamburger restaurant category of the quick service segment of the restaurant industry. Under the Popeyes brand, the Company operates in the chicken category of the quick service segment of the restaurant industry. Under the Firehouse Subs brand, the Company operates in the specialty subs category of the quick service segment of the restaurant industry.</v>
    <v>5700</v>
    <v>New York Stock Exchange</v>
    <v>XNYS</v>
    <v>XNYS</v>
    <v>130 King St W Suite 300, TORONTO, ON, M5X 2A2 CA</v>
    <v>66.400000000000006</v>
    <v>Hotels &amp; Entertainment Services</v>
    <v>Stock</v>
    <v>44939.935119039059</v>
    <v>13</v>
    <v>65.25</v>
    <v>20296770000</v>
    <v>Restaurant Brands International Inc.</v>
    <v>Restaurant Brands International Inc.</v>
    <v>65.319999999999993</v>
    <v>21.3459</v>
    <v>65.680000000000007</v>
    <v>66.349999999999994</v>
    <v>66.349999999999994</v>
    <v>305904600</v>
    <v>QSR</v>
    <v>Restaurant Brands International Inc. (XNYS:QSR)</v>
    <v>966926</v>
    <v>1142762</v>
    <v>2014</v>
  </rv>
  <rv s="2">
    <v>14</v>
  </rv>
  <rv s="0">
    <v>https://www.bing.com/financeapi/forcetrigger?t=a1wljc&amp;q=XNYS%3aKO&amp;form=skydnc</v>
    <v>Learn more on Bing</v>
  </rv>
  <rv s="1">
    <v>en-US</v>
    <v>a1wljc</v>
    <v>268435456</v>
    <v>1</v>
    <v>Powered by Refinitiv</v>
    <v>0</v>
    <v>THE COCA-COLA COMPANY (XNYS:KO)</v>
    <v>2</v>
    <v>3</v>
    <v>Finance</v>
    <v>9</v>
    <v>67.2</v>
    <v>54.015000000000001</v>
    <v>0.56899999999999995</v>
    <v>0.22</v>
    <v>9.7670000000000005E-4</v>
    <v>3.594E-3</v>
    <v>0.06</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hydration, sports, coffee and tea; nutrition, juice, dairy and plant-based beverages; and emerging beverages. It owns and markets five nonalcoholic sparkling soft drink brands, such as Coca-Cola, Sprite, Fanta, Diet Coke and Coca-Cola Zero Sugar. Its hydration, sports, coffee and tea brands include quarius, Ayataka, BODYARMOR, Ciel, Costa, dogadan, Dasani, FUZE TEA, Georgia, glaceau smartwater, glaceau vitaminwater, Gold Peak, Powerade and others. Its nutrition, juice, dairy and plant-based beverages brands include AdeS, Del Valle, fairlife, innocent, Minute Maid, Minute Maid Pulpy and Simply. Its products are available to consumers in more than 200 countries.</v>
    <v>79000</v>
    <v>New York Stock Exchange</v>
    <v>XNYS</v>
    <v>XNYS</v>
    <v>1 Coca Cola Plz NW, ATLANTA, GA, 30313-2420 US</v>
    <v>61.46</v>
    <v>Beverages</v>
    <v>Stock</v>
    <v>44939.92738122656</v>
    <v>16</v>
    <v>60.585000000000001</v>
    <v>265654800000</v>
    <v>THE COCA-COLA COMPANY</v>
    <v>THE COCA-COLA COMPANY</v>
    <v>60.7</v>
    <v>26.834700000000002</v>
    <v>61.21</v>
    <v>61.43</v>
    <v>61.49</v>
    <v>4324513000</v>
    <v>KO</v>
    <v>THE COCA-COLA COMPANY (XNYS:KO)</v>
    <v>13986356</v>
    <v>11629547</v>
    <v>1919</v>
  </rv>
  <rv s="2">
    <v>17</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1">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0</v>
      <v>0</v>
    </spb>
    <spb s="6">
      <v>6</v>
      <v>1</v>
      <v>1</v>
      <v>1</v>
      <v>1</v>
    </spb>
    <spb s="7">
      <v>1</v>
      <v>2</v>
      <v>2</v>
      <v>1</v>
      <v>3</v>
      <v>1</v>
      <v>10</v>
      <v>1</v>
      <v>1</v>
      <v>4</v>
      <v>4</v>
      <v>5</v>
      <v>6</v>
      <v>1</v>
      <v>1</v>
      <v>1</v>
      <v>4</v>
      <v>7</v>
      <v>8</v>
      <v>9</v>
      <v>4</v>
      <v>1</v>
      <v>1</v>
      <v>5</v>
    </spb>
    <spb s="4">
      <v>at close</v>
      <v>from previous close</v>
      <v>from previous close</v>
      <v>Source: Nasdaq Last Sale</v>
      <v>GMT</v>
      <v>Real-Time Nasdaq Last Sale</v>
      <v>from close</v>
      <v>from close</v>
    </spb>
    <spb s="8">
      <v>Powered by Refinitiv</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4" formatCode="#,##0.00"/>
    </x:dxf>
    <x:dxf>
      <x:numFmt numFmtId="3" formatCode="#,##0"/>
    </x:dxf>
    <x:dxf>
      <x:numFmt numFmtId="14" formatCode="0.00%"/>
    </x:dxf>
    <x:dxf>
      <x:numFmt numFmtId="27" formatCode="m/d/yyyy\ h:mm"/>
    </x:dxf>
    <x:dxf>
      <x:numFmt numFmtId="1" formatCode="0"/>
    </x:dxf>
    <x:dxf>
      <x:numFmt numFmtId="2" formatCode="0.00"/>
    </x:dxf>
    <x:dxf>
      <x:numFmt numFmtId="0" formatCode="General"/>
    </x:dxf>
  </dxfs>
  <richProperties>
    <rPr n="NumberFormat" t="s"/>
    <rPr n="IsTitleField" t="b"/>
    <rPr n="IsHeroField" t="b"/>
  </richProperties>
  <richStyles>
    <rSty dxfid="6">
      <rpv i="0">_([$$-en-US]* #,##0.00_);_([$$-en-US]* (#,##0.00);_([$$-en-US]* "-"??_);_(@_)</rpv>
    </rSty>
    <rSty dxfid="0">
      <rpv i="0">#,##0.00</rpv>
    </rSty>
    <rSty>
      <rpv i="1">1</rpv>
    </rSty>
    <rSty dxfid="1">
      <rpv i="0">#,##0</rpv>
    </rSty>
    <rSty dxfid="2"/>
    <rSty dxfid="6">
      <rpv i="0">_([$$-en-US]* #,##0_);_([$$-en-US]* (#,##0);_([$$-en-US]* "-"_);_(@_)</rpv>
    </rSty>
    <rSty dxfid="3"/>
    <rSty dxfid="4">
      <rpv i="0">0</rpv>
    </rSty>
    <rSty dxfid="5">
      <rpv i="0">0.00</rpv>
    </rSty>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7" dT="2023-01-14T17:19:45.20" personId="{91FDBF73-31A5-4871-8A44-C2D4E603F1CE}" id="{59809C56-6C89-4628-A493-853E0D72DDA0}">
    <text>Cash &amp; equivs., ST investments, LT investments, equity investments</text>
  </threadedComment>
  <threadedComment ref="B8" dT="2023-01-14T17:19:09.91" personId="{91FDBF73-31A5-4871-8A44-C2D4E603F1CE}" id="{25046376-1097-4A93-B412-F09C231599D3}">
    <text>ST debt + current portion of LT debt + LT debt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odels%20Backup/MCD.xlsx" TargetMode="Externa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F7514-129C-462C-97F8-F9C23DB00CEA}">
  <dimension ref="B3:G15"/>
  <sheetViews>
    <sheetView tabSelected="1" workbookViewId="0">
      <selection activeCell="F4" sqref="F4:G4"/>
    </sheetView>
  </sheetViews>
  <sheetFormatPr defaultRowHeight="14.25" x14ac:dyDescent="0.2"/>
  <cols>
    <col min="1" max="1" width="9.140625" style="4"/>
    <col min="2" max="2" width="11.5703125" style="4" bestFit="1" customWidth="1"/>
    <col min="3" max="3" width="50.5703125" style="4" bestFit="1" customWidth="1"/>
    <col min="4" max="4" width="7.7109375" style="4" bestFit="1" customWidth="1"/>
    <col min="5" max="5" width="9.140625" style="4"/>
    <col min="6" max="6" width="14.140625" style="4" bestFit="1" customWidth="1"/>
    <col min="7" max="7" width="7.28515625" style="4" bestFit="1" customWidth="1"/>
    <col min="8" max="16384" width="9.140625" style="4"/>
  </cols>
  <sheetData>
    <row r="3" spans="2:7" x14ac:dyDescent="0.2">
      <c r="B3" s="1" t="s">
        <v>0</v>
      </c>
      <c r="C3" s="2" t="e" vm="1">
        <v>#VALUE!</v>
      </c>
      <c r="D3" s="3" t="s">
        <v>1</v>
      </c>
    </row>
    <row r="4" spans="2:7" x14ac:dyDescent="0.2">
      <c r="B4" s="5" t="s">
        <v>2</v>
      </c>
      <c r="C4" s="6" cm="1">
        <f t="array" ref="C4">_FV(C3,"Price")</f>
        <v>107.23</v>
      </c>
      <c r="D4" s="7"/>
      <c r="G4" s="8"/>
    </row>
    <row r="5" spans="2:7" x14ac:dyDescent="0.2">
      <c r="B5" s="5" t="s">
        <v>3</v>
      </c>
      <c r="C5" s="9">
        <v>1152.5</v>
      </c>
      <c r="D5" s="24" t="s">
        <v>75</v>
      </c>
    </row>
    <row r="6" spans="2:7" x14ac:dyDescent="0.2">
      <c r="B6" s="5" t="s">
        <v>5</v>
      </c>
      <c r="C6" s="9">
        <f>C5*C4</f>
        <v>123582.57500000001</v>
      </c>
      <c r="D6" s="10"/>
    </row>
    <row r="7" spans="2:7" x14ac:dyDescent="0.2">
      <c r="B7" s="5" t="s">
        <v>6</v>
      </c>
      <c r="C7" s="9">
        <f>2818.4+364.5+279.1+311.2</f>
        <v>3773.2</v>
      </c>
      <c r="D7" s="24" t="s">
        <v>75</v>
      </c>
    </row>
    <row r="8" spans="2:7" x14ac:dyDescent="0.2">
      <c r="B8" s="5" t="s">
        <v>7</v>
      </c>
      <c r="C8" s="9">
        <f>175+1749+13119.9</f>
        <v>15043.9</v>
      </c>
      <c r="D8" s="24" t="s">
        <v>75</v>
      </c>
    </row>
    <row r="9" spans="2:7" x14ac:dyDescent="0.2">
      <c r="B9" s="11" t="s">
        <v>8</v>
      </c>
      <c r="C9" s="12">
        <f>C6-C7+C8</f>
        <v>134853.27500000002</v>
      </c>
      <c r="D9" s="13"/>
    </row>
    <row r="11" spans="2:7" x14ac:dyDescent="0.2">
      <c r="C11" s="3" t="s">
        <v>9</v>
      </c>
    </row>
    <row r="12" spans="2:7" x14ac:dyDescent="0.2">
      <c r="C12" s="14" t="e" vm="2">
        <v>#VALUE!</v>
      </c>
    </row>
    <row r="13" spans="2:7" x14ac:dyDescent="0.2">
      <c r="C13" s="5" t="e" vm="3">
        <v>#VALUE!</v>
      </c>
    </row>
    <row r="14" spans="2:7" x14ac:dyDescent="0.2">
      <c r="C14" s="5" t="e" vm="4">
        <v>#VALUE!</v>
      </c>
    </row>
    <row r="15" spans="2:7" x14ac:dyDescent="0.2">
      <c r="C15" s="11" t="e" vm="5">
        <v>#VALUE!</v>
      </c>
    </row>
  </sheetData>
  <hyperlinks>
    <hyperlink ref="C12" r:id="rId1" display="MCD.xlsx" xr:uid="{5AB468AB-03A8-4057-A5A1-474795C569CC}"/>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6EED8-BEC3-47BE-BAF2-64464946CAEE}">
  <dimension ref="A1:NT35"/>
  <sheetViews>
    <sheetView workbookViewId="0">
      <pane xSplit="2" ySplit="2" topLeftCell="AK3" activePane="bottomRight" state="frozen"/>
      <selection pane="topRight" activeCell="C1" sqref="C1"/>
      <selection pane="bottomLeft" activeCell="A3" sqref="A3"/>
      <selection pane="bottomRight" activeCell="AP33" sqref="AP33"/>
    </sheetView>
  </sheetViews>
  <sheetFormatPr defaultRowHeight="14.25" x14ac:dyDescent="0.2"/>
  <cols>
    <col min="1" max="1" width="9.140625" style="4"/>
    <col min="2" max="2" width="27.85546875" style="4" bestFit="1" customWidth="1"/>
    <col min="3" max="9" width="9.28515625" style="16" bestFit="1" customWidth="1"/>
    <col min="10" max="10" width="10.140625" style="16" bestFit="1" customWidth="1"/>
    <col min="11" max="11" width="11.28515625" style="16" bestFit="1" customWidth="1"/>
    <col min="12" max="14" width="10.140625" style="16" bestFit="1" customWidth="1"/>
    <col min="15" max="15" width="11.28515625" style="16" bestFit="1" customWidth="1"/>
    <col min="16" max="18" width="10.140625" style="16" bestFit="1" customWidth="1"/>
    <col min="19" max="19" width="11.28515625" style="16" bestFit="1" customWidth="1"/>
    <col min="20" max="29" width="11.28515625" style="16" customWidth="1"/>
    <col min="30" max="31" width="9.140625" style="16"/>
    <col min="32" max="41" width="9.28515625" style="16" bestFit="1" customWidth="1"/>
    <col min="42" max="42" width="14.42578125" style="16" bestFit="1" customWidth="1"/>
    <col min="43" max="43" width="9.85546875" style="16" bestFit="1" customWidth="1"/>
    <col min="44" max="384" width="9.28515625" style="16" bestFit="1" customWidth="1"/>
    <col min="385" max="16384" width="9.140625" style="16"/>
  </cols>
  <sheetData>
    <row r="1" spans="1:40" s="4" customFormat="1" x14ac:dyDescent="0.2">
      <c r="J1" s="15">
        <v>43373</v>
      </c>
      <c r="K1" s="15">
        <v>43464</v>
      </c>
      <c r="L1" s="15">
        <v>43555</v>
      </c>
      <c r="M1" s="15">
        <v>43646</v>
      </c>
      <c r="N1" s="15">
        <v>43737</v>
      </c>
      <c r="O1" s="15">
        <v>43828</v>
      </c>
      <c r="P1" s="15">
        <v>43919</v>
      </c>
      <c r="Q1" s="15">
        <v>44010</v>
      </c>
      <c r="R1" s="15">
        <v>44101</v>
      </c>
      <c r="S1" s="15">
        <v>44192</v>
      </c>
      <c r="T1" s="15"/>
      <c r="U1" s="15"/>
      <c r="V1" s="15"/>
      <c r="W1" s="15"/>
      <c r="X1" s="15"/>
      <c r="Y1" s="15"/>
      <c r="Z1" s="15"/>
      <c r="AA1" s="15"/>
      <c r="AB1" s="15"/>
      <c r="AC1" s="15"/>
    </row>
    <row r="2" spans="1:40" s="4" customFormat="1" x14ac:dyDescent="0.2">
      <c r="C2" s="4" t="s">
        <v>38</v>
      </c>
      <c r="D2" s="4" t="s">
        <v>39</v>
      </c>
      <c r="E2" s="4" t="s">
        <v>40</v>
      </c>
      <c r="F2" s="4" t="s">
        <v>41</v>
      </c>
      <c r="G2" s="4" t="s">
        <v>42</v>
      </c>
      <c r="H2" s="4" t="s">
        <v>43</v>
      </c>
      <c r="I2" s="4" t="s">
        <v>44</v>
      </c>
      <c r="J2" s="4" t="s">
        <v>45</v>
      </c>
      <c r="K2" s="4" t="s">
        <v>46</v>
      </c>
      <c r="L2" s="4" t="s">
        <v>47</v>
      </c>
      <c r="M2" s="4" t="s">
        <v>48</v>
      </c>
      <c r="N2" s="4" t="s">
        <v>49</v>
      </c>
      <c r="O2" s="4" t="s">
        <v>50</v>
      </c>
      <c r="P2" s="4" t="s">
        <v>51</v>
      </c>
      <c r="Q2" s="4" t="s">
        <v>52</v>
      </c>
      <c r="R2" s="4" t="s">
        <v>4</v>
      </c>
      <c r="S2" s="4" t="s">
        <v>74</v>
      </c>
      <c r="T2" s="4" t="s">
        <v>76</v>
      </c>
      <c r="U2" s="4" t="s">
        <v>77</v>
      </c>
      <c r="V2" s="4" t="s">
        <v>78</v>
      </c>
      <c r="W2" s="4" t="s">
        <v>79</v>
      </c>
      <c r="X2" s="4" t="s">
        <v>80</v>
      </c>
      <c r="Y2" s="4" t="s">
        <v>81</v>
      </c>
      <c r="Z2" s="4" t="s">
        <v>75</v>
      </c>
      <c r="AF2" s="4">
        <v>2017</v>
      </c>
      <c r="AG2" s="4">
        <v>2018</v>
      </c>
      <c r="AH2" s="4">
        <v>2019</v>
      </c>
      <c r="AI2" s="4">
        <v>2020</v>
      </c>
      <c r="AJ2" s="4">
        <v>2021</v>
      </c>
      <c r="AK2" s="4">
        <v>2022</v>
      </c>
      <c r="AL2" s="4">
        <v>2023</v>
      </c>
      <c r="AM2" s="4">
        <v>2024</v>
      </c>
      <c r="AN2" s="4">
        <v>2025</v>
      </c>
    </row>
    <row r="3" spans="1:40" x14ac:dyDescent="0.2">
      <c r="B3" s="4" t="s">
        <v>23</v>
      </c>
      <c r="C3" s="16">
        <v>4469.3</v>
      </c>
      <c r="D3" s="16">
        <v>4195.3999999999996</v>
      </c>
      <c r="E3" s="16">
        <v>4509</v>
      </c>
      <c r="F3" s="16">
        <v>4477</v>
      </c>
      <c r="G3" s="16">
        <v>4741.8</v>
      </c>
      <c r="H3" s="16">
        <v>4828</v>
      </c>
      <c r="I3" s="16">
        <v>5060.3999999999996</v>
      </c>
      <c r="J3" s="16">
        <v>5060.1000000000004</v>
      </c>
      <c r="K3" s="16">
        <v>5370.3</v>
      </c>
      <c r="L3" s="16">
        <v>5159</v>
      </c>
      <c r="M3" s="16">
        <v>5535</v>
      </c>
      <c r="N3" s="16">
        <v>5480.1</v>
      </c>
      <c r="O3" s="16">
        <v>5780.7</v>
      </c>
      <c r="P3" s="16">
        <v>4766</v>
      </c>
      <c r="Q3" s="16">
        <v>3444.4</v>
      </c>
      <c r="R3" s="16">
        <v>5173.6000000000004</v>
      </c>
      <c r="S3" s="16">
        <v>5726.5</v>
      </c>
      <c r="T3" s="16">
        <v>5653.1</v>
      </c>
      <c r="U3" s="16">
        <v>6363.1</v>
      </c>
      <c r="V3" s="16">
        <v>6864.3</v>
      </c>
      <c r="W3" s="16">
        <v>6722.4</v>
      </c>
      <c r="X3" s="16">
        <v>6276.7</v>
      </c>
      <c r="Y3" s="16">
        <v>6675.5</v>
      </c>
      <c r="Z3" s="16">
        <v>6901.4</v>
      </c>
      <c r="AF3" s="16">
        <f>SUM(C3:F3)</f>
        <v>17650.7</v>
      </c>
      <c r="AG3" s="16">
        <f>SUM(G3:J3)</f>
        <v>19690.3</v>
      </c>
      <c r="AH3" s="16">
        <f>SUM(K3:N3)</f>
        <v>21544.400000000001</v>
      </c>
      <c r="AI3" s="16">
        <f>SUM(O3:R3)</f>
        <v>19164.7</v>
      </c>
      <c r="AJ3" s="16">
        <f>SUM(S3:V3)</f>
        <v>24607</v>
      </c>
      <c r="AK3" s="16">
        <f>SUM(W3:Z3)</f>
        <v>26576</v>
      </c>
      <c r="AL3" s="16">
        <f>AK3*1.1</f>
        <v>29233.600000000002</v>
      </c>
      <c r="AM3" s="16">
        <f t="shared" ref="AM3:AN5" si="0">AL3*1.1</f>
        <v>32156.960000000006</v>
      </c>
      <c r="AN3" s="16">
        <f t="shared" ref="AN3" si="1">AM3*1.1</f>
        <v>35372.65600000001</v>
      </c>
    </row>
    <row r="4" spans="1:40" x14ac:dyDescent="0.2">
      <c r="B4" s="4" t="s">
        <v>24</v>
      </c>
      <c r="C4" s="16">
        <v>602.4</v>
      </c>
      <c r="D4" s="16">
        <v>546.70000000000005</v>
      </c>
      <c r="E4" s="16">
        <v>588.29999999999995</v>
      </c>
      <c r="F4" s="16">
        <v>617.6</v>
      </c>
      <c r="G4" s="16">
        <v>682.4</v>
      </c>
      <c r="H4" s="16">
        <v>625.6</v>
      </c>
      <c r="I4" s="16">
        <v>660.6</v>
      </c>
      <c r="J4" s="16">
        <v>683.6</v>
      </c>
      <c r="K4" s="16">
        <v>737.1</v>
      </c>
      <c r="L4" s="16">
        <v>678.2</v>
      </c>
      <c r="M4" s="16">
        <v>725</v>
      </c>
      <c r="N4" s="16">
        <v>734.7</v>
      </c>
      <c r="O4" s="16">
        <v>792</v>
      </c>
      <c r="P4" s="16">
        <v>689.8</v>
      </c>
      <c r="Q4" s="16">
        <v>300.5</v>
      </c>
      <c r="R4" s="16">
        <v>544.6</v>
      </c>
      <c r="S4" s="16">
        <v>613.79999999999995</v>
      </c>
      <c r="T4" s="16">
        <v>595</v>
      </c>
      <c r="U4" s="16">
        <v>680.2</v>
      </c>
      <c r="V4" s="16">
        <v>794.5</v>
      </c>
      <c r="W4" s="16">
        <v>850.8</v>
      </c>
      <c r="X4" s="16">
        <v>849.5</v>
      </c>
      <c r="Y4" s="16">
        <v>956.8</v>
      </c>
      <c r="Z4" s="16">
        <v>998.4</v>
      </c>
      <c r="AF4" s="16">
        <f t="shared" ref="AF4:AF5" si="2">SUM(C4:F4)</f>
        <v>2355</v>
      </c>
      <c r="AG4" s="16">
        <f t="shared" ref="AG4:AG5" si="3">SUM(G4:J4)</f>
        <v>2652.2</v>
      </c>
      <c r="AH4" s="16">
        <f t="shared" ref="AH4:AH5" si="4">SUM(K4:N4)</f>
        <v>2875</v>
      </c>
      <c r="AI4" s="16">
        <f t="shared" ref="AI4:AI5" si="5">SUM(O4:R4)</f>
        <v>2326.9</v>
      </c>
      <c r="AJ4" s="16">
        <f t="shared" ref="AJ4:AJ5" si="6">SUM(S4:V4)</f>
        <v>2683.5</v>
      </c>
      <c r="AK4" s="16">
        <f t="shared" ref="AK4:AK5" si="7">SUM(W4:Z4)</f>
        <v>3655.5</v>
      </c>
      <c r="AL4" s="16">
        <f t="shared" ref="AL4:AM4" si="8">AK4*1.1</f>
        <v>4021.05</v>
      </c>
      <c r="AM4" s="16">
        <f t="shared" si="0"/>
        <v>4423.1550000000007</v>
      </c>
      <c r="AN4" s="16">
        <f t="shared" ref="AN4" si="9">AM4*1.1</f>
        <v>4865.4705000000013</v>
      </c>
    </row>
    <row r="5" spans="1:40" x14ac:dyDescent="0.2">
      <c r="B5" s="4" t="s">
        <v>25</v>
      </c>
      <c r="C5" s="16">
        <v>661.2</v>
      </c>
      <c r="D5" s="16">
        <v>551.9</v>
      </c>
      <c r="E5" s="16">
        <v>564.20000000000005</v>
      </c>
      <c r="F5" s="16">
        <v>603.70000000000005</v>
      </c>
      <c r="G5" s="16">
        <v>649.5</v>
      </c>
      <c r="H5" s="16">
        <v>578.20000000000005</v>
      </c>
      <c r="I5" s="16">
        <v>589.29999999999995</v>
      </c>
      <c r="J5" s="16">
        <v>559.9</v>
      </c>
      <c r="K5" s="16">
        <v>525.29999999999995</v>
      </c>
      <c r="L5" s="16">
        <v>468.7</v>
      </c>
      <c r="M5" s="16">
        <v>563</v>
      </c>
      <c r="N5" s="16">
        <v>532.20000000000005</v>
      </c>
      <c r="O5" s="16">
        <v>524.4</v>
      </c>
      <c r="P5" s="16">
        <v>539.9</v>
      </c>
      <c r="Q5" s="16">
        <v>477.2</v>
      </c>
      <c r="R5" s="16">
        <v>484.9</v>
      </c>
      <c r="S5" s="16">
        <v>409.1</v>
      </c>
      <c r="T5" s="16">
        <v>419.9</v>
      </c>
      <c r="U5" s="16">
        <v>453.2</v>
      </c>
      <c r="V5" s="16">
        <v>487.9</v>
      </c>
      <c r="W5" s="16">
        <v>477.2</v>
      </c>
      <c r="X5" s="16">
        <v>509.4</v>
      </c>
      <c r="Y5" s="16">
        <v>517.79999999999995</v>
      </c>
      <c r="Z5" s="16">
        <v>514.4</v>
      </c>
      <c r="AF5" s="16">
        <f t="shared" si="2"/>
        <v>2381</v>
      </c>
      <c r="AG5" s="16">
        <f t="shared" si="3"/>
        <v>2376.9</v>
      </c>
      <c r="AH5" s="16">
        <f t="shared" si="4"/>
        <v>2089.1999999999998</v>
      </c>
      <c r="AI5" s="16">
        <f t="shared" si="5"/>
        <v>2026.4</v>
      </c>
      <c r="AJ5" s="16">
        <f t="shared" si="6"/>
        <v>1770.1</v>
      </c>
      <c r="AK5" s="16">
        <f t="shared" si="7"/>
        <v>2018.7999999999997</v>
      </c>
      <c r="AL5" s="16">
        <f t="shared" ref="AL5:AM5" si="10">AK5*1.1</f>
        <v>2220.6799999999998</v>
      </c>
      <c r="AM5" s="16">
        <f t="shared" si="0"/>
        <v>2442.748</v>
      </c>
      <c r="AN5" s="16">
        <f t="shared" ref="AN5" si="11">AM5*1.1</f>
        <v>2687.0228000000002</v>
      </c>
    </row>
    <row r="6" spans="1:40" s="18" customFormat="1" ht="15" x14ac:dyDescent="0.25">
      <c r="A6" s="17"/>
      <c r="B6" s="17" t="s">
        <v>26</v>
      </c>
      <c r="C6" s="18">
        <f t="shared" ref="C6:R6" si="12">SUM(C3:C5)</f>
        <v>5732.9</v>
      </c>
      <c r="D6" s="18">
        <f t="shared" si="12"/>
        <v>5293.9999999999991</v>
      </c>
      <c r="E6" s="18">
        <f t="shared" si="12"/>
        <v>5661.5</v>
      </c>
      <c r="F6" s="18">
        <f t="shared" si="12"/>
        <v>5698.3</v>
      </c>
      <c r="G6" s="18">
        <f t="shared" si="12"/>
        <v>6073.7</v>
      </c>
      <c r="H6" s="18">
        <f t="shared" si="12"/>
        <v>6031.8</v>
      </c>
      <c r="I6" s="18">
        <f t="shared" si="12"/>
        <v>6310.3</v>
      </c>
      <c r="J6" s="18">
        <f t="shared" si="12"/>
        <v>6303.6</v>
      </c>
      <c r="K6" s="18">
        <f t="shared" si="12"/>
        <v>6632.7000000000007</v>
      </c>
      <c r="L6" s="18">
        <f t="shared" si="12"/>
        <v>6305.9</v>
      </c>
      <c r="M6" s="18">
        <f t="shared" si="12"/>
        <v>6823</v>
      </c>
      <c r="N6" s="18">
        <f t="shared" si="12"/>
        <v>6747</v>
      </c>
      <c r="O6" s="18">
        <f t="shared" si="12"/>
        <v>7097.0999999999995</v>
      </c>
      <c r="P6" s="18">
        <f t="shared" si="12"/>
        <v>5995.7</v>
      </c>
      <c r="Q6" s="18">
        <f t="shared" si="12"/>
        <v>4222.1000000000004</v>
      </c>
      <c r="R6" s="18">
        <f t="shared" si="12"/>
        <v>6203.1</v>
      </c>
      <c r="S6" s="18">
        <f>SUM(S3:S5)</f>
        <v>6749.4000000000005</v>
      </c>
      <c r="T6" s="18">
        <f t="shared" ref="T6:Z6" si="13">SUM(T3:T5)</f>
        <v>6668</v>
      </c>
      <c r="U6" s="18">
        <f t="shared" si="13"/>
        <v>7496.5</v>
      </c>
      <c r="V6" s="18">
        <f t="shared" si="13"/>
        <v>8146.7</v>
      </c>
      <c r="W6" s="18">
        <f t="shared" si="13"/>
        <v>8050.4</v>
      </c>
      <c r="X6" s="18">
        <f t="shared" si="13"/>
        <v>7635.5999999999995</v>
      </c>
      <c r="Y6" s="18">
        <f t="shared" si="13"/>
        <v>8150.1</v>
      </c>
      <c r="Z6" s="18">
        <f>SUM(Z3:Z5)</f>
        <v>8414.1999999999989</v>
      </c>
      <c r="AF6" s="18">
        <f t="shared" ref="AF6:AN6" si="14">SUM(AF3:AF5)</f>
        <v>22386.7</v>
      </c>
      <c r="AG6" s="18">
        <f t="shared" si="14"/>
        <v>24719.4</v>
      </c>
      <c r="AH6" s="18">
        <f t="shared" si="14"/>
        <v>26508.600000000002</v>
      </c>
      <c r="AI6" s="18">
        <f t="shared" si="14"/>
        <v>23518.000000000004</v>
      </c>
      <c r="AJ6" s="18">
        <f t="shared" si="14"/>
        <v>29060.6</v>
      </c>
      <c r="AK6" s="18">
        <f t="shared" si="14"/>
        <v>32250.3</v>
      </c>
      <c r="AL6" s="18">
        <f t="shared" si="14"/>
        <v>35475.33</v>
      </c>
      <c r="AM6" s="18">
        <f t="shared" si="14"/>
        <v>39022.863000000005</v>
      </c>
      <c r="AN6" s="18">
        <f t="shared" si="14"/>
        <v>42925.149300000012</v>
      </c>
    </row>
    <row r="7" spans="1:40" x14ac:dyDescent="0.2">
      <c r="B7" s="4" t="s">
        <v>27</v>
      </c>
      <c r="C7" s="16">
        <v>2295</v>
      </c>
      <c r="D7" s="16">
        <v>2141.1999999999998</v>
      </c>
      <c r="E7" s="16">
        <v>2249.1</v>
      </c>
      <c r="F7" s="16">
        <v>2352.1</v>
      </c>
      <c r="G7" s="16">
        <v>2502.9</v>
      </c>
      <c r="H7" s="16">
        <v>2516</v>
      </c>
      <c r="I7" s="16">
        <v>2554.9</v>
      </c>
      <c r="J7" s="16">
        <v>2018.7</v>
      </c>
      <c r="K7" s="16">
        <v>2175.8000000000002</v>
      </c>
      <c r="L7" s="16">
        <v>2012</v>
      </c>
      <c r="M7" s="16">
        <v>2199.6</v>
      </c>
      <c r="N7" s="16">
        <v>2139.6</v>
      </c>
      <c r="O7" s="16">
        <v>2236.4</v>
      </c>
      <c r="P7" s="16">
        <v>1997.7</v>
      </c>
      <c r="Q7" s="16">
        <v>1484</v>
      </c>
      <c r="R7" s="16">
        <v>1976.8</v>
      </c>
      <c r="S7" s="16">
        <v>2049.1</v>
      </c>
      <c r="T7" s="16">
        <v>1992.4</v>
      </c>
      <c r="U7" s="16">
        <v>2206</v>
      </c>
      <c r="V7" s="16">
        <v>2491.1</v>
      </c>
      <c r="W7" s="16">
        <v>2526.9</v>
      </c>
      <c r="X7" s="16">
        <v>2465.8000000000002</v>
      </c>
      <c r="Y7" s="16">
        <v>2613.6</v>
      </c>
      <c r="Z7" s="16">
        <v>2711</v>
      </c>
      <c r="AF7" s="16">
        <f>SUM(C7:F7)</f>
        <v>9037.4</v>
      </c>
      <c r="AG7" s="16">
        <f>SUM(G7:J7)</f>
        <v>9592.5</v>
      </c>
      <c r="AH7" s="16">
        <f>SUM(K7:N7)</f>
        <v>8527</v>
      </c>
      <c r="AI7" s="16">
        <f>SUM(O7:R7)</f>
        <v>7694.9000000000005</v>
      </c>
      <c r="AJ7" s="16">
        <f>SUM(S7:V7)</f>
        <v>8738.6</v>
      </c>
      <c r="AK7" s="16">
        <f>AJ7*1.04</f>
        <v>9088.1440000000002</v>
      </c>
      <c r="AL7" s="16">
        <f>AK7*1.075</f>
        <v>9769.7548000000006</v>
      </c>
      <c r="AM7" s="16">
        <f>AL7*1.09</f>
        <v>10649.032732000001</v>
      </c>
      <c r="AN7" s="16">
        <f t="shared" ref="AN7" si="15">AM7*1.09</f>
        <v>11607.445677880003</v>
      </c>
    </row>
    <row r="8" spans="1:40" x14ac:dyDescent="0.2">
      <c r="B8" s="4" t="s">
        <v>28</v>
      </c>
      <c r="C8" s="16">
        <f t="shared" ref="C8" si="16">+C6-C7</f>
        <v>3437.8999999999996</v>
      </c>
      <c r="D8" s="16">
        <f t="shared" ref="D8" si="17">+D6-D7</f>
        <v>3152.7999999999993</v>
      </c>
      <c r="E8" s="16">
        <f t="shared" ref="E8" si="18">+E6-E7</f>
        <v>3412.4</v>
      </c>
      <c r="F8" s="16">
        <f t="shared" ref="F8" si="19">+F6-F7</f>
        <v>3346.2000000000003</v>
      </c>
      <c r="G8" s="16">
        <f t="shared" ref="G8" si="20">+G6-G7</f>
        <v>3570.7999999999997</v>
      </c>
      <c r="H8" s="16">
        <f t="shared" ref="H8" si="21">+H6-H7</f>
        <v>3515.8</v>
      </c>
      <c r="I8" s="16">
        <f t="shared" ref="I8" si="22">+I6-I7</f>
        <v>3755.4</v>
      </c>
      <c r="J8" s="16">
        <f t="shared" ref="J8" si="23">+J6-J7</f>
        <v>4284.9000000000005</v>
      </c>
      <c r="K8" s="16">
        <f t="shared" ref="K8" si="24">+K6-K7</f>
        <v>4456.9000000000005</v>
      </c>
      <c r="L8" s="16">
        <f t="shared" ref="L8" si="25">+L6-L7</f>
        <v>4293.8999999999996</v>
      </c>
      <c r="M8" s="16">
        <f t="shared" ref="M8" si="26">+M6-M7</f>
        <v>4623.3999999999996</v>
      </c>
      <c r="N8" s="16">
        <f t="shared" ref="N8" si="27">+N6-N7</f>
        <v>4607.3999999999996</v>
      </c>
      <c r="O8" s="16">
        <f t="shared" ref="O8" si="28">+O6-O7</f>
        <v>4860.6999999999989</v>
      </c>
      <c r="P8" s="16">
        <f t="shared" ref="P8" si="29">+P6-P7</f>
        <v>3998</v>
      </c>
      <c r="Q8" s="16">
        <f t="shared" ref="Q8" si="30">+Q6-Q7</f>
        <v>2738.1000000000004</v>
      </c>
      <c r="R8" s="16">
        <f t="shared" ref="R8" si="31">+R6-R7</f>
        <v>4226.3</v>
      </c>
      <c r="S8" s="16">
        <f t="shared" ref="S8" si="32">+S6-S7</f>
        <v>4700.3000000000011</v>
      </c>
      <c r="T8" s="16">
        <f t="shared" ref="T8" si="33">+T6-T7</f>
        <v>4675.6000000000004</v>
      </c>
      <c r="U8" s="16">
        <f t="shared" ref="U8" si="34">+U6-U7</f>
        <v>5290.5</v>
      </c>
      <c r="V8" s="16">
        <f t="shared" ref="V8" si="35">+V6-V7</f>
        <v>5655.6</v>
      </c>
      <c r="W8" s="16">
        <f t="shared" ref="W8" si="36">+W6-W7</f>
        <v>5523.5</v>
      </c>
      <c r="X8" s="16">
        <f t="shared" ref="X8" si="37">+X6-X7</f>
        <v>5169.7999999999993</v>
      </c>
      <c r="Y8" s="16">
        <f t="shared" ref="Y8" si="38">+Y6-Y7</f>
        <v>5536.5</v>
      </c>
      <c r="Z8" s="16">
        <f t="shared" ref="T8:Z8" si="39">+Z6-Z7</f>
        <v>5703.1999999999989</v>
      </c>
      <c r="AF8" s="16">
        <f t="shared" ref="AF8" si="40">+AF6-AF7</f>
        <v>13349.300000000001</v>
      </c>
      <c r="AG8" s="16">
        <f t="shared" ref="AG8" si="41">+AG6-AG7</f>
        <v>15126.900000000001</v>
      </c>
      <c r="AH8" s="16">
        <f t="shared" ref="AH8" si="42">+AH6-AH7</f>
        <v>17981.600000000002</v>
      </c>
      <c r="AI8" s="16">
        <f t="shared" ref="AI8" si="43">+AI6-AI7</f>
        <v>15823.100000000002</v>
      </c>
      <c r="AJ8" s="16">
        <f t="shared" ref="AJ8" si="44">+AJ6-AJ7</f>
        <v>20322</v>
      </c>
      <c r="AK8" s="16">
        <f t="shared" ref="AK8" si="45">+AK6-AK7</f>
        <v>23162.155999999999</v>
      </c>
      <c r="AL8" s="16">
        <f t="shared" ref="AL8" si="46">+AL6-AL7</f>
        <v>25705.575199999999</v>
      </c>
      <c r="AM8" s="16">
        <f>+AM6-AM7</f>
        <v>28373.830268000005</v>
      </c>
      <c r="AN8" s="16">
        <f>+AN6-AN7</f>
        <v>31317.703622120011</v>
      </c>
    </row>
    <row r="9" spans="1:40" x14ac:dyDescent="0.2">
      <c r="B9" s="4" t="s">
        <v>29</v>
      </c>
      <c r="C9" s="16">
        <v>1638.2</v>
      </c>
      <c r="D9" s="16">
        <v>1586.4</v>
      </c>
      <c r="E9" s="16">
        <v>1628.9</v>
      </c>
      <c r="F9" s="16">
        <v>1639.8</v>
      </c>
      <c r="G9" s="16">
        <v>1737</v>
      </c>
      <c r="H9" s="16">
        <v>1789.6</v>
      </c>
      <c r="I9" s="16">
        <v>1825</v>
      </c>
      <c r="J9" s="16">
        <v>2438.1</v>
      </c>
      <c r="K9" s="16">
        <v>2586.8000000000002</v>
      </c>
      <c r="L9" s="16">
        <v>2554.1</v>
      </c>
      <c r="M9" s="16">
        <v>2643.2</v>
      </c>
      <c r="N9" s="16">
        <v>2709.5</v>
      </c>
      <c r="O9" s="16">
        <v>2821.5</v>
      </c>
      <c r="P9" s="16">
        <v>2721.4</v>
      </c>
      <c r="Q9" s="16">
        <v>2537.8000000000002</v>
      </c>
      <c r="R9" s="16">
        <v>2683.4</v>
      </c>
      <c r="S9" s="16">
        <v>2867.3</v>
      </c>
      <c r="T9" s="16">
        <v>2823.3</v>
      </c>
      <c r="U9" s="16">
        <v>2966.9</v>
      </c>
      <c r="V9" s="16">
        <v>3273.4</v>
      </c>
      <c r="W9" s="16">
        <v>3400</v>
      </c>
      <c r="X9" s="16">
        <v>3314.7</v>
      </c>
      <c r="Y9" s="16">
        <v>3302.5</v>
      </c>
      <c r="Z9" s="16">
        <v>3544.7</v>
      </c>
      <c r="AF9" s="16">
        <f t="shared" ref="AF9:AF11" si="47">SUM(C9:F9)</f>
        <v>6493.3</v>
      </c>
      <c r="AG9" s="16">
        <f t="shared" ref="AG9:AG11" si="48">SUM(G9:J9)</f>
        <v>7789.7000000000007</v>
      </c>
      <c r="AH9" s="16">
        <f t="shared" ref="AH9:AH11" si="49">SUM(K9:N9)</f>
        <v>10493.599999999999</v>
      </c>
      <c r="AI9" s="16">
        <f t="shared" ref="AI9:AI11" si="50">SUM(O9:R9)</f>
        <v>10764.1</v>
      </c>
      <c r="AJ9" s="16">
        <f t="shared" ref="AJ9:AJ11" si="51">SUM(S9:V9)</f>
        <v>11930.9</v>
      </c>
      <c r="AK9" s="16">
        <f t="shared" ref="AK9:AK11" si="52">SUM(W9:Z9)</f>
        <v>13561.900000000001</v>
      </c>
      <c r="AL9" s="16">
        <f t="shared" ref="AL9:AN9" si="53">AK9*1.075</f>
        <v>14579.042500000001</v>
      </c>
      <c r="AM9" s="16">
        <f t="shared" ref="AM9:AN9" si="54">AL9*1.09</f>
        <v>15891.156325000004</v>
      </c>
      <c r="AN9" s="16">
        <f t="shared" si="54"/>
        <v>17321.360394250005</v>
      </c>
    </row>
    <row r="10" spans="1:40" x14ac:dyDescent="0.2">
      <c r="B10" s="4" t="s">
        <v>30</v>
      </c>
      <c r="C10" s="16">
        <v>145.4</v>
      </c>
      <c r="D10" s="16">
        <v>134.69999999999999</v>
      </c>
      <c r="E10" s="16">
        <v>142.5</v>
      </c>
      <c r="F10" s="16">
        <v>114.4</v>
      </c>
      <c r="G10" s="16">
        <v>141.6</v>
      </c>
      <c r="H10" s="16">
        <v>134.30000000000001</v>
      </c>
      <c r="I10" s="16">
        <v>148</v>
      </c>
      <c r="J10" s="16">
        <v>161.19999999999999</v>
      </c>
      <c r="K10" s="16">
        <v>97.6</v>
      </c>
      <c r="L10" s="16">
        <v>87.1</v>
      </c>
      <c r="M10" s="16">
        <v>94.4</v>
      </c>
      <c r="N10" s="16">
        <v>91.6</v>
      </c>
      <c r="O10" s="16">
        <v>101.8</v>
      </c>
      <c r="P10" s="16">
        <v>95</v>
      </c>
      <c r="Q10" s="16">
        <v>133.6</v>
      </c>
      <c r="R10" s="16">
        <v>99.9</v>
      </c>
      <c r="S10" s="16">
        <v>91.8</v>
      </c>
      <c r="T10" s="16">
        <v>87.7</v>
      </c>
      <c r="U10" s="16">
        <v>71.400000000000006</v>
      </c>
      <c r="V10" s="16">
        <v>108.6</v>
      </c>
      <c r="W10" s="16">
        <v>101.7</v>
      </c>
      <c r="X10" s="16">
        <v>101.7</v>
      </c>
      <c r="Y10" s="16">
        <v>135.1</v>
      </c>
      <c r="Z10" s="16">
        <v>123.1</v>
      </c>
      <c r="AF10" s="16">
        <f t="shared" si="47"/>
        <v>537</v>
      </c>
      <c r="AG10" s="16">
        <f t="shared" si="48"/>
        <v>585.09999999999991</v>
      </c>
      <c r="AH10" s="16">
        <f t="shared" si="49"/>
        <v>370.70000000000005</v>
      </c>
      <c r="AI10" s="16">
        <f t="shared" si="50"/>
        <v>430.29999999999995</v>
      </c>
      <c r="AJ10" s="16">
        <f t="shared" si="51"/>
        <v>359.5</v>
      </c>
      <c r="AK10" s="16">
        <f t="shared" si="52"/>
        <v>461.6</v>
      </c>
      <c r="AL10" s="16">
        <f t="shared" ref="AL10:AN11" si="55">AK10*1.075</f>
        <v>496.22</v>
      </c>
      <c r="AM10" s="16">
        <f t="shared" ref="AM10:AN10" si="56">AL10*1.09</f>
        <v>540.87980000000005</v>
      </c>
      <c r="AN10" s="16">
        <f t="shared" si="56"/>
        <v>589.55898200000013</v>
      </c>
    </row>
    <row r="11" spans="1:40" x14ac:dyDescent="0.2">
      <c r="B11" s="4" t="s">
        <v>31</v>
      </c>
      <c r="C11" s="16">
        <v>356.4</v>
      </c>
      <c r="D11" s="16">
        <v>326.8</v>
      </c>
      <c r="E11" s="16">
        <v>325</v>
      </c>
      <c r="F11" s="16">
        <v>402.7</v>
      </c>
      <c r="G11" s="16">
        <v>379.1</v>
      </c>
      <c r="H11" s="16">
        <v>405.8</v>
      </c>
      <c r="I11" s="16">
        <v>468.7</v>
      </c>
      <c r="J11" s="16">
        <v>444.9</v>
      </c>
      <c r="K11" s="16">
        <v>448</v>
      </c>
      <c r="L11" s="16">
        <v>458.4</v>
      </c>
      <c r="M11" s="16">
        <v>459.7</v>
      </c>
      <c r="N11" s="16">
        <v>458.4</v>
      </c>
      <c r="O11" s="16">
        <v>434.2</v>
      </c>
      <c r="P11" s="16">
        <v>406.5</v>
      </c>
      <c r="Q11" s="16">
        <v>399.9</v>
      </c>
      <c r="R11" s="16">
        <v>439</v>
      </c>
      <c r="S11" s="16">
        <v>472.1</v>
      </c>
      <c r="T11" s="16">
        <v>464.4</v>
      </c>
      <c r="U11" s="16">
        <v>494.9</v>
      </c>
      <c r="V11" s="16">
        <v>501.2</v>
      </c>
      <c r="W11" s="16">
        <v>525.79999999999995</v>
      </c>
      <c r="X11" s="16">
        <v>481.5</v>
      </c>
      <c r="Y11" s="16">
        <v>486.7</v>
      </c>
      <c r="Z11" s="16">
        <v>538</v>
      </c>
      <c r="AF11" s="16">
        <f t="shared" si="47"/>
        <v>1410.9</v>
      </c>
      <c r="AG11" s="16">
        <f t="shared" si="48"/>
        <v>1698.5</v>
      </c>
      <c r="AH11" s="16">
        <f t="shared" si="49"/>
        <v>1824.5</v>
      </c>
      <c r="AI11" s="16">
        <f t="shared" si="50"/>
        <v>1679.6</v>
      </c>
      <c r="AJ11" s="16">
        <f t="shared" si="51"/>
        <v>1932.6000000000001</v>
      </c>
      <c r="AK11" s="16">
        <f t="shared" si="52"/>
        <v>2032</v>
      </c>
      <c r="AL11" s="16">
        <f t="shared" ref="AL11:AN11" si="57">AK11*1.075</f>
        <v>2184.4</v>
      </c>
      <c r="AM11" s="16">
        <f t="shared" ref="AM11:AN11" si="58">AL11*1.09</f>
        <v>2380.9960000000001</v>
      </c>
      <c r="AN11" s="16">
        <f t="shared" si="58"/>
        <v>2595.2856400000005</v>
      </c>
    </row>
    <row r="12" spans="1:40" x14ac:dyDescent="0.2">
      <c r="B12" s="4" t="s">
        <v>32</v>
      </c>
      <c r="C12" s="16">
        <f t="shared" ref="C12:Y12" si="59">SUM(C9:C11)</f>
        <v>2140</v>
      </c>
      <c r="D12" s="16">
        <f t="shared" si="59"/>
        <v>2047.9</v>
      </c>
      <c r="E12" s="16">
        <f t="shared" si="59"/>
        <v>2096.4</v>
      </c>
      <c r="F12" s="16">
        <f t="shared" si="59"/>
        <v>2156.9</v>
      </c>
      <c r="G12" s="16">
        <f t="shared" si="59"/>
        <v>2257.6999999999998</v>
      </c>
      <c r="H12" s="16">
        <f t="shared" si="59"/>
        <v>2329.6999999999998</v>
      </c>
      <c r="I12" s="16">
        <f t="shared" si="59"/>
        <v>2441.6999999999998</v>
      </c>
      <c r="J12" s="16">
        <f t="shared" si="59"/>
        <v>3044.2</v>
      </c>
      <c r="K12" s="16">
        <f t="shared" si="59"/>
        <v>3132.4</v>
      </c>
      <c r="L12" s="16">
        <f t="shared" si="59"/>
        <v>3099.6</v>
      </c>
      <c r="M12" s="16">
        <f t="shared" si="59"/>
        <v>3197.2999999999997</v>
      </c>
      <c r="N12" s="16">
        <f t="shared" si="59"/>
        <v>3259.5</v>
      </c>
      <c r="O12" s="16">
        <f t="shared" si="59"/>
        <v>3357.5</v>
      </c>
      <c r="P12" s="16">
        <f t="shared" si="59"/>
        <v>3222.9</v>
      </c>
      <c r="Q12" s="16">
        <f t="shared" si="59"/>
        <v>3071.3</v>
      </c>
      <c r="R12" s="16">
        <f t="shared" si="59"/>
        <v>3222.3</v>
      </c>
      <c r="S12" s="16">
        <f t="shared" si="59"/>
        <v>3431.2000000000003</v>
      </c>
      <c r="T12" s="16">
        <f t="shared" si="59"/>
        <v>3375.4</v>
      </c>
      <c r="U12" s="16">
        <f t="shared" si="59"/>
        <v>3533.2000000000003</v>
      </c>
      <c r="V12" s="16">
        <f t="shared" si="59"/>
        <v>3883.2</v>
      </c>
      <c r="W12" s="16">
        <f t="shared" si="59"/>
        <v>4027.5</v>
      </c>
      <c r="X12" s="16">
        <f t="shared" si="59"/>
        <v>3897.8999999999996</v>
      </c>
      <c r="Y12" s="16">
        <f t="shared" si="59"/>
        <v>3924.2999999999997</v>
      </c>
      <c r="Z12" s="16">
        <f>SUM(Z9:Z11)</f>
        <v>4205.7999999999993</v>
      </c>
      <c r="AF12" s="16">
        <f t="shared" ref="AF12:AN12" si="60">SUM(AF9:AF11)</f>
        <v>8441.2000000000007</v>
      </c>
      <c r="AG12" s="16">
        <f t="shared" si="60"/>
        <v>10073.300000000001</v>
      </c>
      <c r="AH12" s="16">
        <f t="shared" si="60"/>
        <v>12688.8</v>
      </c>
      <c r="AI12" s="16">
        <f t="shared" si="60"/>
        <v>12874</v>
      </c>
      <c r="AJ12" s="16">
        <f t="shared" si="60"/>
        <v>14223</v>
      </c>
      <c r="AK12" s="16">
        <f t="shared" si="60"/>
        <v>16055.500000000002</v>
      </c>
      <c r="AL12" s="16">
        <f t="shared" si="60"/>
        <v>17259.662500000002</v>
      </c>
      <c r="AM12" s="16">
        <f t="shared" si="60"/>
        <v>18813.032125000002</v>
      </c>
      <c r="AN12" s="16">
        <f t="shared" si="60"/>
        <v>20506.205016250005</v>
      </c>
    </row>
    <row r="13" spans="1:40" x14ac:dyDescent="0.2">
      <c r="B13" s="4" t="s">
        <v>53</v>
      </c>
      <c r="C13" s="16">
        <v>84.4</v>
      </c>
      <c r="D13" s="16">
        <v>84.1</v>
      </c>
      <c r="E13" s="16">
        <v>101</v>
      </c>
      <c r="F13" s="16">
        <v>121.9</v>
      </c>
      <c r="G13" s="16">
        <v>89.4</v>
      </c>
      <c r="H13" s="16">
        <v>52.7</v>
      </c>
      <c r="I13" s="16">
        <v>71.400000000000006</v>
      </c>
      <c r="J13" s="16">
        <v>87.7</v>
      </c>
      <c r="K13" s="16">
        <v>67.8</v>
      </c>
      <c r="L13" s="16">
        <v>62.3</v>
      </c>
      <c r="M13" s="16">
        <v>76</v>
      </c>
      <c r="N13" s="16">
        <v>91.9</v>
      </c>
      <c r="O13" s="16">
        <v>73.900000000000006</v>
      </c>
      <c r="P13" s="16">
        <v>67.900000000000006</v>
      </c>
      <c r="Q13" s="16">
        <v>68.400000000000006</v>
      </c>
      <c r="R13" s="16">
        <v>112.2</v>
      </c>
      <c r="S13" s="16">
        <v>82.7</v>
      </c>
      <c r="T13" s="16">
        <v>77.099999999999994</v>
      </c>
      <c r="U13" s="16">
        <v>105.5</v>
      </c>
      <c r="V13" s="16">
        <v>120</v>
      </c>
      <c r="W13" s="16">
        <v>40.299999999999997</v>
      </c>
      <c r="X13" s="16">
        <v>49.1</v>
      </c>
      <c r="Y13" s="16">
        <v>54.1</v>
      </c>
      <c r="Z13" s="16">
        <v>90.6</v>
      </c>
      <c r="AF13" s="16">
        <f>SUM(C13:F13)</f>
        <v>391.4</v>
      </c>
      <c r="AG13" s="16">
        <f>SUM(G13:J13)</f>
        <v>301.20000000000005</v>
      </c>
      <c r="AH13" s="16">
        <f>SUM(K13:N13)</f>
        <v>298</v>
      </c>
      <c r="AI13" s="16">
        <f>SUM(O13:R13)</f>
        <v>322.40000000000003</v>
      </c>
      <c r="AJ13" s="16">
        <f>SUM(S13:V13)</f>
        <v>385.3</v>
      </c>
      <c r="AK13" s="16">
        <f>SUM(W13:Z13)</f>
        <v>234.1</v>
      </c>
      <c r="AL13" s="16">
        <f>AK13*1.05</f>
        <v>245.80500000000001</v>
      </c>
      <c r="AM13" s="16">
        <f t="shared" ref="AM13:AN13" si="61">AL13*1.05</f>
        <v>258.09525000000002</v>
      </c>
      <c r="AN13" s="16">
        <f t="shared" si="61"/>
        <v>271.00001250000003</v>
      </c>
    </row>
    <row r="14" spans="1:40" x14ac:dyDescent="0.2">
      <c r="B14" s="4" t="s">
        <v>33</v>
      </c>
      <c r="C14" s="16">
        <f t="shared" ref="C14:Y14" si="62">+C8-C12+C13</f>
        <v>1382.2999999999997</v>
      </c>
      <c r="D14" s="16">
        <f t="shared" si="62"/>
        <v>1188.9999999999991</v>
      </c>
      <c r="E14" s="16">
        <f t="shared" si="62"/>
        <v>1417</v>
      </c>
      <c r="F14" s="16">
        <f t="shared" si="62"/>
        <v>1311.2000000000003</v>
      </c>
      <c r="G14" s="16">
        <f t="shared" si="62"/>
        <v>1402.5</v>
      </c>
      <c r="H14" s="16">
        <f t="shared" si="62"/>
        <v>1238.8000000000004</v>
      </c>
      <c r="I14" s="16">
        <f t="shared" si="62"/>
        <v>1385.1000000000004</v>
      </c>
      <c r="J14" s="16">
        <f t="shared" si="62"/>
        <v>1328.4000000000008</v>
      </c>
      <c r="K14" s="16">
        <f t="shared" si="62"/>
        <v>1392.3000000000004</v>
      </c>
      <c r="L14" s="16">
        <f t="shared" si="62"/>
        <v>1256.5999999999997</v>
      </c>
      <c r="M14" s="16">
        <f t="shared" si="62"/>
        <v>1502.1</v>
      </c>
      <c r="N14" s="16">
        <f t="shared" si="62"/>
        <v>1439.7999999999997</v>
      </c>
      <c r="O14" s="16">
        <f t="shared" si="62"/>
        <v>1577.099999999999</v>
      </c>
      <c r="P14" s="16">
        <f t="shared" si="62"/>
        <v>842.99999999999989</v>
      </c>
      <c r="Q14" s="16">
        <f t="shared" si="62"/>
        <v>-264.79999999999984</v>
      </c>
      <c r="R14" s="16">
        <f t="shared" si="62"/>
        <v>1116.2</v>
      </c>
      <c r="S14" s="16">
        <f t="shared" si="62"/>
        <v>1351.8000000000009</v>
      </c>
      <c r="T14" s="16">
        <f t="shared" si="62"/>
        <v>1377.3000000000002</v>
      </c>
      <c r="U14" s="16">
        <f t="shared" si="62"/>
        <v>1862.7999999999997</v>
      </c>
      <c r="V14" s="16">
        <f t="shared" si="62"/>
        <v>1892.4000000000005</v>
      </c>
      <c r="W14" s="16">
        <f t="shared" si="62"/>
        <v>1536.3</v>
      </c>
      <c r="X14" s="16">
        <f t="shared" si="62"/>
        <v>1320.9999999999995</v>
      </c>
      <c r="Y14" s="16">
        <f t="shared" si="62"/>
        <v>1666.3000000000002</v>
      </c>
      <c r="Z14" s="16">
        <f>+Z8-Z12+Z13</f>
        <v>1587.9999999999995</v>
      </c>
      <c r="AF14" s="16">
        <f t="shared" ref="AF14:AN14" si="63">+AF8-AF12+AF13</f>
        <v>5299.5</v>
      </c>
      <c r="AG14" s="16">
        <f>+AG8-AG12+AG13</f>
        <v>5354.8</v>
      </c>
      <c r="AH14" s="16">
        <f t="shared" si="63"/>
        <v>5590.8000000000029</v>
      </c>
      <c r="AI14" s="16">
        <f t="shared" si="63"/>
        <v>3271.5000000000023</v>
      </c>
      <c r="AJ14" s="16">
        <f t="shared" si="63"/>
        <v>6484.3</v>
      </c>
      <c r="AK14" s="16">
        <f t="shared" si="63"/>
        <v>7340.7559999999976</v>
      </c>
      <c r="AL14" s="16">
        <f t="shared" si="63"/>
        <v>8691.7176999999974</v>
      </c>
      <c r="AM14" s="16">
        <f t="shared" si="63"/>
        <v>9818.8933930000039</v>
      </c>
      <c r="AN14" s="16">
        <f t="shared" si="63"/>
        <v>11082.498618370006</v>
      </c>
    </row>
    <row r="15" spans="1:40" x14ac:dyDescent="0.2">
      <c r="B15" s="25" t="s">
        <v>82</v>
      </c>
      <c r="C15" s="16">
        <f>24.1</f>
        <v>24.1</v>
      </c>
      <c r="D15" s="16">
        <f>9.6+58.3</f>
        <v>67.899999999999991</v>
      </c>
      <c r="E15" s="16">
        <f>31.7</f>
        <v>31.7</v>
      </c>
      <c r="F15" s="16">
        <f>83.9+67.7</f>
        <v>151.60000000000002</v>
      </c>
      <c r="G15" s="16">
        <f>1326.3+501.2+88.2</f>
        <v>1915.7</v>
      </c>
      <c r="H15" s="16">
        <f>47.6-4.9+35.5</f>
        <v>78.2</v>
      </c>
      <c r="I15" s="16">
        <f>2.5+31.5</f>
        <v>34</v>
      </c>
      <c r="J15" s="16">
        <f>2.9+36.2</f>
        <v>39.1</v>
      </c>
      <c r="K15" s="16">
        <f>24.8</f>
        <v>24.8</v>
      </c>
      <c r="L15" s="16">
        <f>21+15.2</f>
        <v>36.200000000000003</v>
      </c>
      <c r="M15" s="16">
        <f>601.8+40.2</f>
        <v>642</v>
      </c>
      <c r="N15" s="16">
        <f>16.4</f>
        <v>16.399999999999999</v>
      </c>
      <c r="O15" s="16">
        <f>15.9</f>
        <v>15.9</v>
      </c>
      <c r="P15" s="16">
        <f>2</f>
        <v>2</v>
      </c>
      <c r="Q15" s="16">
        <f>12.7</f>
        <v>12.7</v>
      </c>
      <c r="R15" s="16">
        <f>9.1</f>
        <v>9.1</v>
      </c>
      <c r="S15" s="16">
        <f>15.5</f>
        <v>15.5</v>
      </c>
      <c r="T15" s="16">
        <v>17.3</v>
      </c>
      <c r="U15" s="16">
        <v>36</v>
      </c>
      <c r="V15" s="16">
        <f>864.5+21.5</f>
        <v>886</v>
      </c>
      <c r="W15" s="16">
        <v>-0.1</v>
      </c>
      <c r="X15" s="16">
        <v>46.3</v>
      </c>
      <c r="Y15" s="16">
        <v>19.8</v>
      </c>
      <c r="Z15" s="16">
        <v>31</v>
      </c>
      <c r="AF15" s="16">
        <f t="shared" ref="AF15:AF16" si="64">SUM(C15:F15)</f>
        <v>275.3</v>
      </c>
      <c r="AG15" s="16">
        <f t="shared" ref="AG15:AG16" si="65">SUM(G15:J15)</f>
        <v>2067</v>
      </c>
      <c r="AH15" s="16">
        <f>SUM(K15:N15)</f>
        <v>719.4</v>
      </c>
      <c r="AI15" s="16">
        <f>SUM(O15:R15)</f>
        <v>39.699999999999996</v>
      </c>
      <c r="AJ15" s="16">
        <f t="shared" ref="AJ15:AJ16" si="66">SUM(S15:V15)</f>
        <v>954.8</v>
      </c>
      <c r="AK15" s="16">
        <f>SUM(W15:Z15)</f>
        <v>97</v>
      </c>
      <c r="AL15" s="16">
        <f>AK15*1.05</f>
        <v>101.85000000000001</v>
      </c>
      <c r="AM15" s="16">
        <v>-400</v>
      </c>
      <c r="AN15" s="16">
        <v>-400</v>
      </c>
    </row>
    <row r="16" spans="1:40" x14ac:dyDescent="0.2">
      <c r="B16" s="25" t="s">
        <v>83</v>
      </c>
      <c r="C16" s="16">
        <v>23.8</v>
      </c>
      <c r="D16" s="16">
        <v>22.9</v>
      </c>
      <c r="E16" s="16">
        <v>23.5</v>
      </c>
      <c r="F16" s="16">
        <v>22.3</v>
      </c>
      <c r="G16" s="16">
        <v>25.9</v>
      </c>
      <c r="H16" s="16">
        <v>35.1</v>
      </c>
      <c r="I16" s="16">
        <v>45.4</v>
      </c>
      <c r="J16" s="16">
        <v>63.8</v>
      </c>
      <c r="K16" s="16">
        <v>75</v>
      </c>
      <c r="L16" s="16">
        <v>73.900000000000006</v>
      </c>
      <c r="M16" s="16">
        <v>86.4</v>
      </c>
      <c r="N16" s="16">
        <v>95.7</v>
      </c>
      <c r="O16" s="16">
        <v>91.9</v>
      </c>
      <c r="P16" s="16">
        <v>99.2</v>
      </c>
      <c r="Q16" s="16">
        <v>120.8</v>
      </c>
      <c r="R16" s="16">
        <v>125</v>
      </c>
      <c r="S16" s="16">
        <v>120.7</v>
      </c>
      <c r="T16" s="16">
        <v>115</v>
      </c>
      <c r="U16" s="16">
        <v>113.4</v>
      </c>
      <c r="V16" s="16">
        <v>120.6</v>
      </c>
      <c r="W16" s="16">
        <v>115.3</v>
      </c>
      <c r="X16" s="16">
        <v>119.1</v>
      </c>
      <c r="Y16" s="16">
        <v>123.1</v>
      </c>
      <c r="Z16" s="16">
        <v>125.3</v>
      </c>
      <c r="AF16" s="16">
        <f t="shared" si="64"/>
        <v>92.5</v>
      </c>
      <c r="AG16" s="16">
        <f t="shared" si="65"/>
        <v>170.2</v>
      </c>
      <c r="AH16" s="16">
        <f>SUM(K16:N16)</f>
        <v>331</v>
      </c>
      <c r="AI16" s="16">
        <f>SUM(O16:R16)</f>
        <v>436.90000000000003</v>
      </c>
      <c r="AJ16" s="16">
        <f t="shared" si="66"/>
        <v>469.70000000000005</v>
      </c>
      <c r="AK16" s="16">
        <f>SUM(W16:Z16)</f>
        <v>482.8</v>
      </c>
      <c r="AL16" s="16">
        <f>AK16*1.05</f>
        <v>506.94000000000005</v>
      </c>
      <c r="AM16" s="16">
        <f t="shared" ref="AM16:AN16" si="67">AL16*1.05</f>
        <v>532.28700000000003</v>
      </c>
      <c r="AN16" s="16">
        <f t="shared" si="67"/>
        <v>558.90135000000009</v>
      </c>
    </row>
    <row r="17" spans="1:384" x14ac:dyDescent="0.2">
      <c r="B17" s="4" t="s">
        <v>34</v>
      </c>
      <c r="C17" s="16">
        <f t="shared" ref="C17:Y17" si="68">C14+C15-C16</f>
        <v>1382.5999999999997</v>
      </c>
      <c r="D17" s="16">
        <f t="shared" si="68"/>
        <v>1233.9999999999991</v>
      </c>
      <c r="E17" s="16">
        <f t="shared" si="68"/>
        <v>1425.2</v>
      </c>
      <c r="F17" s="16">
        <f t="shared" si="68"/>
        <v>1440.5000000000002</v>
      </c>
      <c r="G17" s="16">
        <f t="shared" si="68"/>
        <v>3292.2999999999997</v>
      </c>
      <c r="H17" s="16">
        <f t="shared" si="68"/>
        <v>1281.9000000000005</v>
      </c>
      <c r="I17" s="16">
        <f t="shared" si="68"/>
        <v>1373.7000000000003</v>
      </c>
      <c r="J17" s="16">
        <f t="shared" si="68"/>
        <v>1303.7000000000007</v>
      </c>
      <c r="K17" s="16">
        <f t="shared" si="68"/>
        <v>1342.1000000000004</v>
      </c>
      <c r="L17" s="16">
        <f t="shared" si="68"/>
        <v>1218.8999999999996</v>
      </c>
      <c r="M17" s="16">
        <f t="shared" si="68"/>
        <v>2057.6999999999998</v>
      </c>
      <c r="N17" s="16">
        <f t="shared" si="68"/>
        <v>1360.4999999999998</v>
      </c>
      <c r="O17" s="16">
        <f t="shared" si="68"/>
        <v>1501.099999999999</v>
      </c>
      <c r="P17" s="16">
        <f t="shared" si="68"/>
        <v>745.79999999999984</v>
      </c>
      <c r="Q17" s="16">
        <f t="shared" si="68"/>
        <v>-372.89999999999986</v>
      </c>
      <c r="R17" s="16">
        <f>R14+R15-R16</f>
        <v>1000.3</v>
      </c>
      <c r="S17" s="16">
        <f>S14+S15-S16</f>
        <v>1246.6000000000008</v>
      </c>
      <c r="T17" s="16">
        <f t="shared" si="68"/>
        <v>1279.6000000000001</v>
      </c>
      <c r="U17" s="16">
        <f t="shared" si="68"/>
        <v>1785.3999999999996</v>
      </c>
      <c r="V17" s="16">
        <f t="shared" si="68"/>
        <v>2657.8000000000006</v>
      </c>
      <c r="W17" s="16">
        <f t="shared" si="68"/>
        <v>1420.9</v>
      </c>
      <c r="X17" s="16">
        <f t="shared" si="68"/>
        <v>1248.1999999999996</v>
      </c>
      <c r="Y17" s="16">
        <f t="shared" si="68"/>
        <v>1563.0000000000002</v>
      </c>
      <c r="Z17" s="16">
        <f>Z14+Z15-Z16</f>
        <v>1493.6999999999996</v>
      </c>
      <c r="AF17" s="16">
        <f t="shared" ref="AF17:AN17" si="69">AF14+AF15-AF16</f>
        <v>5482.3</v>
      </c>
      <c r="AG17" s="16">
        <f>AG14+AG15-AG16</f>
        <v>7251.6</v>
      </c>
      <c r="AH17" s="16">
        <f t="shared" si="69"/>
        <v>5979.2000000000025</v>
      </c>
      <c r="AI17" s="16">
        <f>AI14+AI15-AI16</f>
        <v>2874.300000000002</v>
      </c>
      <c r="AJ17" s="16">
        <f>AJ14+AJ15-AJ16</f>
        <v>6969.4000000000005</v>
      </c>
      <c r="AK17" s="16">
        <f>AK14+AK15-AK16</f>
        <v>6954.9559999999974</v>
      </c>
      <c r="AL17" s="16">
        <f t="shared" si="69"/>
        <v>8286.6276999999973</v>
      </c>
      <c r="AM17" s="16">
        <f t="shared" si="69"/>
        <v>8886.6063930000037</v>
      </c>
      <c r="AN17" s="16">
        <f t="shared" si="69"/>
        <v>10123.597268370006</v>
      </c>
    </row>
    <row r="18" spans="1:384" x14ac:dyDescent="0.2">
      <c r="B18" s="4" t="s">
        <v>35</v>
      </c>
      <c r="C18" s="16">
        <v>381.4</v>
      </c>
      <c r="D18" s="16">
        <v>327.60000000000002</v>
      </c>
      <c r="E18" s="16">
        <v>361.1</v>
      </c>
      <c r="F18" s="16">
        <v>362.5</v>
      </c>
      <c r="G18" s="16">
        <v>755.8</v>
      </c>
      <c r="H18" s="16">
        <v>155.80000000000001</v>
      </c>
      <c r="I18" s="16">
        <v>174.8</v>
      </c>
      <c r="J18" s="16">
        <v>175.5</v>
      </c>
      <c r="K18" s="16">
        <v>205.1</v>
      </c>
      <c r="L18" s="16">
        <v>161.19999999999999</v>
      </c>
      <c r="M18" s="16">
        <v>303.7</v>
      </c>
      <c r="N18" s="16">
        <v>201.5</v>
      </c>
      <c r="O18" s="16">
        <v>258.5</v>
      </c>
      <c r="P18" s="16">
        <v>65.400000000000006</v>
      </c>
      <c r="Q18" s="16">
        <v>-133.9</v>
      </c>
      <c r="R18" s="16">
        <v>49.7</v>
      </c>
      <c r="S18" s="16">
        <v>186.1</v>
      </c>
      <c r="T18" s="16">
        <v>230.5</v>
      </c>
      <c r="U18" s="16">
        <v>257.10000000000002</v>
      </c>
      <c r="V18" s="16">
        <v>483</v>
      </c>
      <c r="W18" s="16">
        <v>246.3</v>
      </c>
      <c r="X18" s="16">
        <v>201.1</v>
      </c>
      <c r="Y18" s="16">
        <v>278.5</v>
      </c>
      <c r="Z18" s="16">
        <v>222.7</v>
      </c>
      <c r="AF18" s="16">
        <f>SUM(C18:F18)</f>
        <v>1432.6</v>
      </c>
      <c r="AG18" s="16">
        <f>SUM(G18:J18)</f>
        <v>1261.8999999999999</v>
      </c>
      <c r="AH18" s="16">
        <f>SUM(K18:N18)</f>
        <v>871.5</v>
      </c>
      <c r="AI18" s="16">
        <f>SUM(O18:R18)</f>
        <v>239.7</v>
      </c>
      <c r="AJ18" s="16">
        <f>SUM(S18:V18)</f>
        <v>1156.7</v>
      </c>
      <c r="AK18" s="16">
        <f>SUM(W18:Z18)</f>
        <v>948.59999999999991</v>
      </c>
      <c r="AL18" s="16">
        <f>AL17*0.17</f>
        <v>1408.7267089999996</v>
      </c>
      <c r="AM18" s="16">
        <f t="shared" ref="AM18:AN18" si="70">AM17*0.17</f>
        <v>1510.7230868100007</v>
      </c>
      <c r="AN18" s="16">
        <f t="shared" si="70"/>
        <v>1721.0115356229012</v>
      </c>
    </row>
    <row r="19" spans="1:384" x14ac:dyDescent="0.2">
      <c r="B19" s="4" t="s">
        <v>54</v>
      </c>
      <c r="C19" s="16">
        <v>-0.3</v>
      </c>
      <c r="D19" s="16">
        <v>0</v>
      </c>
      <c r="E19" s="16">
        <v>-0.3</v>
      </c>
      <c r="F19" s="16">
        <v>0.8</v>
      </c>
      <c r="G19" s="16">
        <v>-0.1</v>
      </c>
      <c r="H19" s="16">
        <v>-0.3</v>
      </c>
      <c r="I19" s="16">
        <v>-0.5</v>
      </c>
      <c r="J19" s="16">
        <v>0.6</v>
      </c>
      <c r="K19" s="16">
        <v>-0.2</v>
      </c>
      <c r="L19" s="16">
        <v>-4.4000000000000004</v>
      </c>
      <c r="M19" s="16">
        <v>0.4</v>
      </c>
      <c r="N19" s="16">
        <v>-0.4</v>
      </c>
      <c r="O19" s="16">
        <v>-0.4</v>
      </c>
      <c r="P19" s="16">
        <v>-3.6</v>
      </c>
      <c r="Q19" s="16">
        <v>0.3</v>
      </c>
      <c r="R19" s="16">
        <v>0.1</v>
      </c>
      <c r="S19" s="16">
        <v>0</v>
      </c>
      <c r="T19" s="16">
        <v>0</v>
      </c>
      <c r="U19" s="16">
        <v>0.8</v>
      </c>
      <c r="V19" s="16">
        <v>0.2</v>
      </c>
      <c r="W19" s="16">
        <v>0.2</v>
      </c>
      <c r="X19" s="16">
        <v>0.5</v>
      </c>
      <c r="Y19" s="16">
        <v>0.8</v>
      </c>
      <c r="Z19" s="16">
        <v>0.2</v>
      </c>
      <c r="AF19" s="16">
        <f>SUM(C19:F19)</f>
        <v>0.20000000000000007</v>
      </c>
      <c r="AG19" s="16">
        <f>SUM(G19:J19)</f>
        <v>-0.30000000000000004</v>
      </c>
      <c r="AH19" s="16">
        <f>SUM(K19:N19)</f>
        <v>-4.6000000000000005</v>
      </c>
      <c r="AI19" s="16">
        <f>SUM(O19:R19)</f>
        <v>-3.6</v>
      </c>
      <c r="AJ19" s="16">
        <f>SUM(S19:V19)</f>
        <v>1</v>
      </c>
      <c r="AK19" s="16">
        <f>SUM(W19:Z19)</f>
        <v>1.7</v>
      </c>
      <c r="AL19" s="16">
        <f>AK19*1.05</f>
        <v>1.7849999999999999</v>
      </c>
      <c r="AM19" s="16">
        <f t="shared" ref="AM19:AN19" si="71">AL19*1.05</f>
        <v>1.87425</v>
      </c>
      <c r="AN19" s="16">
        <f t="shared" si="71"/>
        <v>1.9679625000000001</v>
      </c>
    </row>
    <row r="20" spans="1:384" s="18" customFormat="1" ht="15" x14ac:dyDescent="0.25">
      <c r="A20" s="17"/>
      <c r="B20" s="17" t="s">
        <v>36</v>
      </c>
      <c r="C20" s="18">
        <f>+C17-C18-C19</f>
        <v>1001.4999999999997</v>
      </c>
      <c r="D20" s="18">
        <f t="shared" ref="D20:R20" si="72">+D17-D18-D19</f>
        <v>906.39999999999907</v>
      </c>
      <c r="E20" s="18">
        <f t="shared" si="72"/>
        <v>1064.3999999999999</v>
      </c>
      <c r="F20" s="18">
        <f t="shared" si="72"/>
        <v>1077.2000000000003</v>
      </c>
      <c r="G20" s="18">
        <f t="shared" si="72"/>
        <v>2536.6</v>
      </c>
      <c r="H20" s="18">
        <f t="shared" si="72"/>
        <v>1126.4000000000005</v>
      </c>
      <c r="I20" s="18">
        <f t="shared" si="72"/>
        <v>1199.4000000000003</v>
      </c>
      <c r="J20" s="18">
        <f t="shared" si="72"/>
        <v>1127.6000000000008</v>
      </c>
      <c r="K20" s="18">
        <f t="shared" si="72"/>
        <v>1137.2000000000005</v>
      </c>
      <c r="L20" s="18">
        <f t="shared" si="72"/>
        <v>1062.0999999999997</v>
      </c>
      <c r="M20" s="18">
        <f t="shared" si="72"/>
        <v>1753.5999999999997</v>
      </c>
      <c r="N20" s="18">
        <f t="shared" si="72"/>
        <v>1159.3999999999999</v>
      </c>
      <c r="O20" s="18">
        <f t="shared" si="72"/>
        <v>1242.9999999999991</v>
      </c>
      <c r="P20" s="18">
        <f t="shared" si="72"/>
        <v>683.99999999999989</v>
      </c>
      <c r="Q20" s="18">
        <f t="shared" si="72"/>
        <v>-239.29999999999987</v>
      </c>
      <c r="R20" s="18">
        <f t="shared" si="72"/>
        <v>950.49999999999989</v>
      </c>
      <c r="S20" s="18">
        <f t="shared" ref="S20:Z20" si="73">+S17-S18-S19</f>
        <v>1060.5000000000009</v>
      </c>
      <c r="T20" s="18">
        <f t="shared" si="73"/>
        <v>1049.1000000000001</v>
      </c>
      <c r="U20" s="18">
        <f t="shared" si="73"/>
        <v>1527.4999999999998</v>
      </c>
      <c r="V20" s="18">
        <f t="shared" si="73"/>
        <v>2174.6000000000008</v>
      </c>
      <c r="W20" s="18">
        <f t="shared" si="73"/>
        <v>1174.4000000000001</v>
      </c>
      <c r="X20" s="18">
        <f t="shared" si="73"/>
        <v>1046.5999999999997</v>
      </c>
      <c r="Y20" s="18">
        <f t="shared" si="73"/>
        <v>1283.7000000000003</v>
      </c>
      <c r="Z20" s="18">
        <f t="shared" si="73"/>
        <v>1270.7999999999995</v>
      </c>
      <c r="AD20" s="19"/>
      <c r="AF20" s="18">
        <f t="shared" ref="AF20" si="74">+AF17-AF18-AF19</f>
        <v>4049.5000000000005</v>
      </c>
      <c r="AG20" s="18">
        <f t="shared" ref="AG20" si="75">+AG17-AG18-AG19</f>
        <v>5990.0000000000009</v>
      </c>
      <c r="AH20" s="18">
        <f t="shared" ref="AH20" si="76">+AH17-AH18-AH19</f>
        <v>5112.3000000000029</v>
      </c>
      <c r="AI20" s="18">
        <f t="shared" ref="AI20" si="77">+AI17-AI18-AI19</f>
        <v>2638.2000000000021</v>
      </c>
      <c r="AJ20" s="18">
        <f t="shared" ref="AJ20" si="78">+AJ17-AJ18-AJ19</f>
        <v>5811.7000000000007</v>
      </c>
      <c r="AK20" s="18">
        <f t="shared" ref="AK20" si="79">+AK17-AK18-AK19</f>
        <v>6004.6559999999981</v>
      </c>
      <c r="AL20" s="18">
        <f t="shared" ref="AL20" si="80">+AL17-AL18-AL19</f>
        <v>6876.1159909999978</v>
      </c>
      <c r="AM20" s="18">
        <f t="shared" ref="AM20" si="81">+AM17-AM18-AM19</f>
        <v>7374.0090561900033</v>
      </c>
      <c r="AN20" s="18">
        <f t="shared" ref="AN20" si="82">+AN17-AN18-AN19</f>
        <v>8400.6177702471032</v>
      </c>
      <c r="AO20" s="18">
        <f>AN20*(1+$AQ$26)</f>
        <v>8316.611592544632</v>
      </c>
      <c r="AP20" s="18">
        <f t="shared" ref="AP20:DA20" si="83">AO20*(1+$AQ$26)</f>
        <v>8233.4454766191848</v>
      </c>
      <c r="AQ20" s="18">
        <f t="shared" si="83"/>
        <v>8151.111021852993</v>
      </c>
      <c r="AR20" s="18">
        <f t="shared" si="83"/>
        <v>8069.5999116344628</v>
      </c>
      <c r="AS20" s="18">
        <f t="shared" si="83"/>
        <v>7988.903912518118</v>
      </c>
      <c r="AT20" s="18">
        <f t="shared" si="83"/>
        <v>7909.0148733929364</v>
      </c>
      <c r="AU20" s="18">
        <f t="shared" si="83"/>
        <v>7829.9247246590066</v>
      </c>
      <c r="AV20" s="18">
        <f t="shared" si="83"/>
        <v>7751.6254774124163</v>
      </c>
      <c r="AW20" s="18">
        <f t="shared" si="83"/>
        <v>7674.1092226382925</v>
      </c>
      <c r="AX20" s="18">
        <f t="shared" si="83"/>
        <v>7597.3681304119091</v>
      </c>
      <c r="AY20" s="18">
        <f t="shared" si="83"/>
        <v>7521.39444910779</v>
      </c>
      <c r="AZ20" s="18">
        <f t="shared" si="83"/>
        <v>7446.1805046167119</v>
      </c>
      <c r="BA20" s="18">
        <f t="shared" si="83"/>
        <v>7371.7186995705451</v>
      </c>
      <c r="BB20" s="18">
        <f t="shared" si="83"/>
        <v>7298.0015125748396</v>
      </c>
      <c r="BC20" s="18">
        <f t="shared" si="83"/>
        <v>7225.0214974490909</v>
      </c>
      <c r="BD20" s="18">
        <f t="shared" si="83"/>
        <v>7152.7712824745995</v>
      </c>
      <c r="BE20" s="18">
        <f t="shared" si="83"/>
        <v>7081.2435696498533</v>
      </c>
      <c r="BF20" s="18">
        <f t="shared" si="83"/>
        <v>7010.4311339533551</v>
      </c>
      <c r="BG20" s="18">
        <f t="shared" si="83"/>
        <v>6940.3268226138216</v>
      </c>
      <c r="BH20" s="18">
        <f t="shared" si="83"/>
        <v>6870.923554387683</v>
      </c>
      <c r="BI20" s="18">
        <f t="shared" si="83"/>
        <v>6802.2143188438058</v>
      </c>
      <c r="BJ20" s="18">
        <f t="shared" si="83"/>
        <v>6734.1921756553675</v>
      </c>
      <c r="BK20" s="18">
        <f t="shared" si="83"/>
        <v>6666.8502538988141</v>
      </c>
      <c r="BL20" s="18">
        <f t="shared" si="83"/>
        <v>6600.1817513598262</v>
      </c>
      <c r="BM20" s="18">
        <f t="shared" si="83"/>
        <v>6534.1799338462279</v>
      </c>
      <c r="BN20" s="18">
        <f t="shared" si="83"/>
        <v>6468.838134507766</v>
      </c>
      <c r="BO20" s="18">
        <f t="shared" si="83"/>
        <v>6404.1497531626883</v>
      </c>
      <c r="BP20" s="18">
        <f t="shared" si="83"/>
        <v>6340.1082556310612</v>
      </c>
      <c r="BQ20" s="18">
        <f t="shared" si="83"/>
        <v>6276.7071730747502</v>
      </c>
      <c r="BR20" s="18">
        <f t="shared" si="83"/>
        <v>6213.9401013440029</v>
      </c>
      <c r="BS20" s="18">
        <f t="shared" si="83"/>
        <v>6151.8007003305629</v>
      </c>
      <c r="BT20" s="18">
        <f t="shared" si="83"/>
        <v>6090.2826933272572</v>
      </c>
      <c r="BU20" s="18">
        <f t="shared" si="83"/>
        <v>6029.3798663939842</v>
      </c>
      <c r="BV20" s="18">
        <f t="shared" si="83"/>
        <v>5969.0860677300443</v>
      </c>
      <c r="BW20" s="18">
        <f t="shared" si="83"/>
        <v>5909.3952070527439</v>
      </c>
      <c r="BX20" s="18">
        <f t="shared" si="83"/>
        <v>5850.3012549822161</v>
      </c>
      <c r="BY20" s="18">
        <f t="shared" si="83"/>
        <v>5791.7982424323936</v>
      </c>
      <c r="BZ20" s="18">
        <f t="shared" si="83"/>
        <v>5733.8802600080699</v>
      </c>
      <c r="CA20" s="18">
        <f t="shared" si="83"/>
        <v>5676.5414574079887</v>
      </c>
      <c r="CB20" s="18">
        <f t="shared" si="83"/>
        <v>5619.7760428339088</v>
      </c>
      <c r="CC20" s="18">
        <f t="shared" si="83"/>
        <v>5563.5782824055696</v>
      </c>
      <c r="CD20" s="18">
        <f t="shared" si="83"/>
        <v>5507.9424995815134</v>
      </c>
      <c r="CE20" s="18">
        <f t="shared" si="83"/>
        <v>5452.8630745856981</v>
      </c>
      <c r="CF20" s="18">
        <f t="shared" si="83"/>
        <v>5398.3344438398408</v>
      </c>
      <c r="CG20" s="18">
        <f t="shared" si="83"/>
        <v>5344.3510994014423</v>
      </c>
      <c r="CH20" s="18">
        <f t="shared" si="83"/>
        <v>5290.9075884074282</v>
      </c>
      <c r="CI20" s="18">
        <f t="shared" si="83"/>
        <v>5237.9985125233543</v>
      </c>
      <c r="CJ20" s="18">
        <f t="shared" si="83"/>
        <v>5185.6185273981209</v>
      </c>
      <c r="CK20" s="18">
        <f t="shared" si="83"/>
        <v>5133.7623421241396</v>
      </c>
      <c r="CL20" s="18">
        <f t="shared" si="83"/>
        <v>5082.4247187028986</v>
      </c>
      <c r="CM20" s="18">
        <f t="shared" si="83"/>
        <v>5031.6004715158697</v>
      </c>
      <c r="CN20" s="18">
        <f t="shared" si="83"/>
        <v>4981.284466800711</v>
      </c>
      <c r="CO20" s="18">
        <f t="shared" si="83"/>
        <v>4931.4716221327035</v>
      </c>
      <c r="CP20" s="18">
        <f t="shared" si="83"/>
        <v>4882.1569059113763</v>
      </c>
      <c r="CQ20" s="18">
        <f t="shared" si="83"/>
        <v>4833.3353368522621</v>
      </c>
      <c r="CR20" s="18">
        <f t="shared" si="83"/>
        <v>4785.0019834837394</v>
      </c>
      <c r="CS20" s="18">
        <f t="shared" si="83"/>
        <v>4737.151963648902</v>
      </c>
      <c r="CT20" s="18">
        <f t="shared" si="83"/>
        <v>4689.7804440124128</v>
      </c>
      <c r="CU20" s="18">
        <f t="shared" si="83"/>
        <v>4642.882639572289</v>
      </c>
      <c r="CV20" s="18">
        <f t="shared" si="83"/>
        <v>4596.4538131765657</v>
      </c>
      <c r="CW20" s="18">
        <f t="shared" si="83"/>
        <v>4550.4892750447998</v>
      </c>
      <c r="CX20" s="18">
        <f t="shared" si="83"/>
        <v>4504.9843822943521</v>
      </c>
      <c r="CY20" s="18">
        <f t="shared" si="83"/>
        <v>4459.9345384714088</v>
      </c>
      <c r="CZ20" s="18">
        <f t="shared" si="83"/>
        <v>4415.3351930866947</v>
      </c>
      <c r="DA20" s="18">
        <f t="shared" si="83"/>
        <v>4371.1818411558279</v>
      </c>
      <c r="DB20" s="18">
        <f t="shared" ref="DB20:FM20" si="84">DA20*(1+$AQ$26)</f>
        <v>4327.47002274427</v>
      </c>
      <c r="DC20" s="18">
        <f t="shared" si="84"/>
        <v>4284.1953225168272</v>
      </c>
      <c r="DD20" s="18">
        <f t="shared" si="84"/>
        <v>4241.353369291659</v>
      </c>
      <c r="DE20" s="18">
        <f t="shared" si="84"/>
        <v>4198.9398355987423</v>
      </c>
      <c r="DF20" s="18">
        <f t="shared" si="84"/>
        <v>4156.9504372427546</v>
      </c>
      <c r="DG20" s="18">
        <f t="shared" si="84"/>
        <v>4115.3809328703273</v>
      </c>
      <c r="DH20" s="18">
        <f t="shared" si="84"/>
        <v>4074.2271235416242</v>
      </c>
      <c r="DI20" s="18">
        <f t="shared" si="84"/>
        <v>4033.4848523062078</v>
      </c>
      <c r="DJ20" s="18">
        <f t="shared" si="84"/>
        <v>3993.1500037831456</v>
      </c>
      <c r="DK20" s="18">
        <f t="shared" si="84"/>
        <v>3953.2185037453141</v>
      </c>
      <c r="DL20" s="18">
        <f t="shared" si="84"/>
        <v>3913.6863187078611</v>
      </c>
      <c r="DM20" s="18">
        <f t="shared" si="84"/>
        <v>3874.5494555207824</v>
      </c>
      <c r="DN20" s="18">
        <f t="shared" si="84"/>
        <v>3835.8039609655748</v>
      </c>
      <c r="DO20" s="18">
        <f t="shared" si="84"/>
        <v>3797.4459213559189</v>
      </c>
      <c r="DP20" s="18">
        <f t="shared" si="84"/>
        <v>3759.4714621423595</v>
      </c>
      <c r="DQ20" s="18">
        <f t="shared" si="84"/>
        <v>3721.8767475209361</v>
      </c>
      <c r="DR20" s="18">
        <f t="shared" si="84"/>
        <v>3684.6579800457266</v>
      </c>
      <c r="DS20" s="18">
        <f t="shared" si="84"/>
        <v>3647.8114002452694</v>
      </c>
      <c r="DT20" s="18">
        <f t="shared" si="84"/>
        <v>3611.3332862428165</v>
      </c>
      <c r="DU20" s="18">
        <f t="shared" si="84"/>
        <v>3575.2199533803882</v>
      </c>
      <c r="DV20" s="18">
        <f t="shared" si="84"/>
        <v>3539.4677538465844</v>
      </c>
      <c r="DW20" s="18">
        <f t="shared" si="84"/>
        <v>3504.0730763081187</v>
      </c>
      <c r="DX20" s="18">
        <f t="shared" si="84"/>
        <v>3469.0323455450375</v>
      </c>
      <c r="DY20" s="18">
        <f t="shared" si="84"/>
        <v>3434.3420220895873</v>
      </c>
      <c r="DZ20" s="18">
        <f t="shared" si="84"/>
        <v>3399.9986018686914</v>
      </c>
      <c r="EA20" s="18">
        <f t="shared" si="84"/>
        <v>3365.9986158500046</v>
      </c>
      <c r="EB20" s="18">
        <f t="shared" si="84"/>
        <v>3332.3386296915046</v>
      </c>
      <c r="EC20" s="18">
        <f t="shared" si="84"/>
        <v>3299.0152433945896</v>
      </c>
      <c r="ED20" s="18">
        <f t="shared" si="84"/>
        <v>3266.0250909606434</v>
      </c>
      <c r="EE20" s="18">
        <f t="shared" si="84"/>
        <v>3233.3648400510369</v>
      </c>
      <c r="EF20" s="18">
        <f t="shared" si="84"/>
        <v>3201.0311916505266</v>
      </c>
      <c r="EG20" s="18">
        <f t="shared" si="84"/>
        <v>3169.0208797340215</v>
      </c>
      <c r="EH20" s="18">
        <f t="shared" si="84"/>
        <v>3137.3306709366811</v>
      </c>
      <c r="EI20" s="18">
        <f t="shared" si="84"/>
        <v>3105.9573642273144</v>
      </c>
      <c r="EJ20" s="18">
        <f t="shared" si="84"/>
        <v>3074.8977905850411</v>
      </c>
      <c r="EK20" s="18">
        <f t="shared" si="84"/>
        <v>3044.1488126791905</v>
      </c>
      <c r="EL20" s="18">
        <f t="shared" si="84"/>
        <v>3013.7073245523984</v>
      </c>
      <c r="EM20" s="18">
        <f t="shared" si="84"/>
        <v>2983.5702513068745</v>
      </c>
      <c r="EN20" s="18">
        <f t="shared" si="84"/>
        <v>2953.734548793806</v>
      </c>
      <c r="EO20" s="18">
        <f t="shared" si="84"/>
        <v>2924.1972033058678</v>
      </c>
      <c r="EP20" s="18">
        <f t="shared" si="84"/>
        <v>2894.9552312728092</v>
      </c>
      <c r="EQ20" s="18">
        <f t="shared" si="84"/>
        <v>2866.0056789600812</v>
      </c>
      <c r="ER20" s="18">
        <f t="shared" si="84"/>
        <v>2837.3456221704805</v>
      </c>
      <c r="ES20" s="18">
        <f t="shared" si="84"/>
        <v>2808.9721659487755</v>
      </c>
      <c r="ET20" s="18">
        <f t="shared" si="84"/>
        <v>2780.8824442892878</v>
      </c>
      <c r="EU20" s="18">
        <f t="shared" si="84"/>
        <v>2753.0736198463951</v>
      </c>
      <c r="EV20" s="18">
        <f t="shared" si="84"/>
        <v>2725.5428836479309</v>
      </c>
      <c r="EW20" s="18">
        <f t="shared" si="84"/>
        <v>2698.2874548114514</v>
      </c>
      <c r="EX20" s="18">
        <f t="shared" si="84"/>
        <v>2671.3045802633369</v>
      </c>
      <c r="EY20" s="18">
        <f t="shared" si="84"/>
        <v>2644.5915344607033</v>
      </c>
      <c r="EZ20" s="18">
        <f t="shared" si="84"/>
        <v>2618.1456191160964</v>
      </c>
      <c r="FA20" s="18">
        <f t="shared" si="84"/>
        <v>2591.9641629249354</v>
      </c>
      <c r="FB20" s="18">
        <f t="shared" si="84"/>
        <v>2566.0445212956861</v>
      </c>
      <c r="FC20" s="18">
        <f t="shared" si="84"/>
        <v>2540.3840760827293</v>
      </c>
      <c r="FD20" s="18">
        <f t="shared" si="84"/>
        <v>2514.980235321902</v>
      </c>
      <c r="FE20" s="18">
        <f t="shared" si="84"/>
        <v>2489.830432968683</v>
      </c>
      <c r="FF20" s="18">
        <f t="shared" si="84"/>
        <v>2464.9321286389963</v>
      </c>
      <c r="FG20" s="18">
        <f t="shared" si="84"/>
        <v>2440.2828073526061</v>
      </c>
      <c r="FH20" s="18">
        <f t="shared" si="84"/>
        <v>2415.8799792790801</v>
      </c>
      <c r="FI20" s="18">
        <f t="shared" si="84"/>
        <v>2391.7211794862892</v>
      </c>
      <c r="FJ20" s="18">
        <f t="shared" si="84"/>
        <v>2367.8039676914264</v>
      </c>
      <c r="FK20" s="18">
        <f t="shared" si="84"/>
        <v>2344.1259280145123</v>
      </c>
      <c r="FL20" s="18">
        <f t="shared" si="84"/>
        <v>2320.6846687343673</v>
      </c>
      <c r="FM20" s="18">
        <f t="shared" si="84"/>
        <v>2297.4778220470234</v>
      </c>
      <c r="FN20" s="18">
        <f t="shared" ref="FN20:HY20" si="85">FM20*(1+$AQ$26)</f>
        <v>2274.503043826553</v>
      </c>
      <c r="FO20" s="18">
        <f t="shared" si="85"/>
        <v>2251.7580133882875</v>
      </c>
      <c r="FP20" s="18">
        <f t="shared" si="85"/>
        <v>2229.2404332544047</v>
      </c>
      <c r="FQ20" s="18">
        <f t="shared" si="85"/>
        <v>2206.9480289218604</v>
      </c>
      <c r="FR20" s="18">
        <f t="shared" si="85"/>
        <v>2184.8785486326419</v>
      </c>
      <c r="FS20" s="18">
        <f t="shared" si="85"/>
        <v>2163.0297631463154</v>
      </c>
      <c r="FT20" s="18">
        <f t="shared" si="85"/>
        <v>2141.3994655148522</v>
      </c>
      <c r="FU20" s="18">
        <f t="shared" si="85"/>
        <v>2119.9854708597036</v>
      </c>
      <c r="FV20" s="18">
        <f t="shared" si="85"/>
        <v>2098.7856161511068</v>
      </c>
      <c r="FW20" s="18">
        <f t="shared" si="85"/>
        <v>2077.7977599895958</v>
      </c>
      <c r="FX20" s="18">
        <f t="shared" si="85"/>
        <v>2057.0197823896997</v>
      </c>
      <c r="FY20" s="18">
        <f t="shared" si="85"/>
        <v>2036.4495845658028</v>
      </c>
      <c r="FZ20" s="18">
        <f t="shared" si="85"/>
        <v>2016.0850887201448</v>
      </c>
      <c r="GA20" s="18">
        <f t="shared" si="85"/>
        <v>1995.9242378329434</v>
      </c>
      <c r="GB20" s="18">
        <f t="shared" si="85"/>
        <v>1975.9649954546139</v>
      </c>
      <c r="GC20" s="18">
        <f t="shared" si="85"/>
        <v>1956.2053455000678</v>
      </c>
      <c r="GD20" s="18">
        <f t="shared" si="85"/>
        <v>1936.643292045067</v>
      </c>
      <c r="GE20" s="18">
        <f t="shared" si="85"/>
        <v>1917.2768591246163</v>
      </c>
      <c r="GF20" s="18">
        <f t="shared" si="85"/>
        <v>1898.10409053337</v>
      </c>
      <c r="GG20" s="18">
        <f t="shared" si="85"/>
        <v>1879.1230496280364</v>
      </c>
      <c r="GH20" s="18">
        <f t="shared" si="85"/>
        <v>1860.331819131756</v>
      </c>
      <c r="GI20" s="18">
        <f t="shared" si="85"/>
        <v>1841.7285009404384</v>
      </c>
      <c r="GJ20" s="18">
        <f t="shared" si="85"/>
        <v>1823.311215931034</v>
      </c>
      <c r="GK20" s="18">
        <f t="shared" si="85"/>
        <v>1805.0781037717236</v>
      </c>
      <c r="GL20" s="18">
        <f t="shared" si="85"/>
        <v>1787.0273227340062</v>
      </c>
      <c r="GM20" s="18">
        <f t="shared" si="85"/>
        <v>1769.1570495066662</v>
      </c>
      <c r="GN20" s="18">
        <f t="shared" si="85"/>
        <v>1751.4654790115997</v>
      </c>
      <c r="GO20" s="18">
        <f t="shared" si="85"/>
        <v>1733.9508242214836</v>
      </c>
      <c r="GP20" s="18">
        <f t="shared" si="85"/>
        <v>1716.6113159792687</v>
      </c>
      <c r="GQ20" s="18">
        <f t="shared" si="85"/>
        <v>1699.445202819476</v>
      </c>
      <c r="GR20" s="18">
        <f t="shared" si="85"/>
        <v>1682.4507507912813</v>
      </c>
      <c r="GS20" s="18">
        <f t="shared" si="85"/>
        <v>1665.6262432833685</v>
      </c>
      <c r="GT20" s="18">
        <f t="shared" si="85"/>
        <v>1648.9699808505347</v>
      </c>
      <c r="GU20" s="18">
        <f t="shared" si="85"/>
        <v>1632.4802810420294</v>
      </c>
      <c r="GV20" s="18">
        <f t="shared" si="85"/>
        <v>1616.1554782316091</v>
      </c>
      <c r="GW20" s="18">
        <f t="shared" si="85"/>
        <v>1599.9939234492929</v>
      </c>
      <c r="GX20" s="18">
        <f t="shared" si="85"/>
        <v>1583.9939842147999</v>
      </c>
      <c r="GY20" s="18">
        <f t="shared" si="85"/>
        <v>1568.1540443726519</v>
      </c>
      <c r="GZ20" s="18">
        <f t="shared" si="85"/>
        <v>1552.4725039289253</v>
      </c>
      <c r="HA20" s="18">
        <f t="shared" si="85"/>
        <v>1536.9477788896361</v>
      </c>
      <c r="HB20" s="18">
        <f t="shared" si="85"/>
        <v>1521.5783011007397</v>
      </c>
      <c r="HC20" s="18">
        <f t="shared" si="85"/>
        <v>1506.3625180897322</v>
      </c>
      <c r="HD20" s="18">
        <f t="shared" si="85"/>
        <v>1491.2988929088349</v>
      </c>
      <c r="HE20" s="18">
        <f t="shared" si="85"/>
        <v>1476.3859039797464</v>
      </c>
      <c r="HF20" s="18">
        <f t="shared" si="85"/>
        <v>1461.6220449399489</v>
      </c>
      <c r="HG20" s="18">
        <f t="shared" si="85"/>
        <v>1447.0058244905495</v>
      </c>
      <c r="HH20" s="18">
        <f t="shared" si="85"/>
        <v>1432.535766245644</v>
      </c>
      <c r="HI20" s="18">
        <f t="shared" si="85"/>
        <v>1418.2104085831875</v>
      </c>
      <c r="HJ20" s="18">
        <f t="shared" si="85"/>
        <v>1404.0283044973555</v>
      </c>
      <c r="HK20" s="18">
        <f t="shared" si="85"/>
        <v>1389.9880214523819</v>
      </c>
      <c r="HL20" s="18">
        <f t="shared" si="85"/>
        <v>1376.0881412378581</v>
      </c>
      <c r="HM20" s="18">
        <f t="shared" si="85"/>
        <v>1362.3272598254794</v>
      </c>
      <c r="HN20" s="18">
        <f t="shared" si="85"/>
        <v>1348.7039872272246</v>
      </c>
      <c r="HO20" s="18">
        <f t="shared" si="85"/>
        <v>1335.2169473549523</v>
      </c>
      <c r="HP20" s="18">
        <f t="shared" si="85"/>
        <v>1321.8647778814027</v>
      </c>
      <c r="HQ20" s="18">
        <f t="shared" si="85"/>
        <v>1308.6461301025886</v>
      </c>
      <c r="HR20" s="18">
        <f t="shared" si="85"/>
        <v>1295.5596688015628</v>
      </c>
      <c r="HS20" s="18">
        <f t="shared" si="85"/>
        <v>1282.6040721135471</v>
      </c>
      <c r="HT20" s="18">
        <f t="shared" si="85"/>
        <v>1269.7780313924115</v>
      </c>
      <c r="HU20" s="18">
        <f t="shared" si="85"/>
        <v>1257.0802510784874</v>
      </c>
      <c r="HV20" s="18">
        <f t="shared" si="85"/>
        <v>1244.5094485677025</v>
      </c>
      <c r="HW20" s="18">
        <f t="shared" si="85"/>
        <v>1232.0643540820254</v>
      </c>
      <c r="HX20" s="18">
        <f t="shared" si="85"/>
        <v>1219.743710541205</v>
      </c>
      <c r="HY20" s="18">
        <f t="shared" si="85"/>
        <v>1207.546273435793</v>
      </c>
      <c r="HZ20" s="18">
        <f t="shared" ref="HZ20:KK20" si="86">HY20*(1+$AQ$26)</f>
        <v>1195.4708107014351</v>
      </c>
      <c r="IA20" s="18">
        <f t="shared" si="86"/>
        <v>1183.5161025944208</v>
      </c>
      <c r="IB20" s="18">
        <f t="shared" si="86"/>
        <v>1171.6809415684766</v>
      </c>
      <c r="IC20" s="18">
        <f t="shared" si="86"/>
        <v>1159.9641321527918</v>
      </c>
      <c r="ID20" s="18">
        <f t="shared" si="86"/>
        <v>1148.3644908312638</v>
      </c>
      <c r="IE20" s="18">
        <f t="shared" si="86"/>
        <v>1136.880845922951</v>
      </c>
      <c r="IF20" s="18">
        <f t="shared" si="86"/>
        <v>1125.5120374637215</v>
      </c>
      <c r="IG20" s="18">
        <f t="shared" si="86"/>
        <v>1114.2569170890843</v>
      </c>
      <c r="IH20" s="18">
        <f t="shared" si="86"/>
        <v>1103.1143479181933</v>
      </c>
      <c r="II20" s="18">
        <f t="shared" si="86"/>
        <v>1092.0832044390113</v>
      </c>
      <c r="IJ20" s="18">
        <f t="shared" si="86"/>
        <v>1081.1623723946211</v>
      </c>
      <c r="IK20" s="18">
        <f t="shared" si="86"/>
        <v>1070.3507486706749</v>
      </c>
      <c r="IL20" s="18">
        <f t="shared" si="86"/>
        <v>1059.6472411839682</v>
      </c>
      <c r="IM20" s="18">
        <f t="shared" si="86"/>
        <v>1049.0507687721285</v>
      </c>
      <c r="IN20" s="18">
        <f t="shared" si="86"/>
        <v>1038.5602610844073</v>
      </c>
      <c r="IO20" s="18">
        <f t="shared" si="86"/>
        <v>1028.1746584735633</v>
      </c>
      <c r="IP20" s="18">
        <f t="shared" si="86"/>
        <v>1017.8929118888277</v>
      </c>
      <c r="IQ20" s="18">
        <f t="shared" si="86"/>
        <v>1007.7139827699394</v>
      </c>
      <c r="IR20" s="18">
        <f t="shared" si="86"/>
        <v>997.63684294224004</v>
      </c>
      <c r="IS20" s="18">
        <f t="shared" si="86"/>
        <v>987.66047451281759</v>
      </c>
      <c r="IT20" s="18">
        <f t="shared" si="86"/>
        <v>977.78386976768945</v>
      </c>
      <c r="IU20" s="18">
        <f t="shared" si="86"/>
        <v>968.00603107001257</v>
      </c>
      <c r="IV20" s="18">
        <f t="shared" si="86"/>
        <v>958.32597075931244</v>
      </c>
      <c r="IW20" s="18">
        <f t="shared" si="86"/>
        <v>948.74271105171931</v>
      </c>
      <c r="IX20" s="18">
        <f t="shared" si="86"/>
        <v>939.25528394120215</v>
      </c>
      <c r="IY20" s="18">
        <f t="shared" si="86"/>
        <v>929.86273110179013</v>
      </c>
      <c r="IZ20" s="18">
        <f t="shared" si="86"/>
        <v>920.56410379077226</v>
      </c>
      <c r="JA20" s="18">
        <f t="shared" si="86"/>
        <v>911.35846275286451</v>
      </c>
      <c r="JB20" s="18">
        <f t="shared" si="86"/>
        <v>902.24487812533584</v>
      </c>
      <c r="JC20" s="18">
        <f t="shared" si="86"/>
        <v>893.22242934408246</v>
      </c>
      <c r="JD20" s="18">
        <f t="shared" si="86"/>
        <v>884.29020505064159</v>
      </c>
      <c r="JE20" s="18">
        <f t="shared" si="86"/>
        <v>875.44730300013521</v>
      </c>
      <c r="JF20" s="18">
        <f t="shared" si="86"/>
        <v>866.69282997013386</v>
      </c>
      <c r="JG20" s="18">
        <f t="shared" si="86"/>
        <v>858.02590167043252</v>
      </c>
      <c r="JH20" s="18">
        <f t="shared" si="86"/>
        <v>849.44564265372821</v>
      </c>
      <c r="JI20" s="18">
        <f t="shared" si="86"/>
        <v>840.95118622719087</v>
      </c>
      <c r="JJ20" s="18">
        <f t="shared" si="86"/>
        <v>832.541674364919</v>
      </c>
      <c r="JK20" s="18">
        <f t="shared" si="86"/>
        <v>824.21625762126985</v>
      </c>
      <c r="JL20" s="18">
        <f t="shared" si="86"/>
        <v>815.9740950450572</v>
      </c>
      <c r="JM20" s="18">
        <f t="shared" si="86"/>
        <v>807.81435409460664</v>
      </c>
      <c r="JN20" s="18">
        <f t="shared" si="86"/>
        <v>799.73621055366061</v>
      </c>
      <c r="JO20" s="18">
        <f t="shared" si="86"/>
        <v>791.73884844812403</v>
      </c>
      <c r="JP20" s="18">
        <f t="shared" si="86"/>
        <v>783.82145996364284</v>
      </c>
      <c r="JQ20" s="18">
        <f t="shared" si="86"/>
        <v>775.98324536400639</v>
      </c>
      <c r="JR20" s="18">
        <f t="shared" si="86"/>
        <v>768.22341291036628</v>
      </c>
      <c r="JS20" s="18">
        <f t="shared" si="86"/>
        <v>760.5411787812626</v>
      </c>
      <c r="JT20" s="18">
        <f t="shared" si="86"/>
        <v>752.93576699344999</v>
      </c>
      <c r="JU20" s="18">
        <f t="shared" si="86"/>
        <v>745.4064093235155</v>
      </c>
      <c r="JV20" s="18">
        <f t="shared" si="86"/>
        <v>737.95234523028034</v>
      </c>
      <c r="JW20" s="18">
        <f t="shared" si="86"/>
        <v>730.57282177797754</v>
      </c>
      <c r="JX20" s="18">
        <f t="shared" si="86"/>
        <v>723.26709356019774</v>
      </c>
      <c r="JY20" s="18">
        <f t="shared" si="86"/>
        <v>716.03442262459578</v>
      </c>
      <c r="JZ20" s="18">
        <f t="shared" si="86"/>
        <v>708.87407839834987</v>
      </c>
      <c r="KA20" s="18">
        <f t="shared" si="86"/>
        <v>701.78533761436631</v>
      </c>
      <c r="KB20" s="18">
        <f t="shared" si="86"/>
        <v>694.76748423822266</v>
      </c>
      <c r="KC20" s="18">
        <f t="shared" si="86"/>
        <v>687.81980939584048</v>
      </c>
      <c r="KD20" s="18">
        <f t="shared" si="86"/>
        <v>680.94161130188206</v>
      </c>
      <c r="KE20" s="18">
        <f t="shared" si="86"/>
        <v>674.13219518886319</v>
      </c>
      <c r="KF20" s="18">
        <f t="shared" si="86"/>
        <v>667.39087323697458</v>
      </c>
      <c r="KG20" s="18">
        <f t="shared" si="86"/>
        <v>660.71696450460479</v>
      </c>
      <c r="KH20" s="18">
        <f t="shared" si="86"/>
        <v>654.10979485955875</v>
      </c>
      <c r="KI20" s="18">
        <f t="shared" si="86"/>
        <v>647.56869691096313</v>
      </c>
      <c r="KJ20" s="18">
        <f t="shared" si="86"/>
        <v>641.09300994185344</v>
      </c>
      <c r="KK20" s="18">
        <f t="shared" si="86"/>
        <v>634.68207984243486</v>
      </c>
      <c r="KL20" s="18">
        <f t="shared" ref="KL20:LT20" si="87">KK20*(1+$AQ$26)</f>
        <v>628.33525904401051</v>
      </c>
      <c r="KM20" s="18">
        <f t="shared" si="87"/>
        <v>622.05190645357038</v>
      </c>
      <c r="KN20" s="18">
        <f t="shared" si="87"/>
        <v>615.83138738903472</v>
      </c>
      <c r="KO20" s="18">
        <f t="shared" si="87"/>
        <v>609.67307351514432</v>
      </c>
      <c r="KP20" s="18">
        <f t="shared" si="87"/>
        <v>603.57634277999284</v>
      </c>
      <c r="KQ20" s="18">
        <f t="shared" si="87"/>
        <v>597.54057935219294</v>
      </c>
      <c r="KR20" s="18">
        <f t="shared" si="87"/>
        <v>591.56517355867095</v>
      </c>
      <c r="KS20" s="18">
        <f t="shared" si="87"/>
        <v>585.64952182308423</v>
      </c>
      <c r="KT20" s="18">
        <f t="shared" si="87"/>
        <v>579.79302660485337</v>
      </c>
      <c r="KU20" s="18">
        <f t="shared" si="87"/>
        <v>573.99509633880484</v>
      </c>
      <c r="KV20" s="18">
        <f t="shared" si="87"/>
        <v>568.25514537541676</v>
      </c>
      <c r="KW20" s="18">
        <f t="shared" si="87"/>
        <v>562.57259392166259</v>
      </c>
      <c r="KX20" s="18">
        <f t="shared" si="87"/>
        <v>556.94686798244595</v>
      </c>
      <c r="KY20" s="18">
        <f t="shared" si="87"/>
        <v>551.37739930262148</v>
      </c>
      <c r="KZ20" s="18">
        <f t="shared" si="87"/>
        <v>545.86362530959525</v>
      </c>
      <c r="LA20" s="18">
        <f t="shared" si="87"/>
        <v>540.40498905649929</v>
      </c>
      <c r="LB20" s="18">
        <f t="shared" si="87"/>
        <v>535.00093916593426</v>
      </c>
      <c r="LC20" s="18">
        <f t="shared" si="87"/>
        <v>529.65092977427491</v>
      </c>
      <c r="LD20" s="18">
        <f t="shared" si="87"/>
        <v>524.35442047653214</v>
      </c>
      <c r="LE20" s="18">
        <f t="shared" si="87"/>
        <v>519.11087627176687</v>
      </c>
      <c r="LF20" s="18">
        <f t="shared" si="87"/>
        <v>513.91976750904917</v>
      </c>
      <c r="LG20" s="18">
        <f t="shared" si="87"/>
        <v>508.78056983395868</v>
      </c>
      <c r="LH20" s="18">
        <f t="shared" si="87"/>
        <v>503.69276413561909</v>
      </c>
      <c r="LI20" s="18">
        <f t="shared" si="87"/>
        <v>498.65583649426287</v>
      </c>
      <c r="LJ20" s="18">
        <f t="shared" si="87"/>
        <v>493.66927812932022</v>
      </c>
      <c r="LK20" s="18">
        <f t="shared" si="87"/>
        <v>488.73258534802699</v>
      </c>
      <c r="LL20" s="18">
        <f t="shared" si="87"/>
        <v>483.84525949454672</v>
      </c>
      <c r="LM20" s="18">
        <f t="shared" si="87"/>
        <v>479.00680689960126</v>
      </c>
      <c r="LN20" s="18">
        <f t="shared" si="87"/>
        <v>474.21673883060527</v>
      </c>
      <c r="LO20" s="18">
        <f t="shared" si="87"/>
        <v>469.47457144229924</v>
      </c>
      <c r="LP20" s="18">
        <f t="shared" si="87"/>
        <v>464.77982572787624</v>
      </c>
      <c r="LQ20" s="18">
        <f t="shared" si="87"/>
        <v>460.13202747059745</v>
      </c>
      <c r="LR20" s="18">
        <f t="shared" si="87"/>
        <v>455.53070719589147</v>
      </c>
      <c r="LS20" s="18">
        <f t="shared" si="87"/>
        <v>450.97540012393256</v>
      </c>
      <c r="LT20" s="18">
        <f t="shared" si="87"/>
        <v>446.46564612269322</v>
      </c>
      <c r="LU20" s="18">
        <f>LT20*(1+$AQ$26)</f>
        <v>442.00098966146629</v>
      </c>
      <c r="LV20" s="18">
        <f t="shared" ref="LV20:NT20" si="88">LU20*(1+$AQ$26)</f>
        <v>437.58097976485163</v>
      </c>
      <c r="LW20" s="18">
        <f t="shared" si="88"/>
        <v>433.20516996720312</v>
      </c>
      <c r="LX20" s="18">
        <f t="shared" si="88"/>
        <v>428.87311826753108</v>
      </c>
      <c r="LY20" s="18">
        <f t="shared" si="88"/>
        <v>424.58438708485579</v>
      </c>
      <c r="LZ20" s="18">
        <f t="shared" si="88"/>
        <v>420.33854321400725</v>
      </c>
      <c r="MA20" s="18">
        <f t="shared" si="88"/>
        <v>416.13515778186718</v>
      </c>
      <c r="MB20" s="18">
        <f t="shared" si="88"/>
        <v>411.97380620404851</v>
      </c>
      <c r="MC20" s="18">
        <f t="shared" si="88"/>
        <v>407.85406814200803</v>
      </c>
      <c r="MD20" s="18">
        <f t="shared" si="88"/>
        <v>403.77552746058797</v>
      </c>
      <c r="ME20" s="18">
        <f t="shared" si="88"/>
        <v>399.73777218598207</v>
      </c>
      <c r="MF20" s="18">
        <f t="shared" si="88"/>
        <v>395.74039446412223</v>
      </c>
      <c r="MG20" s="18">
        <f t="shared" si="88"/>
        <v>391.78299051948102</v>
      </c>
      <c r="MH20" s="18">
        <f t="shared" si="88"/>
        <v>387.8651606142862</v>
      </c>
      <c r="MI20" s="18">
        <f t="shared" si="88"/>
        <v>383.98650900814334</v>
      </c>
      <c r="MJ20" s="18">
        <f t="shared" si="88"/>
        <v>380.1466439180619</v>
      </c>
      <c r="MK20" s="18">
        <f t="shared" si="88"/>
        <v>376.34517747888128</v>
      </c>
      <c r="ML20" s="18">
        <f t="shared" si="88"/>
        <v>372.58172570409249</v>
      </c>
      <c r="MM20" s="18">
        <f t="shared" si="88"/>
        <v>368.85590844705155</v>
      </c>
      <c r="MN20" s="18">
        <f t="shared" si="88"/>
        <v>365.16734936258104</v>
      </c>
      <c r="MO20" s="18">
        <f t="shared" si="88"/>
        <v>361.51567586895521</v>
      </c>
      <c r="MP20" s="18">
        <f t="shared" si="88"/>
        <v>357.90051911026563</v>
      </c>
      <c r="MQ20" s="18">
        <f t="shared" si="88"/>
        <v>354.32151391916295</v>
      </c>
      <c r="MR20" s="18">
        <f t="shared" si="88"/>
        <v>350.77829877997129</v>
      </c>
      <c r="MS20" s="18">
        <f t="shared" si="88"/>
        <v>347.27051579217158</v>
      </c>
      <c r="MT20" s="18">
        <f t="shared" si="88"/>
        <v>343.79781063424986</v>
      </c>
      <c r="MU20" s="18">
        <f t="shared" si="88"/>
        <v>340.35983252790737</v>
      </c>
      <c r="MV20" s="18">
        <f t="shared" si="88"/>
        <v>336.95623420262831</v>
      </c>
      <c r="MW20" s="18">
        <f t="shared" si="88"/>
        <v>333.586671860602</v>
      </c>
      <c r="MX20" s="18">
        <f t="shared" si="88"/>
        <v>330.25080514199595</v>
      </c>
      <c r="MY20" s="18">
        <f t="shared" si="88"/>
        <v>326.94829709057598</v>
      </c>
      <c r="MZ20" s="18">
        <f t="shared" si="88"/>
        <v>323.67881411967022</v>
      </c>
      <c r="NA20" s="18">
        <f t="shared" si="88"/>
        <v>320.44202597847351</v>
      </c>
      <c r="NB20" s="18">
        <f t="shared" si="88"/>
        <v>317.23760571868877</v>
      </c>
      <c r="NC20" s="18">
        <f t="shared" si="88"/>
        <v>314.06522966150186</v>
      </c>
      <c r="ND20" s="18">
        <f t="shared" si="88"/>
        <v>310.92457736488683</v>
      </c>
      <c r="NE20" s="18">
        <f t="shared" si="88"/>
        <v>307.81533159123796</v>
      </c>
      <c r="NF20" s="18">
        <f t="shared" si="88"/>
        <v>304.73717827532556</v>
      </c>
      <c r="NG20" s="18">
        <f t="shared" si="88"/>
        <v>301.6898064925723</v>
      </c>
      <c r="NH20" s="18">
        <f t="shared" si="88"/>
        <v>298.67290842764658</v>
      </c>
      <c r="NI20" s="18">
        <f t="shared" si="88"/>
        <v>295.6861793433701</v>
      </c>
      <c r="NJ20" s="18">
        <f t="shared" si="88"/>
        <v>292.72931754993641</v>
      </c>
      <c r="NK20" s="18">
        <f t="shared" si="88"/>
        <v>289.80202437443705</v>
      </c>
      <c r="NL20" s="18">
        <f t="shared" si="88"/>
        <v>286.90400413069267</v>
      </c>
      <c r="NM20" s="18">
        <f t="shared" si="88"/>
        <v>284.03496408938577</v>
      </c>
      <c r="NN20" s="18">
        <f t="shared" si="88"/>
        <v>281.1946144484919</v>
      </c>
      <c r="NO20" s="18">
        <f t="shared" si="88"/>
        <v>278.38266830400698</v>
      </c>
      <c r="NP20" s="18">
        <f t="shared" si="88"/>
        <v>275.59884162096694</v>
      </c>
      <c r="NQ20" s="18">
        <f t="shared" si="88"/>
        <v>272.84285320475726</v>
      </c>
      <c r="NR20" s="18">
        <f t="shared" si="88"/>
        <v>270.11442467270967</v>
      </c>
      <c r="NS20" s="18">
        <f t="shared" si="88"/>
        <v>267.41328042598258</v>
      </c>
      <c r="NT20" s="18">
        <f t="shared" si="88"/>
        <v>264.73914762172274</v>
      </c>
    </row>
    <row r="21" spans="1:384" x14ac:dyDescent="0.2">
      <c r="B21" s="4" t="s">
        <v>3</v>
      </c>
      <c r="C21" s="16">
        <v>1470.5</v>
      </c>
      <c r="D21" s="16">
        <v>1464.8</v>
      </c>
      <c r="E21" s="16">
        <v>1459.4</v>
      </c>
      <c r="F21" s="16">
        <v>1451.2</v>
      </c>
      <c r="G21" s="16">
        <v>1434.6</v>
      </c>
      <c r="H21" s="16">
        <v>1406.6</v>
      </c>
      <c r="I21" s="16">
        <v>1388.5</v>
      </c>
      <c r="J21" s="16">
        <v>1348.7</v>
      </c>
      <c r="K21" s="16">
        <v>1253.4000000000001</v>
      </c>
      <c r="L21" s="16">
        <v>1250.7</v>
      </c>
      <c r="M21" s="16">
        <v>1223</v>
      </c>
      <c r="N21" s="16">
        <v>1205.5999999999999</v>
      </c>
      <c r="O21" s="16">
        <v>1191</v>
      </c>
      <c r="P21" s="16">
        <v>1180.7</v>
      </c>
      <c r="Q21" s="16">
        <v>1168.5</v>
      </c>
      <c r="R21" s="16">
        <v>1179</v>
      </c>
      <c r="S21" s="16">
        <v>1183</v>
      </c>
      <c r="T21" s="16">
        <v>1184.8</v>
      </c>
      <c r="U21" s="16">
        <v>1186.2</v>
      </c>
      <c r="V21" s="16">
        <v>1187.9000000000001</v>
      </c>
      <c r="W21" s="16">
        <v>1176.5999999999999</v>
      </c>
      <c r="X21" s="16">
        <v>1153.9000000000001</v>
      </c>
      <c r="Y21" s="16">
        <v>1151</v>
      </c>
      <c r="Z21" s="16">
        <v>1152.5</v>
      </c>
      <c r="AF21" s="16">
        <f>F21</f>
        <v>1451.2</v>
      </c>
      <c r="AG21" s="16">
        <f>J21</f>
        <v>1348.7</v>
      </c>
      <c r="AH21" s="16">
        <f>N21</f>
        <v>1205.5999999999999</v>
      </c>
      <c r="AI21" s="16">
        <f>R21</f>
        <v>1179</v>
      </c>
      <c r="AJ21" s="16">
        <f>V21</f>
        <v>1187.9000000000001</v>
      </c>
      <c r="AK21" s="16">
        <f>Z21</f>
        <v>1152.5</v>
      </c>
      <c r="AL21" s="16">
        <f t="shared" ref="AK21:AN21" si="89">AK21*0.99</f>
        <v>1140.9749999999999</v>
      </c>
      <c r="AM21" s="16">
        <f t="shared" si="89"/>
        <v>1129.5652499999999</v>
      </c>
      <c r="AN21" s="16">
        <f t="shared" si="89"/>
        <v>1118.2695974999999</v>
      </c>
    </row>
    <row r="22" spans="1:384" x14ac:dyDescent="0.2">
      <c r="B22" s="4" t="s">
        <v>37</v>
      </c>
      <c r="C22" s="8">
        <f t="shared" ref="C22:R22" si="90">C20/C21</f>
        <v>0.68106086365181884</v>
      </c>
      <c r="D22" s="8">
        <f t="shared" si="90"/>
        <v>0.61878754778809331</v>
      </c>
      <c r="E22" s="8">
        <f t="shared" si="90"/>
        <v>0.72934082499657382</v>
      </c>
      <c r="F22" s="8">
        <f t="shared" si="90"/>
        <v>0.74228224917309826</v>
      </c>
      <c r="G22" s="8">
        <f t="shared" si="90"/>
        <v>1.7681583716715461</v>
      </c>
      <c r="H22" s="8">
        <f t="shared" si="90"/>
        <v>0.80079624626759605</v>
      </c>
      <c r="I22" s="8">
        <f t="shared" si="90"/>
        <v>0.86380986676269378</v>
      </c>
      <c r="J22" s="8">
        <f t="shared" si="90"/>
        <v>0.83606435827092818</v>
      </c>
      <c r="K22" s="8">
        <f t="shared" si="90"/>
        <v>0.90729216531035617</v>
      </c>
      <c r="L22" s="8">
        <f t="shared" si="90"/>
        <v>0.84920444551051377</v>
      </c>
      <c r="M22" s="8">
        <f t="shared" si="90"/>
        <v>1.4338511856091576</v>
      </c>
      <c r="N22" s="8">
        <f t="shared" si="90"/>
        <v>0.96167883211678828</v>
      </c>
      <c r="O22" s="8">
        <f t="shared" si="90"/>
        <v>1.0436607892527281</v>
      </c>
      <c r="P22" s="8">
        <f t="shared" si="90"/>
        <v>0.57931735411196739</v>
      </c>
      <c r="Q22" s="8">
        <f t="shared" si="90"/>
        <v>-0.20479246897732123</v>
      </c>
      <c r="R22" s="8">
        <f t="shared" si="90"/>
        <v>0.80619168787107709</v>
      </c>
      <c r="S22" s="8">
        <f>S20/S21</f>
        <v>0.89644970414201264</v>
      </c>
      <c r="T22" s="8">
        <f t="shared" ref="T22:Z22" si="91">T20/T21</f>
        <v>0.885465901417961</v>
      </c>
      <c r="U22" s="8">
        <f t="shared" si="91"/>
        <v>1.2877255100320348</v>
      </c>
      <c r="V22" s="8">
        <f t="shared" si="91"/>
        <v>1.8306254735247081</v>
      </c>
      <c r="W22" s="8">
        <f t="shared" si="91"/>
        <v>0.99813020567737565</v>
      </c>
      <c r="X22" s="8">
        <f t="shared" si="91"/>
        <v>0.90701100615304586</v>
      </c>
      <c r="Y22" s="8">
        <f t="shared" si="91"/>
        <v>1.1152910512597745</v>
      </c>
      <c r="Z22" s="8">
        <f t="shared" si="91"/>
        <v>1.1026464208242945</v>
      </c>
      <c r="AA22" s="8"/>
      <c r="AB22" s="8"/>
      <c r="AC22" s="8"/>
      <c r="AF22" s="8">
        <f t="shared" ref="AF22" si="92">AF20/AF21</f>
        <v>2.7904492833517089</v>
      </c>
      <c r="AG22" s="8">
        <f t="shared" ref="AG22" si="93">AG20/AG21</f>
        <v>4.4413138577889821</v>
      </c>
      <c r="AH22" s="8">
        <f t="shared" ref="AH22" si="94">AH20/AH21</f>
        <v>4.2404611811546147</v>
      </c>
      <c r="AI22" s="8">
        <f t="shared" ref="AI22" si="95">AI20/AI21</f>
        <v>2.2376590330788821</v>
      </c>
      <c r="AJ22" s="8">
        <f t="shared" ref="AJ22" si="96">AJ20/AJ21</f>
        <v>4.8924151864635075</v>
      </c>
      <c r="AK22" s="8">
        <f t="shared" ref="AK22" si="97">AK20/AK21</f>
        <v>5.2101136659435996</v>
      </c>
      <c r="AL22" s="8">
        <f t="shared" ref="AL22" si="98">AL20/AL21</f>
        <v>6.026526427835841</v>
      </c>
      <c r="AM22" s="8">
        <f t="shared" ref="AM22" si="99">AM20/AM21</f>
        <v>6.52818334858478</v>
      </c>
      <c r="AN22" s="8">
        <f t="shared" ref="AN22" si="100">AN20/AN21</f>
        <v>7.5121578812725467</v>
      </c>
    </row>
    <row r="23" spans="1:384" x14ac:dyDescent="0.2">
      <c r="V23" s="21"/>
    </row>
    <row r="24" spans="1:384" x14ac:dyDescent="0.2">
      <c r="B24" s="4" t="s">
        <v>55</v>
      </c>
      <c r="C24" s="8">
        <v>0.25</v>
      </c>
      <c r="D24" s="8">
        <v>0.25</v>
      </c>
      <c r="E24" s="8">
        <v>0.25</v>
      </c>
      <c r="F24" s="8">
        <v>0.3</v>
      </c>
      <c r="G24" s="8">
        <v>0.3</v>
      </c>
      <c r="H24" s="8">
        <v>0.3</v>
      </c>
      <c r="I24" s="8">
        <v>0.36</v>
      </c>
      <c r="J24" s="8">
        <v>0.36</v>
      </c>
      <c r="K24" s="8">
        <v>0.36</v>
      </c>
      <c r="L24" s="8">
        <v>0.36</v>
      </c>
      <c r="M24" s="8">
        <v>0.36</v>
      </c>
      <c r="N24" s="8">
        <v>0.41</v>
      </c>
      <c r="O24" s="8">
        <v>0.41</v>
      </c>
      <c r="P24" s="8">
        <v>0.41</v>
      </c>
      <c r="Q24" s="8">
        <v>0.41</v>
      </c>
      <c r="R24" s="8">
        <v>0.45</v>
      </c>
      <c r="S24" s="8">
        <v>0.45</v>
      </c>
      <c r="T24" s="8">
        <v>0.45</v>
      </c>
      <c r="U24" s="8">
        <v>0.45</v>
      </c>
      <c r="V24" s="8">
        <v>0.49</v>
      </c>
      <c r="W24" s="8">
        <v>0.49</v>
      </c>
      <c r="X24" s="8">
        <v>0.49</v>
      </c>
      <c r="Y24" s="8">
        <v>0.49</v>
      </c>
      <c r="Z24" s="8">
        <v>0.53</v>
      </c>
      <c r="AA24" s="8"/>
      <c r="AB24" s="8"/>
      <c r="AC24" s="8"/>
      <c r="AF24" s="8">
        <f>SUM(C24:F24)</f>
        <v>1.05</v>
      </c>
      <c r="AG24" s="8">
        <f>SUM(G24:J24)</f>
        <v>1.3199999999999998</v>
      </c>
      <c r="AH24" s="8">
        <f>SUM(K24:N24)</f>
        <v>1.49</v>
      </c>
      <c r="AI24" s="8">
        <f>SUM(O24:R24)</f>
        <v>1.68</v>
      </c>
    </row>
    <row r="25" spans="1:384" x14ac:dyDescent="0.2">
      <c r="B25" s="4" t="s">
        <v>65</v>
      </c>
      <c r="G25" s="20">
        <f t="shared" ref="G25" si="101">G24/C24-1</f>
        <v>0.19999999999999996</v>
      </c>
      <c r="H25" s="20">
        <f t="shared" ref="H25" si="102">H24/D24-1</f>
        <v>0.19999999999999996</v>
      </c>
      <c r="I25" s="20">
        <f t="shared" ref="I25" si="103">I24/E24-1</f>
        <v>0.43999999999999995</v>
      </c>
      <c r="J25" s="20">
        <f t="shared" ref="J25" si="104">J24/F24-1</f>
        <v>0.19999999999999996</v>
      </c>
      <c r="K25" s="20">
        <f t="shared" ref="K25" si="105">K24/G24-1</f>
        <v>0.19999999999999996</v>
      </c>
      <c r="L25" s="20">
        <f t="shared" ref="L25" si="106">L24/H24-1</f>
        <v>0.19999999999999996</v>
      </c>
      <c r="M25" s="20">
        <f t="shared" ref="M25" si="107">M24/I24-1</f>
        <v>0</v>
      </c>
      <c r="N25" s="20">
        <f t="shared" ref="N25:Q25" si="108">N24/J24-1</f>
        <v>0.13888888888888884</v>
      </c>
      <c r="O25" s="20">
        <f t="shared" si="108"/>
        <v>0.13888888888888884</v>
      </c>
      <c r="P25" s="20">
        <f t="shared" si="108"/>
        <v>0.13888888888888884</v>
      </c>
      <c r="Q25" s="20">
        <f t="shared" si="108"/>
        <v>0.13888888888888884</v>
      </c>
      <c r="R25" s="20">
        <f>R24/N24-1</f>
        <v>9.7560975609756184E-2</v>
      </c>
      <c r="S25" s="20">
        <f>S24/O24-1</f>
        <v>9.7560975609756184E-2</v>
      </c>
      <c r="T25" s="20"/>
      <c r="U25" s="20"/>
      <c r="V25" s="20"/>
      <c r="W25" s="20"/>
      <c r="X25" s="20"/>
      <c r="Y25" s="20"/>
      <c r="Z25" s="20"/>
      <c r="AA25" s="20"/>
      <c r="AB25" s="20"/>
      <c r="AC25" s="20"/>
      <c r="AG25" s="20">
        <f>AG24/AF24-1</f>
        <v>0.2571428571428569</v>
      </c>
      <c r="AH25" s="20">
        <f t="shared" ref="AH25:AI25" si="109">AH24/AG24-1</f>
        <v>0.1287878787878789</v>
      </c>
      <c r="AI25" s="20">
        <f t="shared" si="109"/>
        <v>0.12751677852348986</v>
      </c>
    </row>
    <row r="26" spans="1:384" x14ac:dyDescent="0.2">
      <c r="K26" s="21"/>
      <c r="AP26" s="4" t="s">
        <v>66</v>
      </c>
      <c r="AQ26" s="20">
        <v>-0.01</v>
      </c>
    </row>
    <row r="27" spans="1:384" x14ac:dyDescent="0.2">
      <c r="B27" s="4" t="s">
        <v>56</v>
      </c>
      <c r="G27" s="20">
        <f>G6/C6-1</f>
        <v>5.9446353503462612E-2</v>
      </c>
      <c r="H27" s="20">
        <f>H6/D6-1</f>
        <v>0.1393653192293165</v>
      </c>
      <c r="I27" s="20">
        <f>I6/E6-1</f>
        <v>0.11459860461008575</v>
      </c>
      <c r="J27" s="20">
        <f>J6/F6-1</f>
        <v>0.10622466349613036</v>
      </c>
      <c r="K27" s="20">
        <f>K6/G6-1</f>
        <v>9.203615588521008E-2</v>
      </c>
      <c r="L27" s="20">
        <f>L6/H6-1</f>
        <v>4.5442488146158588E-2</v>
      </c>
      <c r="M27" s="20">
        <f>M6/I6-1</f>
        <v>8.1248118156030502E-2</v>
      </c>
      <c r="N27" s="20">
        <f>N6/J6-1</f>
        <v>7.0340757662288089E-2</v>
      </c>
      <c r="O27" s="20">
        <f>O6/K6-1</f>
        <v>7.0016735266180907E-2</v>
      </c>
      <c r="P27" s="20">
        <f>P6/L6-1</f>
        <v>-4.9192026514851106E-2</v>
      </c>
      <c r="Q27" s="20">
        <f>Q6/M6-1</f>
        <v>-0.38119595485856661</v>
      </c>
      <c r="R27" s="20">
        <f>R6/N6-1</f>
        <v>-8.0613606047131969E-2</v>
      </c>
      <c r="S27" s="20">
        <f>S6/O6-1</f>
        <v>-4.8991841738174613E-2</v>
      </c>
      <c r="T27" s="20">
        <f t="shared" ref="T27:Z27" si="110">T6/P6-1</f>
        <v>0.11213036009139876</v>
      </c>
      <c r="U27" s="20">
        <f t="shared" si="110"/>
        <v>0.77553823926482068</v>
      </c>
      <c r="V27" s="20">
        <f t="shared" si="110"/>
        <v>0.31332720736405983</v>
      </c>
      <c r="W27" s="20">
        <f t="shared" si="110"/>
        <v>0.19275787477405393</v>
      </c>
      <c r="X27" s="20">
        <f t="shared" si="110"/>
        <v>0.14511097780443905</v>
      </c>
      <c r="Y27" s="20">
        <f t="shared" si="110"/>
        <v>8.7187354098579473E-2</v>
      </c>
      <c r="Z27" s="20">
        <f t="shared" si="110"/>
        <v>3.2835381197294566E-2</v>
      </c>
      <c r="AA27" s="20"/>
      <c r="AB27" s="20"/>
      <c r="AC27" s="20"/>
      <c r="AG27" s="20">
        <f>AG6/AF6-1</f>
        <v>0.10420026176256436</v>
      </c>
      <c r="AH27" s="20">
        <f>AH6/AG6-1</f>
        <v>7.2380397582465728E-2</v>
      </c>
      <c r="AI27" s="20">
        <f>AI6/AH6-1</f>
        <v>-0.11281621813298315</v>
      </c>
      <c r="AJ27" s="20">
        <f>AJ6/AI6-1</f>
        <v>0.23567480227910509</v>
      </c>
      <c r="AK27" s="20">
        <f>AK6/AJ6-1</f>
        <v>0.10976029400631782</v>
      </c>
      <c r="AL27" s="20">
        <f>AL6/AK6-1</f>
        <v>0.10000000000000009</v>
      </c>
      <c r="AM27" s="20">
        <f>AM6/AL6-1</f>
        <v>0.10000000000000009</v>
      </c>
      <c r="AN27" s="20">
        <f>AN6/AM6-1</f>
        <v>0.10000000000000009</v>
      </c>
      <c r="AP27" s="4" t="s">
        <v>67</v>
      </c>
      <c r="AQ27" s="20">
        <f>WACC!C18</f>
        <v>5.4014401779642437E-2</v>
      </c>
    </row>
    <row r="28" spans="1:384" x14ac:dyDescent="0.2">
      <c r="B28" s="4" t="s">
        <v>57</v>
      </c>
      <c r="G28" s="20">
        <f>G7/C7-1</f>
        <v>9.0588235294117636E-2</v>
      </c>
      <c r="H28" s="20">
        <f>H7/D7-1</f>
        <v>0.17504203250513739</v>
      </c>
      <c r="I28" s="20">
        <f>I7/E7-1</f>
        <v>0.13596549731003527</v>
      </c>
      <c r="J28" s="20">
        <f>J7/F7-1</f>
        <v>-0.14174567407848304</v>
      </c>
      <c r="K28" s="20">
        <f>K7/G7-1</f>
        <v>-0.13068840145431293</v>
      </c>
      <c r="L28" s="20">
        <f>L7/H7-1</f>
        <v>-0.20031796502384736</v>
      </c>
      <c r="M28" s="20">
        <f>M7/I7-1</f>
        <v>-0.13906610826255439</v>
      </c>
      <c r="N28" s="20">
        <f>N7/J7-1</f>
        <v>5.989002823599332E-2</v>
      </c>
      <c r="O28" s="20">
        <f>O7/K7-1</f>
        <v>2.7851824616233145E-2</v>
      </c>
      <c r="P28" s="20">
        <f>P7/L7-1</f>
        <v>-7.107355864811149E-3</v>
      </c>
      <c r="Q28" s="20">
        <f>Q7/M7-1</f>
        <v>-0.32533187852336787</v>
      </c>
      <c r="R28" s="20">
        <f>R7/N7-1</f>
        <v>-7.6088988595999218E-2</v>
      </c>
      <c r="S28" s="20">
        <f>S7/O7-1</f>
        <v>-8.3750670720801335E-2</v>
      </c>
      <c r="T28" s="20">
        <f t="shared" ref="T28:Z28" si="111">T7/P7-1</f>
        <v>-2.653051008659979E-3</v>
      </c>
      <c r="U28" s="20">
        <f t="shared" si="111"/>
        <v>0.48652291105121304</v>
      </c>
      <c r="V28" s="20">
        <f t="shared" si="111"/>
        <v>0.26016794819910971</v>
      </c>
      <c r="W28" s="20">
        <f t="shared" si="111"/>
        <v>0.23317554048118705</v>
      </c>
      <c r="X28" s="20">
        <f t="shared" si="111"/>
        <v>0.23760289098574594</v>
      </c>
      <c r="Y28" s="20">
        <f t="shared" si="111"/>
        <v>0.18476881233000908</v>
      </c>
      <c r="Z28" s="20">
        <f t="shared" si="111"/>
        <v>8.8274256352615321E-2</v>
      </c>
      <c r="AA28" s="20"/>
      <c r="AB28" s="20"/>
      <c r="AC28" s="20"/>
      <c r="AG28" s="20">
        <f>AG7/AF7-1</f>
        <v>6.1422533029411142E-2</v>
      </c>
      <c r="AH28" s="20">
        <f>AH7/AG7-1</f>
        <v>-0.11107636174094349</v>
      </c>
      <c r="AI28" s="20">
        <f>AI7/AH7-1</f>
        <v>-9.7584144482232849E-2</v>
      </c>
      <c r="AJ28" s="20">
        <f>AJ7/AI7-1</f>
        <v>0.13563529090696425</v>
      </c>
      <c r="AK28" s="20">
        <f>AK7/AJ7-1</f>
        <v>4.0000000000000036E-2</v>
      </c>
      <c r="AL28" s="20">
        <f>AL7/AK7-1</f>
        <v>7.4999999999999956E-2</v>
      </c>
      <c r="AM28" s="20">
        <f>AM7/AL7-1</f>
        <v>9.000000000000008E-2</v>
      </c>
      <c r="AN28" s="20">
        <f>AN7/AM7-1</f>
        <v>9.000000000000008E-2</v>
      </c>
      <c r="AP28" s="4" t="s">
        <v>68</v>
      </c>
      <c r="AQ28" s="16">
        <f>NPV(AQ27,AI20:NT20)</f>
        <v>124981.16486778801</v>
      </c>
    </row>
    <row r="29" spans="1:384" x14ac:dyDescent="0.2">
      <c r="B29" s="4" t="s">
        <v>58</v>
      </c>
      <c r="G29" s="20">
        <f>G12/C12-1</f>
        <v>5.4999999999999938E-2</v>
      </c>
      <c r="H29" s="20">
        <f>H12/D12-1</f>
        <v>0.13760437521363333</v>
      </c>
      <c r="I29" s="20">
        <f>I12/E12-1</f>
        <v>0.16471093302804785</v>
      </c>
      <c r="J29" s="20">
        <f>J12/F12-1</f>
        <v>0.4113774398442207</v>
      </c>
      <c r="K29" s="20">
        <f>K12/G12-1</f>
        <v>0.38742968507773412</v>
      </c>
      <c r="L29" s="20">
        <f>L12/H12-1</f>
        <v>0.33047173455809764</v>
      </c>
      <c r="M29" s="20">
        <f>M12/I12-1</f>
        <v>0.30945652619076869</v>
      </c>
      <c r="N29" s="20">
        <f>N12/J12-1</f>
        <v>7.0724656724262536E-2</v>
      </c>
      <c r="O29" s="20">
        <f>O12/K12-1</f>
        <v>7.1861831183756886E-2</v>
      </c>
      <c r="P29" s="20">
        <f>P12/L12-1</f>
        <v>3.9779326364692169E-2</v>
      </c>
      <c r="Q29" s="20">
        <f>Q12/M12-1</f>
        <v>-3.9408250711537751E-2</v>
      </c>
      <c r="R29" s="20">
        <f>R12/N12-1</f>
        <v>-1.1412793373216656E-2</v>
      </c>
      <c r="S29" s="20">
        <f>S12/O12-1</f>
        <v>2.195085629188398E-2</v>
      </c>
      <c r="T29" s="20">
        <f t="shared" ref="T29:Z29" si="112">T12/P12-1</f>
        <v>4.731763318750204E-2</v>
      </c>
      <c r="U29" s="20">
        <f t="shared" si="112"/>
        <v>0.15039234200501417</v>
      </c>
      <c r="V29" s="20">
        <f t="shared" si="112"/>
        <v>0.20510194581510088</v>
      </c>
      <c r="W29" s="20">
        <f t="shared" si="112"/>
        <v>0.17378759617626471</v>
      </c>
      <c r="X29" s="20">
        <f t="shared" si="112"/>
        <v>0.15479646856668827</v>
      </c>
      <c r="Y29" s="20">
        <f t="shared" si="112"/>
        <v>0.11069285633420112</v>
      </c>
      <c r="Z29" s="20">
        <f t="shared" si="112"/>
        <v>8.3075813761845696E-2</v>
      </c>
      <c r="AA29" s="20"/>
      <c r="AB29" s="20"/>
      <c r="AC29" s="20"/>
      <c r="AG29" s="20">
        <f>AG12/AF12-1</f>
        <v>0.1933492868312563</v>
      </c>
      <c r="AH29" s="20">
        <f>AH12/AG12-1</f>
        <v>0.25964678903636318</v>
      </c>
      <c r="AI29" s="20">
        <f>AI12/AH12-1</f>
        <v>1.4595548830464766E-2</v>
      </c>
      <c r="AJ29" s="20">
        <f>AJ12/AI12-1</f>
        <v>0.10478483765729374</v>
      </c>
      <c r="AK29" s="20">
        <f>AK12/AJ12-1</f>
        <v>0.12884061027912552</v>
      </c>
      <c r="AL29" s="20">
        <f>AL12/AK12-1</f>
        <v>7.4999999999999956E-2</v>
      </c>
      <c r="AM29" s="20">
        <f>AM12/AL12-1</f>
        <v>8.9999999999999858E-2</v>
      </c>
      <c r="AN29" s="20">
        <f>AN12/AM12-1</f>
        <v>9.0000000000000302E-2</v>
      </c>
      <c r="AP29" s="4" t="s">
        <v>69</v>
      </c>
      <c r="AQ29" s="16">
        <f>Main!C7-Main!C8</f>
        <v>-11270.7</v>
      </c>
    </row>
    <row r="30" spans="1:384" x14ac:dyDescent="0.2">
      <c r="B30" s="4" t="s">
        <v>59</v>
      </c>
      <c r="G30" s="20">
        <f>G20/C20-1</f>
        <v>1.532800798801798</v>
      </c>
      <c r="H30" s="20">
        <f t="shared" ref="H30:S30" si="113">H20/D20-1</f>
        <v>0.24271844660194364</v>
      </c>
      <c r="I30" s="20">
        <f t="shared" si="113"/>
        <v>0.126832018038332</v>
      </c>
      <c r="J30" s="20">
        <f t="shared" si="113"/>
        <v>4.6787968808021274E-2</v>
      </c>
      <c r="K30" s="20">
        <f t="shared" si="113"/>
        <v>-0.55168335567294791</v>
      </c>
      <c r="L30" s="20">
        <f t="shared" si="113"/>
        <v>-5.7084517045455252E-2</v>
      </c>
      <c r="M30" s="20">
        <f t="shared" si="113"/>
        <v>0.46206436551609076</v>
      </c>
      <c r="N30" s="20">
        <f t="shared" si="113"/>
        <v>2.8201489890031128E-2</v>
      </c>
      <c r="O30" s="20">
        <f t="shared" si="113"/>
        <v>9.3035525852970924E-2</v>
      </c>
      <c r="P30" s="20">
        <f t="shared" si="113"/>
        <v>-0.35599284436493728</v>
      </c>
      <c r="Q30" s="20">
        <f t="shared" si="113"/>
        <v>-1.1364621350364963</v>
      </c>
      <c r="R30" s="20">
        <f t="shared" si="113"/>
        <v>-0.18017940313955494</v>
      </c>
      <c r="S30" s="20">
        <f t="shared" si="113"/>
        <v>-0.14682220434432691</v>
      </c>
      <c r="T30" s="20">
        <f t="shared" ref="T30:T32" si="114">T20/P20-1</f>
        <v>0.53377192982456179</v>
      </c>
      <c r="U30" s="20">
        <f t="shared" ref="U30:U32" si="115">U20/Q20-1</f>
        <v>-7.3832010029252011</v>
      </c>
      <c r="V30" s="20">
        <f t="shared" ref="V30:V32" si="116">V20/R20-1</f>
        <v>1.2878485007890594</v>
      </c>
      <c r="W30" s="20">
        <f t="shared" ref="W30:W32" si="117">W20/S20-1</f>
        <v>0.10740216878830644</v>
      </c>
      <c r="X30" s="20">
        <f t="shared" ref="X30:X32" si="118">X20/T20-1</f>
        <v>-2.3829949480511647E-3</v>
      </c>
      <c r="Y30" s="20">
        <f t="shared" ref="Y30:Y32" si="119">Y20/U20-1</f>
        <v>-0.15960720130932871</v>
      </c>
      <c r="Z30" s="20">
        <f t="shared" ref="Z30:Z32" si="120">Z20/V20-1</f>
        <v>-0.41561666513381812</v>
      </c>
      <c r="AA30" s="20"/>
      <c r="AB30" s="20"/>
      <c r="AC30" s="20"/>
      <c r="AG30" s="20">
        <f>AG20/AF20-1</f>
        <v>0.47919496234102987</v>
      </c>
      <c r="AH30" s="20">
        <f t="shared" ref="AH30:AN30" si="121">AH20/AG20-1</f>
        <v>-0.1465275459098494</v>
      </c>
      <c r="AI30" s="20">
        <f t="shared" si="121"/>
        <v>-0.48395047239011779</v>
      </c>
      <c r="AJ30" s="20">
        <f t="shared" si="121"/>
        <v>1.2029034948070638</v>
      </c>
      <c r="AK30" s="20">
        <f t="shared" si="121"/>
        <v>3.320130082419892E-2</v>
      </c>
      <c r="AL30" s="20">
        <f t="shared" si="121"/>
        <v>0.14513071040206138</v>
      </c>
      <c r="AM30" s="20">
        <f t="shared" si="121"/>
        <v>7.2409055612454365E-2</v>
      </c>
      <c r="AN30" s="20">
        <f t="shared" si="121"/>
        <v>0.13921988788382733</v>
      </c>
      <c r="AP30" s="4" t="s">
        <v>70</v>
      </c>
      <c r="AQ30" s="16">
        <f>AQ28+AQ29</f>
        <v>113710.46486778802</v>
      </c>
    </row>
    <row r="31" spans="1:384" x14ac:dyDescent="0.2">
      <c r="B31" s="4" t="s">
        <v>60</v>
      </c>
      <c r="G31" s="20">
        <f>G21/C21-1</f>
        <v>-2.441346480788853E-2</v>
      </c>
      <c r="H31" s="20">
        <f t="shared" ref="H31:S31" si="122">H21/D21-1</f>
        <v>-3.9732386673948739E-2</v>
      </c>
      <c r="I31" s="20">
        <f t="shared" si="122"/>
        <v>-4.8581608880361893E-2</v>
      </c>
      <c r="J31" s="20">
        <f t="shared" si="122"/>
        <v>-7.063120176405735E-2</v>
      </c>
      <c r="K31" s="20">
        <f t="shared" si="122"/>
        <v>-0.12630698452530309</v>
      </c>
      <c r="L31" s="20">
        <f t="shared" si="122"/>
        <v>-0.11083463671264027</v>
      </c>
      <c r="M31" s="20">
        <f t="shared" si="122"/>
        <v>-0.1191933741447605</v>
      </c>
      <c r="N31" s="20">
        <f t="shared" si="122"/>
        <v>-0.1061021724623713</v>
      </c>
      <c r="O31" s="20">
        <f t="shared" si="122"/>
        <v>-4.9784585926280545E-2</v>
      </c>
      <c r="P31" s="20">
        <f t="shared" si="122"/>
        <v>-5.5968657551771051E-2</v>
      </c>
      <c r="Q31" s="20">
        <f t="shared" si="122"/>
        <v>-4.4562551103842996E-2</v>
      </c>
      <c r="R31" s="20">
        <f t="shared" si="122"/>
        <v>-2.2063702720636957E-2</v>
      </c>
      <c r="S31" s="20">
        <f t="shared" si="122"/>
        <v>-6.7170445004197665E-3</v>
      </c>
      <c r="T31" s="20">
        <f t="shared" si="114"/>
        <v>3.4725163038873408E-3</v>
      </c>
      <c r="U31" s="20">
        <f t="shared" si="115"/>
        <v>1.5147625160462086E-2</v>
      </c>
      <c r="V31" s="20">
        <f t="shared" si="116"/>
        <v>7.5487701441900867E-3</v>
      </c>
      <c r="W31" s="20">
        <f t="shared" si="117"/>
        <v>-5.4099746407439975E-3</v>
      </c>
      <c r="X31" s="20">
        <f t="shared" si="118"/>
        <v>-2.6080351114111999E-2</v>
      </c>
      <c r="Y31" s="20">
        <f t="shared" si="119"/>
        <v>-2.9674591131343853E-2</v>
      </c>
      <c r="Z31" s="20">
        <f t="shared" si="120"/>
        <v>-2.9800488256587321E-2</v>
      </c>
      <c r="AA31" s="20"/>
      <c r="AB31" s="20"/>
      <c r="AC31" s="20"/>
      <c r="AG31" s="20">
        <f>AG21/AF21-1</f>
        <v>-7.063120176405735E-2</v>
      </c>
      <c r="AH31" s="20">
        <f t="shared" ref="AH31:AN31" si="123">AH21/AG21-1</f>
        <v>-0.1061021724623713</v>
      </c>
      <c r="AI31" s="20">
        <f t="shared" si="123"/>
        <v>-2.2063702720636957E-2</v>
      </c>
      <c r="AJ31" s="20">
        <f t="shared" si="123"/>
        <v>7.5487701441900867E-3</v>
      </c>
      <c r="AK31" s="20">
        <f t="shared" si="123"/>
        <v>-2.9800488256587321E-2</v>
      </c>
      <c r="AL31" s="20">
        <f t="shared" si="123"/>
        <v>-1.000000000000012E-2</v>
      </c>
      <c r="AM31" s="20">
        <f t="shared" si="123"/>
        <v>-1.0000000000000009E-2</v>
      </c>
      <c r="AN31" s="20">
        <f t="shared" si="123"/>
        <v>-1.0000000000000009E-2</v>
      </c>
      <c r="AP31" s="4" t="s">
        <v>71</v>
      </c>
      <c r="AQ31" s="8">
        <f>AQ30/Main!C5</f>
        <v>98.664177759468998</v>
      </c>
    </row>
    <row r="32" spans="1:384" x14ac:dyDescent="0.2">
      <c r="B32" s="4" t="s">
        <v>61</v>
      </c>
      <c r="G32" s="20">
        <f>G22/C22-1</f>
        <v>1.5961826116255713</v>
      </c>
      <c r="H32" s="20">
        <f t="shared" ref="H32:S32" si="124">H22/D22-1</f>
        <v>0.29413762305028235</v>
      </c>
      <c r="I32" s="20">
        <f t="shared" si="124"/>
        <v>0.18437064971202122</v>
      </c>
      <c r="J32" s="20">
        <f t="shared" si="124"/>
        <v>0.12634292306235673</v>
      </c>
      <c r="K32" s="20">
        <f t="shared" si="124"/>
        <v>-0.48687166271614091</v>
      </c>
      <c r="L32" s="20">
        <f t="shared" si="124"/>
        <v>6.0450082612826694E-2</v>
      </c>
      <c r="M32" s="20">
        <f t="shared" si="124"/>
        <v>0.65991526698208669</v>
      </c>
      <c r="N32" s="20">
        <f t="shared" si="124"/>
        <v>0.15024498126632801</v>
      </c>
      <c r="O32" s="20">
        <f t="shared" si="124"/>
        <v>0.15030287834098566</v>
      </c>
      <c r="P32" s="20">
        <f t="shared" si="124"/>
        <v>-0.31781167989093506</v>
      </c>
      <c r="Q32" s="20">
        <f t="shared" si="124"/>
        <v>-1.1428268644840693</v>
      </c>
      <c r="R32" s="20">
        <f t="shared" si="124"/>
        <v>-0.16168302665398437</v>
      </c>
      <c r="S32" s="20">
        <f t="shared" si="124"/>
        <v>-0.1410526165461482</v>
      </c>
      <c r="T32" s="20">
        <f t="shared" si="114"/>
        <v>0.52846431257922033</v>
      </c>
      <c r="U32" s="20">
        <f t="shared" si="115"/>
        <v>-7.2879534411718918</v>
      </c>
      <c r="V32" s="20">
        <f t="shared" si="116"/>
        <v>1.2707074521679442</v>
      </c>
      <c r="W32" s="20">
        <f t="shared" si="117"/>
        <v>0.11342577398994269</v>
      </c>
      <c r="X32" s="20">
        <f t="shared" si="118"/>
        <v>2.4331941750193931E-2</v>
      </c>
      <c r="Y32" s="20">
        <f t="shared" si="119"/>
        <v>-0.13390622258308038</v>
      </c>
      <c r="Z32" s="20">
        <f t="shared" si="120"/>
        <v>-0.39766684296092203</v>
      </c>
      <c r="AA32" s="20"/>
      <c r="AB32" s="20"/>
      <c r="AC32" s="20"/>
      <c r="AG32" s="20">
        <f>AG22/AF22-1</f>
        <v>0.59161246337161888</v>
      </c>
      <c r="AH32" s="20">
        <f t="shared" ref="AH32:AN32" si="125">AH22/AG22-1</f>
        <v>-4.52237070078082E-2</v>
      </c>
      <c r="AI32" s="20">
        <f t="shared" si="125"/>
        <v>-0.47230762469340637</v>
      </c>
      <c r="AJ32" s="20">
        <f t="shared" si="125"/>
        <v>1.1863988722767305</v>
      </c>
      <c r="AK32" s="20">
        <f t="shared" si="125"/>
        <v>6.4936941647779634E-2</v>
      </c>
      <c r="AL32" s="20">
        <f t="shared" si="125"/>
        <v>0.15669768727480959</v>
      </c>
      <c r="AM32" s="20">
        <f t="shared" si="125"/>
        <v>8.3241470315610355E-2</v>
      </c>
      <c r="AN32" s="20">
        <f t="shared" si="125"/>
        <v>0.15072715947861348</v>
      </c>
      <c r="AP32" s="4" t="s">
        <v>72</v>
      </c>
      <c r="AQ32" s="8">
        <f>Main!C4</f>
        <v>107.23</v>
      </c>
    </row>
    <row r="33" spans="2:43" x14ac:dyDescent="0.2">
      <c r="B33" s="4" t="s">
        <v>62</v>
      </c>
      <c r="C33" s="20">
        <f>C8/C6</f>
        <v>0.59967904550925355</v>
      </c>
      <c r="D33" s="20">
        <f>D8/D6</f>
        <v>0.59554212315829236</v>
      </c>
      <c r="E33" s="20">
        <f>E8/E6</f>
        <v>0.60273779033824959</v>
      </c>
      <c r="F33" s="20">
        <f>F8/F6</f>
        <v>0.58722776968569579</v>
      </c>
      <c r="G33" s="20">
        <f>G8/G6</f>
        <v>0.58791181652040758</v>
      </c>
      <c r="H33" s="20">
        <f>H8/H6</f>
        <v>0.58287741635995893</v>
      </c>
      <c r="I33" s="20">
        <f>I8/I6</f>
        <v>0.5951222604313583</v>
      </c>
      <c r="J33" s="20">
        <f>J8/J6</f>
        <v>0.67975442604226166</v>
      </c>
      <c r="K33" s="20">
        <f>K8/K6</f>
        <v>0.67195862921585481</v>
      </c>
      <c r="L33" s="20">
        <f>L8/L6</f>
        <v>0.68093372873023672</v>
      </c>
      <c r="M33" s="20">
        <f>M8/M6</f>
        <v>0.67761981533049975</v>
      </c>
      <c r="N33" s="20">
        <f>N8/N6</f>
        <v>0.68288128056914177</v>
      </c>
      <c r="O33" s="20">
        <f>O8/O6</f>
        <v>0.68488537571684194</v>
      </c>
      <c r="P33" s="20">
        <f>P8/P6</f>
        <v>0.66681121470387117</v>
      </c>
      <c r="Q33" s="20">
        <f>Q8/Q6</f>
        <v>0.64851614125672064</v>
      </c>
      <c r="R33" s="20">
        <f>R8/R6</f>
        <v>0.68132063000757681</v>
      </c>
      <c r="S33" s="20">
        <f>S8/S6</f>
        <v>0.69640264319791401</v>
      </c>
      <c r="T33" s="20">
        <f t="shared" ref="T33:Z33" si="126">T8/T6</f>
        <v>0.70119976004799045</v>
      </c>
      <c r="U33" s="20">
        <f t="shared" si="126"/>
        <v>0.70572934035883417</v>
      </c>
      <c r="V33" s="20">
        <f t="shared" si="126"/>
        <v>0.69421974541839038</v>
      </c>
      <c r="W33" s="20">
        <f t="shared" si="126"/>
        <v>0.68611497565338375</v>
      </c>
      <c r="X33" s="20">
        <f t="shared" si="126"/>
        <v>0.67706532558017707</v>
      </c>
      <c r="Y33" s="20">
        <f t="shared" si="126"/>
        <v>0.67931681819854972</v>
      </c>
      <c r="Z33" s="20">
        <f t="shared" si="126"/>
        <v>0.67780656509234383</v>
      </c>
      <c r="AA33" s="20"/>
      <c r="AB33" s="20"/>
      <c r="AC33" s="20"/>
      <c r="AF33" s="20">
        <f>AF8/AF6</f>
        <v>0.59630494892056451</v>
      </c>
      <c r="AG33" s="20">
        <f>AG8/AG6</f>
        <v>0.61194446467147268</v>
      </c>
      <c r="AH33" s="20">
        <f>AH8/AH6</f>
        <v>0.67833080585168593</v>
      </c>
      <c r="AI33" s="20">
        <f>AI8/AI6</f>
        <v>0.6728080619100264</v>
      </c>
      <c r="AJ33" s="20">
        <f>AJ8/AJ6</f>
        <v>0.69929733040611686</v>
      </c>
      <c r="AK33" s="20">
        <f>AK8/AK6</f>
        <v>0.71819970666939525</v>
      </c>
      <c r="AL33" s="20">
        <f>AL8/AL6</f>
        <v>0.72460425879054535</v>
      </c>
      <c r="AM33" s="20">
        <f>AM8/AM6</f>
        <v>0.7271078564379041</v>
      </c>
      <c r="AN33" s="20">
        <f>AN8/AN6</f>
        <v>0.7295886941066505</v>
      </c>
      <c r="AP33" s="4" t="s">
        <v>73</v>
      </c>
      <c r="AQ33" s="22">
        <f>AQ31/AQ32-1</f>
        <v>-7.9882702979865772E-2</v>
      </c>
    </row>
    <row r="34" spans="2:43" x14ac:dyDescent="0.2">
      <c r="B34" s="4" t="s">
        <v>63</v>
      </c>
      <c r="C34" s="20">
        <f>C14/C6</f>
        <v>0.24111706117322818</v>
      </c>
      <c r="D34" s="20">
        <f>D14/D6</f>
        <v>0.22459387986399684</v>
      </c>
      <c r="E34" s="20">
        <f>E14/E6</f>
        <v>0.25028702640642941</v>
      </c>
      <c r="F34" s="20">
        <f>F14/F6</f>
        <v>0.2301037151431129</v>
      </c>
      <c r="G34" s="20">
        <f>G14/G6</f>
        <v>0.23091361114312528</v>
      </c>
      <c r="H34" s="20">
        <f>H14/H6</f>
        <v>0.20537816240591539</v>
      </c>
      <c r="I34" s="20">
        <f>I14/I6</f>
        <v>0.21949828058887855</v>
      </c>
      <c r="J34" s="20">
        <f>J14/J6</f>
        <v>0.2107367218732154</v>
      </c>
      <c r="K34" s="20">
        <f>K14/K6</f>
        <v>0.20991451445112855</v>
      </c>
      <c r="L34" s="20">
        <f>L14/L6</f>
        <v>0.19927369606241771</v>
      </c>
      <c r="M34" s="20">
        <f>M14/M6</f>
        <v>0.22015242561922907</v>
      </c>
      <c r="N34" s="20">
        <f>N14/N6</f>
        <v>0.21339854750259371</v>
      </c>
      <c r="O34" s="20">
        <f>O14/O6</f>
        <v>0.22221752546814885</v>
      </c>
      <c r="P34" s="20">
        <f>P14/P6</f>
        <v>0.14060076388078122</v>
      </c>
      <c r="Q34" s="20">
        <f>Q14/Q6</f>
        <v>-6.2717604983302103E-2</v>
      </c>
      <c r="R34" s="20">
        <f>R14/R6</f>
        <v>0.1799422869210556</v>
      </c>
      <c r="S34" s="20">
        <f>S14/S6</f>
        <v>0.20028446973064284</v>
      </c>
      <c r="T34" s="20">
        <f t="shared" ref="T34:Z34" si="127">T14/T6</f>
        <v>0.20655368926214759</v>
      </c>
      <c r="U34" s="20">
        <f t="shared" si="127"/>
        <v>0.24848929500433531</v>
      </c>
      <c r="V34" s="20">
        <f t="shared" si="127"/>
        <v>0.2322903752439639</v>
      </c>
      <c r="W34" s="20">
        <f t="shared" si="127"/>
        <v>0.19083523800059624</v>
      </c>
      <c r="X34" s="20">
        <f t="shared" si="127"/>
        <v>0.17300539577767296</v>
      </c>
      <c r="Y34" s="20">
        <f t="shared" si="127"/>
        <v>0.20445147912295555</v>
      </c>
      <c r="Z34" s="20">
        <f t="shared" si="127"/>
        <v>0.18872857788025002</v>
      </c>
      <c r="AA34" s="20"/>
      <c r="AB34" s="20"/>
      <c r="AC34" s="20"/>
      <c r="AF34" s="20">
        <f>AF14/AF6</f>
        <v>0.23672537712123715</v>
      </c>
      <c r="AG34" s="20">
        <f>AG14/AG6</f>
        <v>0.21662338082639546</v>
      </c>
      <c r="AH34" s="20">
        <f>AH14/AH6</f>
        <v>0.21090514021864612</v>
      </c>
      <c r="AI34" s="20">
        <f>AI14/AI6</f>
        <v>0.13910621651500985</v>
      </c>
      <c r="AJ34" s="20">
        <f>AJ14/AJ6</f>
        <v>0.22313028636710874</v>
      </c>
      <c r="AK34" s="20">
        <f>AK14/AK6</f>
        <v>0.22761822370644608</v>
      </c>
      <c r="AL34" s="20">
        <f>AL14/AL6</f>
        <v>0.24500738118574222</v>
      </c>
      <c r="AM34" s="20">
        <f>AM14/AM6</f>
        <v>0.2516189904620787</v>
      </c>
      <c r="AN34" s="20">
        <f>AN14/AN6</f>
        <v>0.25818194692615787</v>
      </c>
    </row>
    <row r="35" spans="2:43" x14ac:dyDescent="0.2">
      <c r="B35" s="4" t="s">
        <v>35</v>
      </c>
      <c r="C35" s="20">
        <f t="shared" ref="C35:R35" si="128">C18/C17</f>
        <v>0.27585708086214383</v>
      </c>
      <c r="D35" s="20">
        <f t="shared" si="128"/>
        <v>0.2654781199351704</v>
      </c>
      <c r="E35" s="20">
        <f t="shared" si="128"/>
        <v>0.25336794835812521</v>
      </c>
      <c r="F35" s="20">
        <f t="shared" si="128"/>
        <v>0.25164873307879204</v>
      </c>
      <c r="G35" s="20">
        <f t="shared" si="128"/>
        <v>0.22956595692980591</v>
      </c>
      <c r="H35" s="20">
        <f t="shared" si="128"/>
        <v>0.12153834152429982</v>
      </c>
      <c r="I35" s="20">
        <f t="shared" si="128"/>
        <v>0.1272475795297372</v>
      </c>
      <c r="J35" s="20">
        <f t="shared" si="128"/>
        <v>0.13461685970698772</v>
      </c>
      <c r="K35" s="20">
        <f t="shared" si="128"/>
        <v>0.15282020713806715</v>
      </c>
      <c r="L35" s="20">
        <f t="shared" si="128"/>
        <v>0.13225038969562725</v>
      </c>
      <c r="M35" s="20">
        <f t="shared" si="128"/>
        <v>0.1475919716187977</v>
      </c>
      <c r="N35" s="20">
        <f t="shared" si="128"/>
        <v>0.14810731348768838</v>
      </c>
      <c r="O35" s="20">
        <f t="shared" si="128"/>
        <v>0.17220704816467935</v>
      </c>
      <c r="P35" s="20">
        <f t="shared" si="128"/>
        <v>8.7691069991954973E-2</v>
      </c>
      <c r="Q35" s="20">
        <f t="shared" si="128"/>
        <v>0.35907750067042116</v>
      </c>
      <c r="R35" s="20">
        <f t="shared" si="128"/>
        <v>4.968509447165851E-2</v>
      </c>
      <c r="S35" s="20">
        <f t="shared" ref="S35:Z35" si="129">S18/S17</f>
        <v>0.14928605807797199</v>
      </c>
      <c r="T35" s="20">
        <f t="shared" ref="T35:Z35" si="130">T18/T17</f>
        <v>0.18013441700531413</v>
      </c>
      <c r="U35" s="20">
        <f t="shared" si="130"/>
        <v>0.14400134423658567</v>
      </c>
      <c r="V35" s="20">
        <f t="shared" si="130"/>
        <v>0.18172924975543678</v>
      </c>
      <c r="W35" s="20">
        <f t="shared" si="130"/>
        <v>0.17334084031247801</v>
      </c>
      <c r="X35" s="20">
        <f t="shared" si="130"/>
        <v>0.16111200128184591</v>
      </c>
      <c r="Y35" s="20">
        <f t="shared" si="130"/>
        <v>0.17818298144593728</v>
      </c>
      <c r="Z35" s="20">
        <f t="shared" si="130"/>
        <v>0.14909285666465827</v>
      </c>
      <c r="AA35" s="20"/>
      <c r="AB35" s="20"/>
      <c r="AC35" s="20"/>
      <c r="AF35" s="20">
        <f t="shared" ref="AF35:AN35" si="131">AF18/AF17</f>
        <v>0.26131368221366941</v>
      </c>
      <c r="AG35" s="20">
        <f t="shared" si="131"/>
        <v>0.17401676871311156</v>
      </c>
      <c r="AH35" s="20">
        <f t="shared" si="131"/>
        <v>0.1457552849879582</v>
      </c>
      <c r="AI35" s="20">
        <f t="shared" si="131"/>
        <v>8.3394217722575867E-2</v>
      </c>
      <c r="AJ35" s="20">
        <f t="shared" si="131"/>
        <v>0.16596837604384881</v>
      </c>
      <c r="AK35" s="20">
        <f t="shared" si="131"/>
        <v>0.13639194841779018</v>
      </c>
      <c r="AL35" s="20">
        <f t="shared" si="131"/>
        <v>0.17</v>
      </c>
      <c r="AM35" s="20">
        <f t="shared" si="131"/>
        <v>0.17</v>
      </c>
      <c r="AN35" s="20">
        <f t="shared" si="131"/>
        <v>0.17</v>
      </c>
    </row>
  </sheetData>
  <phoneticPr fontId="8" type="noConversion"/>
  <conditionalFormatting sqref="AQ33">
    <cfRule type="cellIs" dxfId="0" priority="2" operator="greaterThan">
      <formula>0</formula>
    </cfRule>
    <cfRule type="cellIs" dxfId="1" priority="1" operator="lessThan">
      <formula>0</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53E58-2C69-482B-B11F-ECB1CFFD7E6C}">
  <dimension ref="B3:D18"/>
  <sheetViews>
    <sheetView workbookViewId="0">
      <selection activeCell="G9" sqref="G9"/>
    </sheetView>
  </sheetViews>
  <sheetFormatPr defaultRowHeight="14.25" x14ac:dyDescent="0.2"/>
  <cols>
    <col min="1" max="1" width="9.140625" style="4"/>
    <col min="2" max="2" width="16.140625" style="4" bestFit="1" customWidth="1"/>
    <col min="3" max="3" width="9.140625" style="4"/>
    <col min="4" max="4" width="16.7109375" style="4" bestFit="1" customWidth="1"/>
    <col min="5" max="16384" width="9.140625" style="4"/>
  </cols>
  <sheetData>
    <row r="3" spans="2:4" x14ac:dyDescent="0.2">
      <c r="B3" s="4" t="s">
        <v>7</v>
      </c>
      <c r="C3" s="16">
        <f>Main!C8</f>
        <v>15043.9</v>
      </c>
    </row>
    <row r="4" spans="2:4" x14ac:dyDescent="0.2">
      <c r="B4" s="4" t="s">
        <v>10</v>
      </c>
      <c r="C4" s="16">
        <f>Main!C6</f>
        <v>123582.57500000001</v>
      </c>
    </row>
    <row r="5" spans="2:4" x14ac:dyDescent="0.2">
      <c r="B5" s="4" t="s">
        <v>11</v>
      </c>
      <c r="C5" s="16">
        <f>+C3+C4</f>
        <v>138626.47500000001</v>
      </c>
    </row>
    <row r="6" spans="2:4" x14ac:dyDescent="0.2">
      <c r="B6" s="4" t="s">
        <v>12</v>
      </c>
      <c r="C6" s="23">
        <f>C3/C5</f>
        <v>0.1085211176292263</v>
      </c>
    </row>
    <row r="7" spans="2:4" x14ac:dyDescent="0.2">
      <c r="B7" s="4" t="s">
        <v>13</v>
      </c>
      <c r="C7" s="23">
        <f>C4/C5</f>
        <v>0.89147888237077377</v>
      </c>
    </row>
    <row r="9" spans="2:4" x14ac:dyDescent="0.2">
      <c r="B9" s="4" t="s">
        <v>14</v>
      </c>
      <c r="C9" s="20">
        <f>AVERAGE(DCF!AF35:AK35)</f>
        <v>0.16114004634982568</v>
      </c>
      <c r="D9" s="4" t="s">
        <v>64</v>
      </c>
    </row>
    <row r="10" spans="2:4" x14ac:dyDescent="0.2">
      <c r="B10" s="4" t="s">
        <v>15</v>
      </c>
      <c r="C10" s="16">
        <v>482.9</v>
      </c>
      <c r="D10" s="25" t="s">
        <v>84</v>
      </c>
    </row>
    <row r="11" spans="2:4" x14ac:dyDescent="0.2">
      <c r="B11" s="4" t="s">
        <v>16</v>
      </c>
      <c r="C11" s="23">
        <f>(C10*(1-C9))/C3</f>
        <v>2.6926892070385282E-2</v>
      </c>
    </row>
    <row r="13" spans="2:4" x14ac:dyDescent="0.2">
      <c r="B13" s="4" t="s">
        <v>17</v>
      </c>
      <c r="C13" s="23">
        <f>'[1]T-Bond Yields'!$C$7</f>
        <v>3.5999999999999997E-2</v>
      </c>
    </row>
    <row r="14" spans="2:4" x14ac:dyDescent="0.2">
      <c r="B14" s="4" t="s">
        <v>18</v>
      </c>
      <c r="C14" s="4">
        <v>0.91</v>
      </c>
      <c r="D14" s="25" t="s">
        <v>85</v>
      </c>
    </row>
    <row r="15" spans="2:4" x14ac:dyDescent="0.2">
      <c r="B15" s="4" t="s">
        <v>19</v>
      </c>
      <c r="C15" s="20">
        <v>0.06</v>
      </c>
      <c r="D15" s="4" t="s">
        <v>20</v>
      </c>
    </row>
    <row r="16" spans="2:4" x14ac:dyDescent="0.2">
      <c r="B16" s="4" t="s">
        <v>21</v>
      </c>
      <c r="C16" s="23">
        <f>(C13+C14*(C15-C13))</f>
        <v>5.7840000000000003E-2</v>
      </c>
    </row>
    <row r="18" spans="2:3" x14ac:dyDescent="0.2">
      <c r="B18" s="4" t="s">
        <v>22</v>
      </c>
      <c r="C18" s="23">
        <f>(C7*C16)+(C6*C11)*(1-C9)</f>
        <v>5.4014401779642437E-2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DCF</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dc:creator>
  <cp:lastModifiedBy>William S</cp:lastModifiedBy>
  <dcterms:created xsi:type="dcterms:W3CDTF">2020-12-06T18:12:57Z</dcterms:created>
  <dcterms:modified xsi:type="dcterms:W3CDTF">2023-01-14T18:06:28Z</dcterms:modified>
</cp:coreProperties>
</file>