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E07269CD-0B39-4327-8E36-2DE0427CBFBE}" xr6:coauthVersionLast="47" xr6:coauthVersionMax="47" xr10:uidLastSave="{00000000-0000-0000-0000-000000000000}"/>
  <bookViews>
    <workbookView xWindow="-28905" yWindow="0" windowWidth="16020" windowHeight="15585" activeTab="1" xr2:uid="{4588CD03-294E-421F-A4EF-704A3E6AC4BE}"/>
  </bookViews>
  <sheets>
    <sheet name="T-Bond Yields" sheetId="2" r:id="rId1"/>
    <sheet name="All" sheetId="1" r:id="rId2"/>
    <sheet name="Communication" sheetId="12" r:id="rId3"/>
    <sheet name="Discretionary" sheetId="5" r:id="rId4"/>
    <sheet name="Staples" sheetId="6" r:id="rId5"/>
    <sheet name="Energy" sheetId="8" r:id="rId6"/>
    <sheet name="Financials" sheetId="11" r:id="rId7"/>
    <sheet name="Health Care" sheetId="7" r:id="rId8"/>
    <sheet name="Industrials" sheetId="10" r:id="rId9"/>
    <sheet name="Materials" sheetId="9" r:id="rId10"/>
    <sheet name="Real Estate" sheetId="14" r:id="rId11"/>
    <sheet name="Tech" sheetId="4" r:id="rId12"/>
    <sheet name="Utilities" sheetId="13" r:id="rId13"/>
    <sheet name="Screens"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s>
  <definedNames>
    <definedName name="_xlnm._FilterDatabase" localSheetId="1" hidden="1">All!$B$2:$V$22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24" i="1" l="1"/>
  <c r="V24" i="1" s="1"/>
  <c r="S24" i="1"/>
  <c r="Q24" i="1"/>
  <c r="P24" i="1"/>
  <c r="O24" i="1"/>
  <c r="N24" i="1"/>
  <c r="M24" i="1"/>
  <c r="L24" i="1"/>
  <c r="K24" i="1"/>
  <c r="J24" i="1"/>
  <c r="T24" i="1" a="1"/>
  <c r="T24" i="1" s="1"/>
  <c r="I24" i="1"/>
  <c r="U19" i="1" l="1"/>
  <c r="R19" i="1"/>
  <c r="Q19" i="1"/>
  <c r="P19" i="1" l="1"/>
  <c r="O19" i="1"/>
  <c r="N19" i="1"/>
  <c r="M19" i="1"/>
  <c r="K19" i="1" l="1"/>
  <c r="T19" i="1" a="1"/>
  <c r="T19" i="1" s="1"/>
  <c r="S19" i="1" s="1"/>
  <c r="I19" i="1"/>
  <c r="V19" i="1" l="1"/>
  <c r="J19" i="1"/>
  <c r="L19" i="1" s="1"/>
  <c r="E7" i="2"/>
  <c r="B3" i="13" a="1"/>
  <c r="B3" i="13" s="1"/>
  <c r="B3" i="14" a="1"/>
  <c r="B3" i="14" s="1"/>
  <c r="B3" i="9" a="1"/>
  <c r="B3" i="9" s="1"/>
  <c r="B3" i="10" a="1"/>
  <c r="B3" i="10" s="1"/>
  <c r="B3" i="11" a="1"/>
  <c r="B3" i="11" s="1"/>
  <c r="B3" i="8" a="1"/>
  <c r="B3" i="8" s="1"/>
  <c r="U21" i="1"/>
  <c r="Q21" i="1"/>
  <c r="P21" i="1"/>
  <c r="O21" i="1"/>
  <c r="N21" i="1"/>
  <c r="M21" i="1"/>
  <c r="T21" i="1" a="1"/>
  <c r="T21" i="1" s="1"/>
  <c r="S21" i="1" s="1"/>
  <c r="K21" i="1"/>
  <c r="I21" i="1"/>
  <c r="P3" i="1"/>
  <c r="O3" i="1"/>
  <c r="N3" i="1"/>
  <c r="M3" i="1"/>
  <c r="K3" i="1"/>
  <c r="T3" i="1" a="1"/>
  <c r="T3" i="1" s="1"/>
  <c r="S3" i="1" s="1"/>
  <c r="I3" i="1"/>
  <c r="J21" i="1" l="1"/>
  <c r="L21" i="1" s="1"/>
  <c r="V21" i="1"/>
  <c r="J3" i="1"/>
  <c r="L3" i="1" s="1"/>
  <c r="Q3" i="1"/>
  <c r="U3" i="1" l="1"/>
  <c r="V3" i="1" s="1"/>
  <c r="P7" i="1" l="1"/>
  <c r="O7" i="1"/>
  <c r="N7" i="1"/>
  <c r="M7" i="1"/>
  <c r="I7" i="1"/>
  <c r="Q7" i="1" l="1"/>
  <c r="U7" i="1" l="1"/>
  <c r="F17" i="1" l="1" a="1"/>
  <c r="F17" i="1" s="1"/>
  <c r="F7" i="1" a="1"/>
  <c r="F7" i="1" s="1"/>
  <c r="F8" i="1" a="1"/>
  <c r="F8" i="1" s="1"/>
  <c r="R5" i="1"/>
  <c r="P5" i="1"/>
  <c r="O5" i="1"/>
  <c r="N5" i="1"/>
  <c r="M5" i="1"/>
  <c r="K5" i="1"/>
  <c r="I5" i="1"/>
  <c r="Q5" i="1" l="1"/>
  <c r="U5" i="1" l="1"/>
  <c r="U4" i="1" l="1"/>
  <c r="Q4" i="1"/>
  <c r="P4" i="1"/>
  <c r="O4" i="1"/>
  <c r="N4" i="1"/>
  <c r="M4" i="1"/>
  <c r="K4" i="1"/>
  <c r="T4" i="1" a="1"/>
  <c r="T4" i="1" s="1"/>
  <c r="S4" i="1" s="1"/>
  <c r="I4" i="1"/>
  <c r="J4" i="1" l="1"/>
  <c r="L4" i="1" s="1"/>
  <c r="V4" i="1"/>
  <c r="U10" i="1"/>
  <c r="Q10" i="1"/>
  <c r="P10" i="1"/>
  <c r="O10" i="1"/>
  <c r="N10" i="1"/>
  <c r="M10" i="1"/>
  <c r="K10" i="1"/>
  <c r="I10" i="1"/>
  <c r="U17" i="1" l="1"/>
  <c r="Q17" i="1"/>
  <c r="P17" i="1"/>
  <c r="O17" i="1"/>
  <c r="N17" i="1"/>
  <c r="M17" i="1"/>
  <c r="I17" i="1"/>
  <c r="K7" i="1" l="1"/>
  <c r="U8" i="1" l="1"/>
  <c r="Q8" i="1" l="1"/>
  <c r="P8" i="1"/>
  <c r="O8" i="1"/>
  <c r="N8" i="1"/>
  <c r="M8" i="1"/>
  <c r="K8" i="1"/>
  <c r="I8" i="1"/>
  <c r="F10" i="1" l="1" a="1"/>
  <c r="F10" i="1" s="1"/>
  <c r="F5" i="1" a="1"/>
  <c r="F5" i="1" s="1"/>
  <c r="T8" i="1" a="1"/>
  <c r="T8" i="1" s="1"/>
  <c r="J8" i="1" s="1"/>
  <c r="T10" i="1" a="1"/>
  <c r="T10" i="1" s="1"/>
  <c r="T5" i="1" a="1"/>
  <c r="T5" i="1" s="1"/>
  <c r="F4" i="1" a="1"/>
  <c r="F4" i="1" s="1"/>
  <c r="F12" i="1" a="1"/>
  <c r="F12" i="1" s="1"/>
  <c r="F9" i="1" a="1"/>
  <c r="F9" i="1" s="1"/>
  <c r="F20" i="1" a="1"/>
  <c r="F20" i="1" s="1"/>
  <c r="F23" i="1" a="1"/>
  <c r="F23" i="1" s="1"/>
  <c r="F18" i="1" a="1"/>
  <c r="F18" i="1" s="1"/>
  <c r="F13" i="1" a="1"/>
  <c r="F13" i="1" s="1"/>
  <c r="F15" i="1" a="1"/>
  <c r="F15" i="1" s="1"/>
  <c r="F16" i="1" a="1"/>
  <c r="F16" i="1" s="1"/>
  <c r="F22" i="1" a="1"/>
  <c r="F22" i="1" s="1"/>
  <c r="F11" i="1" a="1"/>
  <c r="F11" i="1" s="1"/>
  <c r="F6" i="1" a="1"/>
  <c r="F6" i="1" s="1"/>
  <c r="F14" i="1" a="1"/>
  <c r="F14" i="1" s="1"/>
  <c r="I14" i="1"/>
  <c r="P12" i="1"/>
  <c r="O12" i="1"/>
  <c r="N12" i="1"/>
  <c r="M12" i="1"/>
  <c r="K12" i="1"/>
  <c r="K14" i="1"/>
  <c r="J10" i="1" l="1"/>
  <c r="V10" i="1"/>
  <c r="V5" i="1"/>
  <c r="S5" i="1"/>
  <c r="J5" i="1"/>
  <c r="T6" i="1" a="1"/>
  <c r="T6" i="1" s="1"/>
  <c r="R11" i="1"/>
  <c r="R22" i="1"/>
  <c r="R16" i="1"/>
  <c r="R15" i="1"/>
  <c r="R17" i="1"/>
  <c r="R18" i="1"/>
  <c r="R23" i="1"/>
  <c r="R12" i="1"/>
  <c r="R6" i="1"/>
  <c r="P6" i="1"/>
  <c r="O6" i="1"/>
  <c r="N6" i="1"/>
  <c r="M6" i="1"/>
  <c r="K6" i="1"/>
  <c r="I6" i="1"/>
  <c r="S6" i="1" l="1"/>
  <c r="J6" i="1"/>
  <c r="Q6" i="1"/>
  <c r="U6" i="1" l="1"/>
  <c r="V6" i="1" s="1"/>
  <c r="U14" i="1"/>
  <c r="Q14" i="1"/>
  <c r="P14" i="1"/>
  <c r="O14" i="1"/>
  <c r="N14" i="1"/>
  <c r="M14" i="1"/>
  <c r="T7" i="1" l="1" a="1"/>
  <c r="T7" i="1" s="1"/>
  <c r="U22" i="1"/>
  <c r="V7" i="1" l="1"/>
  <c r="J7" i="1"/>
  <c r="L7" i="1" s="1"/>
  <c r="S7" i="1"/>
  <c r="P11" i="1"/>
  <c r="O11" i="1"/>
  <c r="N11" i="1"/>
  <c r="M11" i="1"/>
  <c r="K11" i="1"/>
  <c r="I11" i="1"/>
  <c r="T11" i="1" a="1"/>
  <c r="T11" i="1" s="1"/>
  <c r="S11" i="1" l="1"/>
  <c r="J11" i="1"/>
  <c r="Q11" i="1"/>
  <c r="U11" i="1" l="1"/>
  <c r="V11" i="1" s="1"/>
  <c r="L6" i="1" l="1"/>
  <c r="L11" i="1"/>
  <c r="L5" i="1"/>
  <c r="L10" i="1"/>
  <c r="L8" i="1"/>
  <c r="S10" i="1"/>
  <c r="S8" i="1"/>
  <c r="V8" i="1"/>
  <c r="Q22" i="1"/>
  <c r="P22" i="1"/>
  <c r="O22" i="1"/>
  <c r="N22" i="1"/>
  <c r="M22" i="1"/>
  <c r="K22" i="1"/>
  <c r="I22" i="1"/>
  <c r="U16" i="1" l="1"/>
  <c r="Q16" i="1"/>
  <c r="P16" i="1"/>
  <c r="O16" i="1"/>
  <c r="N16" i="1"/>
  <c r="M16" i="1"/>
  <c r="K16" i="1"/>
  <c r="I16" i="1"/>
  <c r="U15" i="1" l="1"/>
  <c r="Q15" i="1"/>
  <c r="P15" i="1"/>
  <c r="O15" i="1"/>
  <c r="N15" i="1"/>
  <c r="M15" i="1"/>
  <c r="K15" i="1"/>
  <c r="I15" i="1"/>
  <c r="Q13" i="1" l="1"/>
  <c r="P13" i="1"/>
  <c r="O13" i="1"/>
  <c r="N13" i="1"/>
  <c r="M13" i="1"/>
  <c r="K13" i="1"/>
  <c r="T22" i="1" a="1"/>
  <c r="T22" i="1" s="1"/>
  <c r="V22" i="1" s="1"/>
  <c r="T16" i="1" a="1"/>
  <c r="T16" i="1" s="1"/>
  <c r="V16" i="1" s="1"/>
  <c r="T15" i="1" a="1"/>
  <c r="T15" i="1" s="1"/>
  <c r="V15" i="1" s="1"/>
  <c r="T13" i="1" a="1"/>
  <c r="T13" i="1" s="1"/>
  <c r="I13" i="1"/>
  <c r="J13" i="1" l="1"/>
  <c r="S13" i="1"/>
  <c r="S15" i="1"/>
  <c r="J15" i="1"/>
  <c r="L15" i="1" s="1"/>
  <c r="S16" i="1"/>
  <c r="J16" i="1"/>
  <c r="S22" i="1"/>
  <c r="J22" i="1"/>
  <c r="L22" i="1" s="1"/>
  <c r="L16" i="1" l="1"/>
  <c r="B3" i="7" a="1"/>
  <c r="B3" i="7" s="1"/>
  <c r="L13" i="1"/>
  <c r="K17" i="1"/>
  <c r="U18" i="1" l="1"/>
  <c r="Q18" i="1"/>
  <c r="P18" i="1"/>
  <c r="O18" i="1"/>
  <c r="N18" i="1"/>
  <c r="M18" i="1"/>
  <c r="K18" i="1"/>
  <c r="I18" i="1"/>
  <c r="Q23" i="1" l="1"/>
  <c r="P23" i="1"/>
  <c r="O23" i="1"/>
  <c r="N23" i="1"/>
  <c r="M23" i="1"/>
  <c r="K23" i="1"/>
  <c r="I23" i="1"/>
  <c r="U20" i="1" l="1"/>
  <c r="Q20" i="1"/>
  <c r="P20" i="1"/>
  <c r="O20" i="1"/>
  <c r="N20" i="1"/>
  <c r="M20" i="1"/>
  <c r="K20" i="1"/>
  <c r="I20" i="1"/>
  <c r="U9" i="1" l="1"/>
  <c r="Q9" i="1"/>
  <c r="P9" i="1"/>
  <c r="O9" i="1"/>
  <c r="N9" i="1"/>
  <c r="M9" i="1"/>
  <c r="K9" i="1"/>
  <c r="I9" i="1"/>
  <c r="I12" i="1"/>
  <c r="E8" i="2" l="1"/>
  <c r="E6" i="2"/>
  <c r="E5" i="2"/>
  <c r="E4" i="2"/>
  <c r="E9" i="2"/>
  <c r="T17" i="1" l="1" a="1"/>
  <c r="T17" i="1" s="1"/>
  <c r="S17" i="1" l="1"/>
  <c r="J17" i="1"/>
  <c r="L17" i="1" s="1"/>
  <c r="T20" i="1" l="1" a="1"/>
  <c r="T20" i="1" s="1"/>
  <c r="T14" i="1" a="1"/>
  <c r="T14" i="1" s="1"/>
  <c r="S14" i="1" s="1"/>
  <c r="T12" i="1" a="1"/>
  <c r="T12" i="1" s="1"/>
  <c r="S12" i="1" s="1"/>
  <c r="T9" i="1" a="1"/>
  <c r="T9" i="1" s="1"/>
  <c r="S9" i="1" s="1"/>
  <c r="T18" i="1" a="1"/>
  <c r="T18" i="1" s="1"/>
  <c r="S18" i="1" s="1"/>
  <c r="T23" i="1" a="1"/>
  <c r="T23" i="1" s="1"/>
  <c r="S23" i="1" s="1"/>
  <c r="S20" i="1" l="1"/>
  <c r="J20" i="1"/>
  <c r="V18" i="1"/>
  <c r="E16" i="2" l="1"/>
  <c r="E15" i="2"/>
  <c r="E14" i="2"/>
  <c r="E13" i="2"/>
  <c r="E12" i="2"/>
  <c r="E11" i="2"/>
  <c r="E10" i="2"/>
  <c r="J9" i="1" l="1"/>
  <c r="J14" i="1"/>
  <c r="V14" i="1"/>
  <c r="J12" i="1"/>
  <c r="J18" i="1"/>
  <c r="J23" i="1"/>
  <c r="L14" i="1" l="1"/>
  <c r="L9" i="1"/>
  <c r="L12" i="1"/>
  <c r="L20" i="1"/>
  <c r="L23" i="1"/>
  <c r="L18" i="1"/>
  <c r="V9" i="1" l="1"/>
  <c r="B3" i="4" s="1" a="1"/>
  <c r="B3" i="4" s="1"/>
  <c r="V20" i="1" l="1"/>
  <c r="Q12" i="1" l="1"/>
  <c r="U12" i="1" l="1"/>
  <c r="V12" i="1" s="1"/>
  <c r="B3" i="5" l="1" a="1"/>
  <c r="B3" i="5" s="1"/>
  <c r="V17" i="1"/>
  <c r="U13" i="1" l="1"/>
  <c r="V13" i="1" s="1"/>
  <c r="B3" i="12" s="1" a="1"/>
  <c r="B3" i="12" s="1"/>
  <c r="U23" i="1" l="1"/>
  <c r="V23" i="1" l="1"/>
  <c r="B3" i="6" a="1"/>
  <c r="B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tc={49B2FB88-EDB1-47B3-9023-937A804038C9}</author>
    <author>tc={1DF6433C-B120-4A2D-85AF-549564FF6DEE}</author>
    <author>tc={D9A90F2B-8659-49F8-9E1C-B354DA2DCB3D}</author>
    <author>tc={9E71E09E-0600-4605-8DE5-464B622D8134}</author>
    <author>tc={93C12A89-94F8-43EC-9B6F-DED8B4DC56F8}</author>
    <author>tc={51B9BE83-FA4F-4331-A8E4-230A7629C793}</author>
    <author>tc={98132863-37BE-4D21-8DB8-FF1FD4C7CBED}</author>
  </authors>
  <commentList>
    <comment ref="G2" authorId="0" shapeId="0" xr:uid="{49B2FB88-EDB1-47B3-9023-937A804038C9}">
      <text>
        <t>[Threaded comment]
Your version of Excel allows you to read this threaded comment; however, any edits to it will get removed if the file is opened in a newer version of Excel. Learn more: https://go.microsoft.com/fwlink/?linkid=870924
Comment:
    Koyfin</t>
      </text>
    </comment>
    <comment ref="H2" authorId="1" shapeId="0" xr:uid="{1DF6433C-B120-4A2D-85AF-549564FF6DEE}">
      <text>
        <t>[Threaded comment]
Your version of Excel allows you to read this threaded comment; however, any edits to it will get removed if the file is opened in a newer version of Excel. Learn more: https://go.microsoft.com/fwlink/?linkid=870924
Comment:
    Koyfin</t>
      </text>
    </comment>
    <comment ref="M2" authorId="2" shapeId="0" xr:uid="{D9A90F2B-8659-49F8-9E1C-B354DA2DCB3D}">
      <text>
        <t>[Threaded comment]
Your version of Excel allows you to read this threaded comment; however, any edits to it will get removed if the file is opened in a newer version of Excel. Learn more: https://go.microsoft.com/fwlink/?linkid=870924
Comment:
    previous FY</t>
      </text>
    </comment>
    <comment ref="N2" authorId="3" shapeId="0" xr:uid="{9E71E09E-0600-4605-8DE5-464B622D8134}">
      <text>
        <t>[Threaded comment]
Your version of Excel allows you to read this threaded comment; however, any edits to it will get removed if the file is opened in a newer version of Excel. Learn more: https://go.microsoft.com/fwlink/?linkid=870924
Comment:
    previous FY</t>
      </text>
    </comment>
    <comment ref="O2" authorId="4" shapeId="0" xr:uid="{93C12A89-94F8-43EC-9B6F-DED8B4DC56F8}">
      <text>
        <t>[Threaded comment]
Your version of Excel allows you to read this threaded comment; however, any edits to it will get removed if the file is opened in a newer version of Excel. Learn more: https://go.microsoft.com/fwlink/?linkid=870924
Comment:
    previous FY</t>
      </text>
    </comment>
    <comment ref="P2" authorId="5" shapeId="0" xr:uid="{51B9BE83-FA4F-4331-A8E4-230A7629C793}">
      <text>
        <t>[Threaded comment]
Your version of Excel allows you to read this threaded comment; however, any edits to it will get removed if the file is opened in a newer version of Excel. Learn more: https://go.microsoft.com/fwlink/?linkid=870924
Comment:
    previous FY</t>
      </text>
    </comment>
    <comment ref="R2" authorId="6" shapeId="0" xr:uid="{98132863-37BE-4D21-8DB8-FF1FD4C7CBED}">
      <text>
        <t>[Threaded comment]
Your version of Excel allows you to read this threaded comment; however, any edits to it will get removed if the file is opened in a newer version of Excel. Learn more: https://go.microsoft.com/fwlink/?linkid=870924
Comment:
    Annual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6"/>
        </ext>
      </extLst>
    </bk>
  </futureMetadata>
  <cellMetadata count="1">
    <bk>
      <rc t="1" v="0"/>
    </bk>
  </cellMetadata>
  <valueMetadata count="2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valueMetadata>
</metadata>
</file>

<file path=xl/sharedStrings.xml><?xml version="1.0" encoding="utf-8"?>
<sst xmlns="http://schemas.openxmlformats.org/spreadsheetml/2006/main" count="246" uniqueCount="148">
  <si>
    <t>U.S. T-Bonds</t>
  </si>
  <si>
    <t>Difference</t>
  </si>
  <si>
    <t>1Y</t>
  </si>
  <si>
    <t>2Y</t>
  </si>
  <si>
    <t>3Y</t>
  </si>
  <si>
    <t>5Y</t>
  </si>
  <si>
    <t>7Y</t>
  </si>
  <si>
    <t>10Y</t>
  </si>
  <si>
    <t>20Y</t>
  </si>
  <si>
    <t>30Y</t>
  </si>
  <si>
    <t>Company</t>
  </si>
  <si>
    <t>HQ</t>
  </si>
  <si>
    <t>CEO</t>
  </si>
  <si>
    <t>FT Employees</t>
  </si>
  <si>
    <t xml:space="preserve">Sector </t>
  </si>
  <si>
    <t>Industry</t>
  </si>
  <si>
    <t>Shares</t>
  </si>
  <si>
    <t>Market Cap</t>
  </si>
  <si>
    <t>Net Cash</t>
  </si>
  <si>
    <t>EV</t>
  </si>
  <si>
    <t>RevG</t>
  </si>
  <si>
    <t>GM %</t>
  </si>
  <si>
    <t>OM %</t>
  </si>
  <si>
    <t>Tax Rate</t>
  </si>
  <si>
    <t>WACC</t>
  </si>
  <si>
    <t>Current Price</t>
  </si>
  <si>
    <t>Model Price</t>
  </si>
  <si>
    <t>Minneapolis, MN</t>
  </si>
  <si>
    <t>Brian Cornell</t>
  </si>
  <si>
    <t>Consumer Discretionary</t>
  </si>
  <si>
    <t>Beaverton, OR</t>
  </si>
  <si>
    <t>John Donahoe II</t>
  </si>
  <si>
    <t>San Francisco, CA</t>
  </si>
  <si>
    <t>Bentonville, AR</t>
  </si>
  <si>
    <t>Douglas McMillon</t>
  </si>
  <si>
    <t>Consumer Staples</t>
  </si>
  <si>
    <t>Information Technology</t>
  </si>
  <si>
    <t>Seattle, WA</t>
  </si>
  <si>
    <t>Carlsbad, CA</t>
  </si>
  <si>
    <t>Oliver Brewer III</t>
  </si>
  <si>
    <t>Andrew Houston</t>
  </si>
  <si>
    <t>Treasury</t>
  </si>
  <si>
    <t>Source:</t>
  </si>
  <si>
    <t>2Mo</t>
  </si>
  <si>
    <t>1Mo</t>
  </si>
  <si>
    <t>3Mo</t>
  </si>
  <si>
    <t>4Mo</t>
  </si>
  <si>
    <t>6Mo</t>
  </si>
  <si>
    <t>FinViz Dividend Screen 6/15/23</t>
  </si>
  <si>
    <t>Parameters:</t>
  </si>
  <si>
    <t>Dividend Yield</t>
  </si>
  <si>
    <t>Avg. Volume</t>
  </si>
  <si>
    <t>&gt;500k</t>
  </si>
  <si>
    <t>P/E</t>
  </si>
  <si>
    <t>profitable</t>
  </si>
  <si>
    <t>D/E</t>
  </si>
  <si>
    <t>under 1</t>
  </si>
  <si>
    <t>positive low</t>
  </si>
  <si>
    <t>Sales Growth Last 5 Years</t>
  </si>
  <si>
    <t>LT D/E</t>
  </si>
  <si>
    <t>BBY</t>
  </si>
  <si>
    <t>Results to Model</t>
  </si>
  <si>
    <t>BKU</t>
  </si>
  <si>
    <t>BNS</t>
  </si>
  <si>
    <t>over 4%</t>
  </si>
  <si>
    <t>Market Cap.</t>
  </si>
  <si>
    <t>+ Mid</t>
  </si>
  <si>
    <t>APLE</t>
  </si>
  <si>
    <t>BTI</t>
  </si>
  <si>
    <t>CBRL</t>
  </si>
  <si>
    <t>CFG</t>
  </si>
  <si>
    <t>CIG</t>
  </si>
  <si>
    <t>FL</t>
  </si>
  <si>
    <t>KHC</t>
  </si>
  <si>
    <t>Dividend ($)</t>
  </si>
  <si>
    <t>Laxman Narasimhan</t>
  </si>
  <si>
    <t>Canonsburg, PA</t>
  </si>
  <si>
    <t>New York, NY</t>
  </si>
  <si>
    <t>Santa Clara, CA</t>
  </si>
  <si>
    <t>Los Gatos, CA</t>
  </si>
  <si>
    <t>Communication Services</t>
  </si>
  <si>
    <t>Jen-Hsun Huang</t>
  </si>
  <si>
    <t>Dr. Albert Bourla</t>
  </si>
  <si>
    <t>Health Care</t>
  </si>
  <si>
    <t>Scott Smith</t>
  </si>
  <si>
    <t>Richfield, Minnesota</t>
  </si>
  <si>
    <t>Corie Barry</t>
  </si>
  <si>
    <t>Founded</t>
  </si>
  <si>
    <t>Mary Dillon</t>
  </si>
  <si>
    <t>2007</t>
  </si>
  <si>
    <t>1945</t>
  </si>
  <si>
    <t>1902</t>
  </si>
  <si>
    <t>Columbus, OH</t>
  </si>
  <si>
    <t>Andrew Jassy</t>
  </si>
  <si>
    <t>Bruce Thorn</t>
  </si>
  <si>
    <t>Michelle Gass</t>
  </si>
  <si>
    <t>Ted Sarandos &amp; Greg Peters</t>
  </si>
  <si>
    <t>Cupertino, CA</t>
  </si>
  <si>
    <t>Tim Cook</t>
  </si>
  <si>
    <t>Pittsburgh, PA</t>
  </si>
  <si>
    <t>Dr. Luis Alfonso von Ahn</t>
  </si>
  <si>
    <t>Sue Nabi</t>
  </si>
  <si>
    <t>Consumer Staples Distribution &amp; Retail</t>
  </si>
  <si>
    <t>Textiles, Apparel and Luxury Goods</t>
  </si>
  <si>
    <t>Software</t>
  </si>
  <si>
    <t>Leisure Products</t>
  </si>
  <si>
    <t>Hotels, Restaurants and Leisure</t>
  </si>
  <si>
    <t>Entertainment</t>
  </si>
  <si>
    <t>Semiconductors and Semiconductor Equipment</t>
  </si>
  <si>
    <t>Pharmaceuticals</t>
  </si>
  <si>
    <t>Specialty Retail</t>
  </si>
  <si>
    <t>Broadline Retail</t>
  </si>
  <si>
    <t>Technology, Hardware, Storage and Peripherals</t>
  </si>
  <si>
    <t>Diversified Consumer Services</t>
  </si>
  <si>
    <t>Personal Care Products</t>
  </si>
  <si>
    <t>FinViz Tech 3/4/24</t>
  </si>
  <si>
    <t>parameters:</t>
  </si>
  <si>
    <t>market cap</t>
  </si>
  <si>
    <t>sector</t>
  </si>
  <si>
    <t>technology</t>
  </si>
  <si>
    <t>Forward P/E</t>
  </si>
  <si>
    <t>LT Debt/Equity</t>
  </si>
  <si>
    <t>Performance</t>
  </si>
  <si>
    <t>YTD down</t>
  </si>
  <si>
    <t>under 25</t>
  </si>
  <si>
    <t>under 0.5</t>
  </si>
  <si>
    <t>results</t>
  </si>
  <si>
    <t>Sales growth over past 5yrs</t>
  </si>
  <si>
    <t>over 10%</t>
  </si>
  <si>
    <t>ACLS</t>
  </si>
  <si>
    <t>IDCC</t>
  </si>
  <si>
    <t>SNX</t>
  </si>
  <si>
    <t>STM</t>
  </si>
  <si>
    <t>TDY</t>
  </si>
  <si>
    <t>WNS</t>
  </si>
  <si>
    <t>https://x.com/Beth_Kindig/status/1723877664539250931?s=20</t>
  </si>
  <si>
    <t xml:space="preserve"> </t>
  </si>
  <si>
    <t>Toyota, Japan</t>
  </si>
  <si>
    <t>Koji Sato</t>
  </si>
  <si>
    <t>Automobiles</t>
  </si>
  <si>
    <t>Mountain View, California</t>
  </si>
  <si>
    <t>Sundar Pichai</t>
  </si>
  <si>
    <t>Interactive Media and Services</t>
  </si>
  <si>
    <t>Dallas, TX</t>
  </si>
  <si>
    <t>Haviv Ilan</t>
  </si>
  <si>
    <t>Industrials</t>
  </si>
  <si>
    <t>Ground Transportation</t>
  </si>
  <si>
    <t>Dara Khosrowshahi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</si>
</sst>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Arial"/>
      <family val="2"/>
    </font>
    <font>
      <sz val="11"/>
      <color theme="1"/>
      <name val="Arial"/>
      <family val="2"/>
    </font>
    <font>
      <u/>
      <sz val="11"/>
      <color theme="10"/>
      <name val="Arial"/>
      <family val="2"/>
    </font>
    <font>
      <sz val="11"/>
      <color theme="1"/>
      <name val="Calibri"/>
      <family val="2"/>
      <scheme val="minor"/>
    </font>
    <font>
      <u/>
      <sz val="11"/>
      <color theme="1"/>
      <name val="Arial"/>
      <family val="2"/>
    </font>
    <font>
      <i/>
      <sz val="11"/>
      <color theme="1"/>
      <name val="Arial"/>
      <family val="2"/>
    </font>
    <font>
      <u/>
      <sz val="11"/>
      <color theme="10"/>
      <name val="Calibri"/>
      <family val="2"/>
      <scheme val="minor"/>
    </font>
    <font>
      <b/>
      <u/>
      <sz val="11"/>
      <color theme="1"/>
      <name val="Arial"/>
      <family val="2"/>
    </font>
    <font>
      <sz val="11"/>
      <name val="Arial"/>
      <family val="2"/>
    </font>
    <font>
      <i/>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applyNumberFormat="0" applyFill="0" applyBorder="0" applyAlignment="0" applyProtection="0"/>
  </cellStyleXfs>
  <cellXfs count="43">
    <xf numFmtId="0" fontId="0" fillId="0" borderId="0" xfId="0"/>
    <xf numFmtId="0" fontId="4" fillId="0" borderId="0" xfId="4" applyFont="1" applyAlignment="1">
      <alignment horizontal="center"/>
    </xf>
    <xf numFmtId="0" fontId="1" fillId="0" borderId="0" xfId="4" applyFont="1"/>
    <xf numFmtId="0" fontId="1" fillId="0" borderId="0" xfId="4" applyFont="1" applyAlignment="1">
      <alignment horizontal="center"/>
    </xf>
    <xf numFmtId="9" fontId="1" fillId="0" borderId="0" xfId="4" applyNumberFormat="1" applyFont="1"/>
    <xf numFmtId="14" fontId="5" fillId="0" borderId="0" xfId="4" applyNumberFormat="1" applyFont="1" applyAlignment="1">
      <alignment horizontal="center"/>
    </xf>
    <xf numFmtId="0" fontId="2" fillId="0" borderId="0" xfId="5" applyFont="1" applyAlignment="1">
      <alignment horizontal="center" vertical="center"/>
    </xf>
    <xf numFmtId="14" fontId="5" fillId="0" borderId="0" xfId="4" applyNumberFormat="1" applyFont="1"/>
    <xf numFmtId="0" fontId="7" fillId="0" borderId="0" xfId="0" applyFont="1" applyAlignment="1">
      <alignment horizontal="left" vertical="center"/>
    </xf>
    <xf numFmtId="0" fontId="1" fillId="0" borderId="0" xfId="0" applyFont="1" applyAlignment="1">
      <alignment horizontal="center" vertical="center"/>
    </xf>
    <xf numFmtId="49" fontId="8" fillId="0" borderId="0" xfId="5" applyNumberFormat="1" applyFont="1" applyAlignment="1">
      <alignment horizontal="center" vertical="center"/>
    </xf>
    <xf numFmtId="3" fontId="1" fillId="0" borderId="0" xfId="0" applyNumberFormat="1" applyFont="1" applyAlignment="1">
      <alignment horizontal="center" vertical="center"/>
    </xf>
    <xf numFmtId="9" fontId="1" fillId="0" borderId="0" xfId="2" applyFont="1" applyAlignment="1">
      <alignment horizontal="center" vertical="center"/>
    </xf>
    <xf numFmtId="9" fontId="1" fillId="0" borderId="0" xfId="0" applyNumberFormat="1" applyFont="1" applyAlignment="1">
      <alignment horizontal="center" vertical="center"/>
    </xf>
    <xf numFmtId="4" fontId="1" fillId="0" borderId="0" xfId="1" applyNumberFormat="1" applyFont="1" applyAlignment="1">
      <alignment horizontal="center"/>
    </xf>
    <xf numFmtId="49" fontId="1" fillId="0" borderId="0" xfId="0" applyNumberFormat="1" applyFont="1" applyAlignment="1">
      <alignment horizontal="center" vertical="center"/>
    </xf>
    <xf numFmtId="2" fontId="1" fillId="0" borderId="0" xfId="0" applyNumberFormat="1" applyFont="1" applyAlignment="1">
      <alignment horizontal="center"/>
    </xf>
    <xf numFmtId="4" fontId="1" fillId="0" borderId="0" xfId="0" applyNumberFormat="1" applyFont="1" applyAlignment="1">
      <alignment horizontal="center" vertical="center"/>
    </xf>
    <xf numFmtId="3" fontId="0" fillId="0" borderId="0" xfId="0" applyNumberFormat="1" applyAlignment="1">
      <alignment horizontal="center"/>
    </xf>
    <xf numFmtId="0" fontId="2" fillId="0" borderId="0" xfId="3" applyAlignment="1">
      <alignment horizontal="left" vertical="center"/>
    </xf>
    <xf numFmtId="49" fontId="2" fillId="0" borderId="0" xfId="3" applyNumberFormat="1" applyAlignment="1">
      <alignment horizontal="left" vertical="center"/>
    </xf>
    <xf numFmtId="0" fontId="2" fillId="0" borderId="0" xfId="3"/>
    <xf numFmtId="0" fontId="8" fillId="0" borderId="0" xfId="5" applyFont="1" applyAlignment="1">
      <alignment horizontal="center" vertical="center"/>
    </xf>
    <xf numFmtId="10" fontId="1" fillId="0" borderId="0" xfId="4" applyNumberFormat="1" applyFont="1" applyAlignment="1">
      <alignment horizontal="center"/>
    </xf>
    <xf numFmtId="9" fontId="1" fillId="0" borderId="0" xfId="4" applyNumberFormat="1" applyFont="1" applyAlignment="1">
      <alignment horizontal="center"/>
    </xf>
    <xf numFmtId="14" fontId="9" fillId="0" borderId="0" xfId="4" applyNumberFormat="1" applyFont="1" applyAlignment="1">
      <alignment horizontal="center"/>
    </xf>
    <xf numFmtId="0" fontId="0" fillId="0" borderId="0" xfId="0" applyAlignment="1">
      <alignment horizontal="center"/>
    </xf>
    <xf numFmtId="39" fontId="0" fillId="0" borderId="0" xfId="0" applyNumberFormat="1" applyAlignment="1">
      <alignment horizontal="center"/>
    </xf>
    <xf numFmtId="4" fontId="0" fillId="0" borderId="0" xfId="0" applyNumberFormat="1" applyAlignment="1">
      <alignment horizontal="center"/>
    </xf>
    <xf numFmtId="10" fontId="5" fillId="0" borderId="0" xfId="2" applyNumberFormat="1" applyFont="1" applyAlignment="1">
      <alignment horizontal="center"/>
    </xf>
    <xf numFmtId="49" fontId="0" fillId="0" borderId="0" xfId="0" applyNumberFormat="1"/>
    <xf numFmtId="0" fontId="0" fillId="2" borderId="0" xfId="0" applyFill="1"/>
    <xf numFmtId="0" fontId="7" fillId="0" borderId="0" xfId="0" applyFont="1" applyAlignment="1">
      <alignment horizontal="center" vertical="center"/>
    </xf>
    <xf numFmtId="3" fontId="7" fillId="0" borderId="0" xfId="0" applyNumberFormat="1" applyFont="1" applyAlignment="1">
      <alignment horizontal="center" vertical="center"/>
    </xf>
    <xf numFmtId="9" fontId="0" fillId="0" borderId="0" xfId="0" applyNumberFormat="1" applyAlignment="1">
      <alignment horizontal="center"/>
    </xf>
    <xf numFmtId="10" fontId="1" fillId="0" borderId="0" xfId="0" applyNumberFormat="1" applyFont="1" applyAlignment="1">
      <alignment horizontal="center"/>
    </xf>
    <xf numFmtId="0" fontId="0" fillId="0" borderId="1" xfId="0" applyBorder="1"/>
    <xf numFmtId="1" fontId="1" fillId="0" borderId="0" xfId="0" applyNumberFormat="1" applyFont="1" applyAlignment="1">
      <alignment horizontal="center" vertical="center"/>
    </xf>
    <xf numFmtId="1" fontId="0" fillId="0" borderId="0" xfId="0" applyNumberFormat="1" applyAlignment="1">
      <alignment horizontal="center"/>
    </xf>
    <xf numFmtId="3" fontId="0" fillId="0" borderId="0" xfId="0" applyNumberFormat="1"/>
    <xf numFmtId="3" fontId="0" fillId="0" borderId="0" xfId="0" applyNumberFormat="1" applyAlignment="1">
      <alignment horizontal="center" vertical="center"/>
    </xf>
    <xf numFmtId="3" fontId="8" fillId="0" borderId="0" xfId="5" applyNumberFormat="1" applyFont="1" applyAlignment="1">
      <alignment horizontal="center" vertical="center"/>
    </xf>
    <xf numFmtId="2" fontId="0" fillId="0" borderId="0" xfId="0" applyNumberFormat="1" applyAlignment="1">
      <alignment horizontal="center"/>
    </xf>
  </cellXfs>
  <cellStyles count="6">
    <cellStyle name="Currency" xfId="1" builtinId="4"/>
    <cellStyle name="Hyperlink" xfId="3" builtinId="8"/>
    <cellStyle name="Hyperlink 2" xfId="5" xr:uid="{A7B20633-D8C0-4BA6-B794-18B301111BAF}"/>
    <cellStyle name="Normal" xfId="0" builtinId="0"/>
    <cellStyle name="Normal 2" xfId="4" xr:uid="{8DB66348-1D6F-4E58-A830-A34256D0289C}"/>
    <cellStyle name="Percent" xfId="2"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openxmlformats.org/officeDocument/2006/relationships/styles" Target="styles.xml"/><Relationship Id="rId21" Type="http://schemas.openxmlformats.org/officeDocument/2006/relationships/externalLink" Target="externalLinks/externalLink7.xml"/><Relationship Id="rId34" Type="http://schemas.openxmlformats.org/officeDocument/2006/relationships/externalLink" Target="externalLinks/externalLink20.xml"/><Relationship Id="rId42" Type="http://schemas.microsoft.com/office/2017/06/relationships/rdRichValue" Target="richData/rdrichvalue.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2.xml"/><Relationship Id="rId29" Type="http://schemas.openxmlformats.org/officeDocument/2006/relationships/externalLink" Target="externalLinks/externalLink15.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externalLink" Target="externalLinks/externalLink23.xml"/><Relationship Id="rId40" Type="http://schemas.openxmlformats.org/officeDocument/2006/relationships/sharedStrings" Target="sharedStrings.xml"/><Relationship Id="rId45"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externalLink" Target="externalLinks/externalLink2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4"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externalLink" Target="externalLinks/externalLink21.xml"/><Relationship Id="rId43" Type="http://schemas.microsoft.com/office/2017/06/relationships/rdRichValueStructure" Target="richData/rdrichvaluestructure.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openxmlformats.org/officeDocument/2006/relationships/theme" Target="theme/theme1.xml"/><Relationship Id="rId46" Type="http://schemas.microsoft.com/office/2017/06/relationships/rdSupportingPropertyBag" Target="richData/rdsupportingpropertybag.xml"/><Relationship Id="rId20" Type="http://schemas.openxmlformats.org/officeDocument/2006/relationships/externalLink" Target="externalLinks/externalLink6.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Yield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'T-Bond Yields'!$C$3</c:f>
              <c:strCache>
                <c:ptCount val="1"/>
                <c:pt idx="0">
                  <c:v>3/15/2024</c:v>
                </c:pt>
              </c:strCache>
            </c:strRef>
          </c:tx>
          <c:spPr>
            <a:ln w="28575" cap="rnd">
              <a:solidFill>
                <a:schemeClr val="accent1"/>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Yields'!$C$9:$C$16</c:f>
              <c:numCache>
                <c:formatCode>0.00%</c:formatCode>
                <c:ptCount val="8"/>
                <c:pt idx="0">
                  <c:v>5.0500000000000003E-2</c:v>
                </c:pt>
                <c:pt idx="1">
                  <c:v>4.7199999999999999E-2</c:v>
                </c:pt>
                <c:pt idx="2">
                  <c:v>4.5100000000000001E-2</c:v>
                </c:pt>
                <c:pt idx="3">
                  <c:v>4.3299999999999998E-2</c:v>
                </c:pt>
                <c:pt idx="4">
                  <c:v>4.3299999999999998E-2</c:v>
                </c:pt>
                <c:pt idx="5">
                  <c:v>4.3099999999999999E-2</c:v>
                </c:pt>
                <c:pt idx="6">
                  <c:v>4.5499999999999999E-2</c:v>
                </c:pt>
                <c:pt idx="7">
                  <c:v>4.4299999999999999E-2</c:v>
                </c:pt>
              </c:numCache>
            </c:numRef>
          </c:val>
          <c:smooth val="0"/>
          <c:extLst>
            <c:ext xmlns:c16="http://schemas.microsoft.com/office/drawing/2014/chart" uri="{C3380CC4-5D6E-409C-BE32-E72D297353CC}">
              <c16:uniqueId val="{00000000-0B96-450A-AC1A-A6292810A5CF}"/>
            </c:ext>
          </c:extLst>
        </c:ser>
        <c:ser>
          <c:idx val="1"/>
          <c:order val="1"/>
          <c:tx>
            <c:strRef>
              <c:f>'T-Bond Yields'!$D$3</c:f>
              <c:strCache>
                <c:ptCount val="1"/>
                <c:pt idx="0">
                  <c:v>3/15/2023</c:v>
                </c:pt>
              </c:strCache>
            </c:strRef>
          </c:tx>
          <c:spPr>
            <a:ln w="28575" cap="rnd">
              <a:solidFill>
                <a:schemeClr val="accent2"/>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Yields'!$D$9:$D$16</c:f>
              <c:numCache>
                <c:formatCode>0.00%</c:formatCode>
                <c:ptCount val="8"/>
                <c:pt idx="0">
                  <c:v>4.19E-2</c:v>
                </c:pt>
                <c:pt idx="1">
                  <c:v>3.9300000000000002E-2</c:v>
                </c:pt>
                <c:pt idx="2">
                  <c:v>3.8300000000000001E-2</c:v>
                </c:pt>
                <c:pt idx="3">
                  <c:v>3.5900000000000001E-2</c:v>
                </c:pt>
                <c:pt idx="4">
                  <c:v>3.5700000000000003E-2</c:v>
                </c:pt>
                <c:pt idx="5">
                  <c:v>3.5099999999999999E-2</c:v>
                </c:pt>
                <c:pt idx="6">
                  <c:v>3.8199999999999998E-2</c:v>
                </c:pt>
                <c:pt idx="7">
                  <c:v>3.6999999999999998E-2</c:v>
                </c:pt>
              </c:numCache>
            </c:numRef>
          </c:val>
          <c:smooth val="0"/>
          <c:extLst>
            <c:ext xmlns:c16="http://schemas.microsoft.com/office/drawing/2014/chart" uri="{C3380CC4-5D6E-409C-BE32-E72D297353CC}">
              <c16:uniqueId val="{00000001-0B96-450A-AC1A-A6292810A5CF}"/>
            </c:ext>
          </c:extLst>
        </c:ser>
        <c:dLbls>
          <c:showLegendKey val="0"/>
          <c:showVal val="0"/>
          <c:showCatName val="0"/>
          <c:showSerName val="0"/>
          <c:showPercent val="0"/>
          <c:showBubbleSize val="0"/>
        </c:dLbls>
        <c:smooth val="0"/>
        <c:axId val="89457176"/>
        <c:axId val="89454552"/>
      </c:lineChart>
      <c:catAx>
        <c:axId val="8945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4552"/>
        <c:crosses val="autoZero"/>
        <c:auto val="1"/>
        <c:lblAlgn val="ctr"/>
        <c:lblOffset val="100"/>
        <c:noMultiLvlLbl val="0"/>
      </c:catAx>
      <c:valAx>
        <c:axId val="89454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7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647700</xdr:colOff>
      <xdr:row>2</xdr:row>
      <xdr:rowOff>9524</xdr:rowOff>
    </xdr:from>
    <xdr:to>
      <xdr:col>17</xdr:col>
      <xdr:colOff>666750</xdr:colOff>
      <xdr:row>31</xdr:row>
      <xdr:rowOff>171449</xdr:rowOff>
    </xdr:to>
    <xdr:graphicFrame macro="">
      <xdr:nvGraphicFramePr>
        <xdr:cNvPr id="5" name="Chart 4">
          <a:extLst>
            <a:ext uri="{FF2B5EF4-FFF2-40B4-BE49-F238E27FC236}">
              <a16:creationId xmlns:a16="http://schemas.microsoft.com/office/drawing/2014/main" id="{2339EA6C-B856-9E49-2F32-D6ECD4F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GOOGL.xlsx" TargetMode="External"/><Relationship Id="rId1" Type="http://schemas.openxmlformats.org/officeDocument/2006/relationships/externalLinkPath" Target="GOOG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lshe\Documents\Models\AMZN.xlsx" TargetMode="External"/><Relationship Id="rId1" Type="http://schemas.openxmlformats.org/officeDocument/2006/relationships/externalLinkPath" Target="AMZN.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lshe\Documents\Models\AAPL.xlsx" TargetMode="External"/><Relationship Id="rId1" Type="http://schemas.openxmlformats.org/officeDocument/2006/relationships/externalLinkPath" Target="AAP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wlshe\Documents\Models\BBY.xlsx" TargetMode="External"/><Relationship Id="rId1" Type="http://schemas.openxmlformats.org/officeDocument/2006/relationships/externalLinkPath" Target="BBY.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wlshe\Documents\Models\BIG.xlsx" TargetMode="External"/><Relationship Id="rId1" Type="http://schemas.openxmlformats.org/officeDocument/2006/relationships/externalLinkPath" Target="BIG.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wlshe\Documents\Models\STM.xlsx" TargetMode="External"/><Relationship Id="rId1" Type="http://schemas.openxmlformats.org/officeDocument/2006/relationships/externalLinkPath" Target="STM.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wlshe\Documents\Models\COTY.xlsx" TargetMode="External"/><Relationship Id="rId1" Type="http://schemas.openxmlformats.org/officeDocument/2006/relationships/externalLinkPath" Target="COTY.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wlshe\Documents\Models\DBX.xlsx" TargetMode="External"/><Relationship Id="rId1" Type="http://schemas.openxmlformats.org/officeDocument/2006/relationships/externalLinkPath" Target="DBX.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wlshe\Documents\Models\DUOL.xlsx" TargetMode="External"/><Relationship Id="rId1" Type="http://schemas.openxmlformats.org/officeDocument/2006/relationships/externalLinkPath" Target="DUO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wlshe\Documents\Models\FL.xlsx" TargetMode="External"/><Relationship Id="rId1" Type="http://schemas.openxmlformats.org/officeDocument/2006/relationships/externalLinkPath" Target="FL.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wlshe\Documents\Models\LEVI.xlsx" TargetMode="External"/><Relationship Id="rId1" Type="http://schemas.openxmlformats.org/officeDocument/2006/relationships/externalLinkPath" Target="LEVI.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wlshe\Documents\Models\NFLX.xlsx" TargetMode="External"/><Relationship Id="rId1" Type="http://schemas.openxmlformats.org/officeDocument/2006/relationships/externalLinkPath" Target="NFLX.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wlshe\Documents\Models\NKE.xlsx" TargetMode="External"/><Relationship Id="rId1" Type="http://schemas.openxmlformats.org/officeDocument/2006/relationships/externalLinkPath" Target="NK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wlshe\Documents\Models\NVDA.xlsx" TargetMode="External"/><Relationship Id="rId1" Type="http://schemas.openxmlformats.org/officeDocument/2006/relationships/externalLinkPath" Target="NVDA.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wlshe\Documents\Models\PFE.xlsx" TargetMode="External"/><Relationship Id="rId1" Type="http://schemas.openxmlformats.org/officeDocument/2006/relationships/externalLinkPath" Target="PFE.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wlshe\Documents\Models\SBUX.xlsx" TargetMode="External"/><Relationship Id="rId1" Type="http://schemas.openxmlformats.org/officeDocument/2006/relationships/externalLinkPath" Target="SBUX.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wlshe\Documents\Models\TGT.xlsx" TargetMode="External"/><Relationship Id="rId1" Type="http://schemas.openxmlformats.org/officeDocument/2006/relationships/externalLinkPath" Target="TGT.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wlshe\Documents\Models\txn.xlsx" TargetMode="External"/><Relationship Id="rId1" Type="http://schemas.openxmlformats.org/officeDocument/2006/relationships/externalLinkPath" Target="txn.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wlshe\Documents\Models\ELY.xlsx" TargetMode="External"/><Relationship Id="rId1" Type="http://schemas.openxmlformats.org/officeDocument/2006/relationships/externalLinkPath" Target="EL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wlshe\Documents\Models\TM.xlsx" TargetMode="External"/><Relationship Id="rId1" Type="http://schemas.openxmlformats.org/officeDocument/2006/relationships/externalLinkPath" Target="TM.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C:\Users\wlshe\Documents\Models\VTRS.xlsx" TargetMode="External"/><Relationship Id="rId1" Type="http://schemas.openxmlformats.org/officeDocument/2006/relationships/externalLinkPath" Target="VTR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wlshe\Documents\Models\WMT.xlsx" TargetMode="External"/><Relationship Id="rId1" Type="http://schemas.openxmlformats.org/officeDocument/2006/relationships/externalLinkPath" Target="WMT.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file:///C:\Users\wlshe\Documents\Models\UBER.xlsx" TargetMode="External"/><Relationship Id="rId1" Type="http://schemas.openxmlformats.org/officeDocument/2006/relationships/externalLinkPath" Target="U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D5">
            <v>12602</v>
          </cell>
        </row>
        <row r="7">
          <cell r="D7">
            <v>141924</v>
          </cell>
        </row>
        <row r="8">
          <cell r="D8">
            <v>13253</v>
          </cell>
        </row>
      </sheetData>
      <sheetData sheetId="1">
        <row r="33">
          <cell r="AU33">
            <v>8.6827702272695095E-2</v>
          </cell>
        </row>
        <row r="38">
          <cell r="BH38">
            <v>157.49677374154334</v>
          </cell>
        </row>
        <row r="40">
          <cell r="AU40">
            <v>0.56625047984020505</v>
          </cell>
        </row>
        <row r="41">
          <cell r="AU41">
            <v>0.27421810445226646</v>
          </cell>
        </row>
        <row r="42">
          <cell r="AU42">
            <v>0.13908559562280529</v>
          </cell>
        </row>
      </sheetData>
      <sheetData sheetId="2">
        <row r="18">
          <cell r="C18">
            <v>8.1014074204564746E-2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WACC"/>
      <sheetName val="Model"/>
    </sheetNames>
    <sheetDataSet>
      <sheetData sheetId="0">
        <row r="5">
          <cell r="C5">
            <v>10308</v>
          </cell>
        </row>
        <row r="7">
          <cell r="C7">
            <v>53888</v>
          </cell>
        </row>
        <row r="8">
          <cell r="C8">
            <v>16138</v>
          </cell>
        </row>
      </sheetData>
      <sheetData sheetId="1">
        <row r="18">
          <cell r="C18">
            <v>6.9881909557268029E-2</v>
          </cell>
        </row>
      </sheetData>
      <sheetData sheetId="2">
        <row r="27">
          <cell r="AU27">
            <v>0.1182957412988368</v>
          </cell>
        </row>
        <row r="30">
          <cell r="BF30">
            <v>111.83755001316251</v>
          </cell>
        </row>
        <row r="34">
          <cell r="AU34">
            <v>0.46982088955000567</v>
          </cell>
        </row>
        <row r="35">
          <cell r="AU35">
            <v>6.4114407996033296E-2</v>
          </cell>
        </row>
        <row r="36">
          <cell r="AU36">
            <v>0.18989802167372261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15576.641</v>
          </cell>
        </row>
        <row r="7">
          <cell r="C7">
            <v>172575</v>
          </cell>
        </row>
        <row r="8">
          <cell r="C8">
            <v>108040</v>
          </cell>
        </row>
      </sheetData>
      <sheetData sheetId="1">
        <row r="52">
          <cell r="AO52">
            <v>0.44131129577207562</v>
          </cell>
        </row>
        <row r="53">
          <cell r="AO53">
            <v>0.29821412265024722</v>
          </cell>
        </row>
        <row r="55">
          <cell r="AO55">
            <v>0.14719174228036858</v>
          </cell>
        </row>
        <row r="57">
          <cell r="AZ57">
            <v>89.414555445295747</v>
          </cell>
        </row>
        <row r="61">
          <cell r="AO61">
            <v>-2.800460530319937E-2</v>
          </cell>
        </row>
      </sheetData>
      <sheetData sheetId="2">
        <row r="18">
          <cell r="C18">
            <v>8.8129924088975659E-2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8">
          <cell r="C8">
            <v>636</v>
          </cell>
        </row>
        <row r="9">
          <cell r="C9">
            <v>4029</v>
          </cell>
        </row>
      </sheetData>
      <sheetData sheetId="1">
        <row r="14">
          <cell r="AC14">
            <v>218.3</v>
          </cell>
        </row>
        <row r="17">
          <cell r="AO17">
            <v>-0.10554278317652288</v>
          </cell>
        </row>
        <row r="24">
          <cell r="AO24">
            <v>0.21409132143937104</v>
          </cell>
          <cell r="BA24">
            <v>77.398062391903039</v>
          </cell>
        </row>
        <row r="25">
          <cell r="AO25">
            <v>4.1945656399844489E-2</v>
          </cell>
        </row>
        <row r="26">
          <cell r="AO26">
            <v>0.19691325172964344</v>
          </cell>
        </row>
      </sheetData>
      <sheetData sheetId="2">
        <row r="18">
          <cell r="C18">
            <v>6.0884162938071605E-2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29.3</v>
          </cell>
        </row>
      </sheetData>
      <sheetData sheetId="1">
        <row r="19">
          <cell r="AK19">
            <v>-0.1109279854349241</v>
          </cell>
        </row>
        <row r="25">
          <cell r="AT25">
            <v>-119.74897291383805</v>
          </cell>
        </row>
        <row r="26">
          <cell r="AK26">
            <v>0.34992408101268224</v>
          </cell>
        </row>
        <row r="27">
          <cell r="AK27">
            <v>-1.9502118471657514E-2</v>
          </cell>
        </row>
        <row r="28">
          <cell r="AK28">
            <v>0.36638617478095792</v>
          </cell>
        </row>
      </sheetData>
      <sheetData sheetId="2">
        <row r="18">
          <cell r="C18">
            <v>6.1315001319892676E-2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7">
          <cell r="C7">
            <v>6083</v>
          </cell>
        </row>
        <row r="8">
          <cell r="C8">
            <v>2927</v>
          </cell>
        </row>
      </sheetData>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922.8</v>
          </cell>
        </row>
        <row r="8">
          <cell r="C8">
            <v>450</v>
          </cell>
        </row>
        <row r="9">
          <cell r="C9">
            <v>3691.8</v>
          </cell>
        </row>
      </sheetData>
      <sheetData sheetId="1">
        <row r="17">
          <cell r="AQ17">
            <v>4.7074127139733024E-2</v>
          </cell>
        </row>
        <row r="24">
          <cell r="AQ24">
            <v>0.6386813345096416</v>
          </cell>
          <cell r="AZ24">
            <v>9.4495128429675077</v>
          </cell>
        </row>
        <row r="25">
          <cell r="AQ25">
            <v>0.13125438864982633</v>
          </cell>
        </row>
        <row r="26">
          <cell r="AQ26">
            <v>0.20402201999775299</v>
          </cell>
        </row>
      </sheetData>
      <sheetData sheetId="2">
        <row r="18">
          <cell r="C18">
            <v>8.3341765758214809E-2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22.91548481095889</v>
          </cell>
        </row>
        <row r="5">
          <cell r="C5">
            <v>348.8</v>
          </cell>
        </row>
        <row r="7">
          <cell r="C7">
            <v>1253.0999999999999</v>
          </cell>
        </row>
        <row r="8">
          <cell r="C8">
            <v>2278.4</v>
          </cell>
        </row>
      </sheetData>
      <sheetData sheetId="1">
        <row r="30">
          <cell r="AO30">
            <v>7.7390055146206782E-2</v>
          </cell>
        </row>
        <row r="33">
          <cell r="AO33">
            <v>0.80893801883951988</v>
          </cell>
        </row>
        <row r="34">
          <cell r="AO34">
            <v>0.15333992859907947</v>
          </cell>
        </row>
        <row r="35">
          <cell r="AO35">
            <v>-0.97988583854308287</v>
          </cell>
        </row>
      </sheetData>
      <sheetData sheetId="2">
        <row r="18">
          <cell r="C18">
            <v>5.1466680590457232E-2</v>
          </cell>
        </row>
      </sheetData>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49</v>
          </cell>
        </row>
        <row r="8">
          <cell r="C8">
            <v>747.61</v>
          </cell>
        </row>
        <row r="9">
          <cell r="C9">
            <v>0</v>
          </cell>
        </row>
      </sheetData>
      <sheetData sheetId="1">
        <row r="37">
          <cell r="X37">
            <v>0.43739157498748304</v>
          </cell>
        </row>
        <row r="42">
          <cell r="AJ42">
            <v>179.69406171187131</v>
          </cell>
        </row>
        <row r="44">
          <cell r="X44">
            <v>0.7324372209847696</v>
          </cell>
        </row>
        <row r="45">
          <cell r="X45">
            <v>-2.4964743583708725E-2</v>
          </cell>
        </row>
        <row r="46">
          <cell r="X46">
            <v>9.6191708387241698E-2</v>
          </cell>
        </row>
      </sheetData>
      <sheetData sheetId="2">
        <row r="18">
          <cell r="C18">
            <v>6.2941209427912495E-2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94.4</v>
          </cell>
        </row>
        <row r="8">
          <cell r="C8">
            <v>297</v>
          </cell>
        </row>
        <row r="9">
          <cell r="C9">
            <v>447</v>
          </cell>
        </row>
      </sheetData>
      <sheetData sheetId="1">
        <row r="19">
          <cell r="AM19">
            <v>-2.3211695123312115E-2</v>
          </cell>
        </row>
        <row r="26">
          <cell r="AM26">
            <v>0.31966183022963557</v>
          </cell>
          <cell r="AV26">
            <v>99.79887531818369</v>
          </cell>
        </row>
        <row r="27">
          <cell r="AM27">
            <v>0.10225065691762825</v>
          </cell>
        </row>
        <row r="28">
          <cell r="AM28">
            <v>0.1965065502183406</v>
          </cell>
        </row>
      </sheetData>
      <sheetData sheetId="2">
        <row r="18">
          <cell r="C18">
            <v>4.1769407639219235E-2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401.58329700000002</v>
          </cell>
        </row>
        <row r="7">
          <cell r="C7">
            <v>398.8</v>
          </cell>
        </row>
        <row r="8">
          <cell r="C8">
            <v>2168</v>
          </cell>
        </row>
      </sheetData>
      <sheetData sheetId="1">
        <row r="45">
          <cell r="AL45">
            <v>1.685957915896541E-3</v>
          </cell>
        </row>
        <row r="50">
          <cell r="AV50">
            <v>17.530246384279053</v>
          </cell>
        </row>
        <row r="52">
          <cell r="AL52">
            <v>0.56897556238873603</v>
          </cell>
        </row>
        <row r="53">
          <cell r="AL53">
            <v>7.1775368182553811E-2</v>
          </cell>
        </row>
        <row r="54">
          <cell r="AL54">
            <v>4.4175576814856496E-2</v>
          </cell>
        </row>
      </sheetData>
      <sheetData sheetId="2">
        <row r="18">
          <cell r="C18">
            <v>6.2908523021171267E-2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Graphics"/>
    </sheetNames>
    <sheetDataSet>
      <sheetData sheetId="0">
        <row r="5">
          <cell r="C5">
            <v>444.29199999999997</v>
          </cell>
        </row>
        <row r="7">
          <cell r="C7">
            <v>7137.8859999999995</v>
          </cell>
        </row>
        <row r="8">
          <cell r="C8">
            <v>14543.260999999999</v>
          </cell>
        </row>
      </sheetData>
      <sheetData sheetId="1">
        <row r="34">
          <cell r="AR34">
            <v>6.45739131769969E-2</v>
          </cell>
        </row>
        <row r="40">
          <cell r="BF40">
            <v>210.62723063462789</v>
          </cell>
        </row>
        <row r="42">
          <cell r="AR42">
            <v>0.39370705238403253</v>
          </cell>
        </row>
        <row r="43">
          <cell r="AR43">
            <v>0.17816647187855345</v>
          </cell>
        </row>
        <row r="44">
          <cell r="AR44">
            <v>0.14665946292208726</v>
          </cell>
        </row>
      </sheetData>
      <sheetData sheetId="2">
        <row r="18">
          <cell r="C18">
            <v>8.5485106254227783E-2</v>
          </cell>
        </row>
      </sheetData>
      <sheetData sheetId="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1532.1</v>
          </cell>
        </row>
        <row r="7">
          <cell r="C7">
            <v>9927</v>
          </cell>
        </row>
        <row r="8">
          <cell r="C8">
            <v>8936</v>
          </cell>
        </row>
      </sheetData>
      <sheetData sheetId="1">
        <row r="59">
          <cell r="AT59">
            <v>9.6488974523656568E-2</v>
          </cell>
        </row>
        <row r="65">
          <cell r="BB65">
            <v>65.749359513050948</v>
          </cell>
        </row>
        <row r="66">
          <cell r="AT66">
            <v>0.43524610969014194</v>
          </cell>
        </row>
        <row r="67">
          <cell r="AT67">
            <v>0.11548899779370131</v>
          </cell>
        </row>
        <row r="68">
          <cell r="AT68">
            <v>0.18238993710691823</v>
          </cell>
        </row>
      </sheetData>
      <sheetData sheetId="2">
        <row r="18">
          <cell r="C18">
            <v>7.9127949801735945E-2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2477</v>
          </cell>
        </row>
        <row r="8">
          <cell r="C8">
            <v>13296</v>
          </cell>
        </row>
        <row r="9">
          <cell r="C9">
            <v>10953</v>
          </cell>
        </row>
      </sheetData>
      <sheetData sheetId="1">
        <row r="19">
          <cell r="AQ19">
            <v>2.2293230289069932E-3</v>
          </cell>
        </row>
        <row r="25">
          <cell r="AQ25">
            <v>0.56928894490991322</v>
          </cell>
          <cell r="AZ25">
            <v>81.506807987771182</v>
          </cell>
        </row>
        <row r="26">
          <cell r="AQ26">
            <v>0.20679172536516646</v>
          </cell>
        </row>
        <row r="27">
          <cell r="AQ27">
            <v>-3.3604336043360432E-2</v>
          </cell>
        </row>
      </sheetData>
      <sheetData sheetId="2">
        <row r="18">
          <cell r="C18">
            <v>7.4473901113322444E-2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5727</v>
          </cell>
        </row>
        <row r="8">
          <cell r="C8">
            <v>19972</v>
          </cell>
        </row>
        <row r="9">
          <cell r="C9">
            <v>35892</v>
          </cell>
        </row>
      </sheetData>
      <sheetData sheetId="1">
        <row r="20">
          <cell r="AJ20">
            <v>0.23426582029327814</v>
          </cell>
        </row>
        <row r="27">
          <cell r="AJ27">
            <v>0.65770300305987184</v>
          </cell>
          <cell r="AS27">
            <v>98.220736355377696</v>
          </cell>
        </row>
        <row r="28">
          <cell r="AJ28">
            <v>0.3980026113564103</v>
          </cell>
        </row>
        <row r="29">
          <cell r="AJ29">
            <v>8.3797054009819974E-2</v>
          </cell>
        </row>
      </sheetData>
      <sheetData sheetId="2">
        <row r="18">
          <cell r="C18">
            <v>4.6045983502813831E-2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1140.5999999999999</v>
          </cell>
        </row>
        <row r="7">
          <cell r="C7">
            <v>3383.4</v>
          </cell>
        </row>
        <row r="8">
          <cell r="C8">
            <v>13914.3</v>
          </cell>
        </row>
      </sheetData>
      <sheetData sheetId="1">
        <row r="29">
          <cell r="AU29">
            <v>0.11551210376337573</v>
          </cell>
        </row>
        <row r="34">
          <cell r="BG34">
            <v>77.425202139684458</v>
          </cell>
        </row>
        <row r="35">
          <cell r="AU35">
            <v>0.68286282925093678</v>
          </cell>
        </row>
        <row r="36">
          <cell r="AU36">
            <v>0.19912663027162861</v>
          </cell>
        </row>
        <row r="37">
          <cell r="AU37">
            <v>0.19078416728902159</v>
          </cell>
        </row>
      </sheetData>
      <sheetData sheetId="2">
        <row r="18">
          <cell r="C18">
            <v>7.3566822435085402E-2</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3">
          <cell r="M3">
            <v>256.04483672436879</v>
          </cell>
        </row>
        <row r="5">
          <cell r="C5">
            <v>462.5</v>
          </cell>
        </row>
        <row r="7">
          <cell r="C7">
            <v>954</v>
          </cell>
        </row>
        <row r="8">
          <cell r="C8">
            <v>16444</v>
          </cell>
        </row>
      </sheetData>
      <sheetData sheetId="1">
        <row r="32">
          <cell r="AN32">
            <v>2.9385406348757082E-2</v>
          </cell>
        </row>
        <row r="38">
          <cell r="AN38">
            <v>0.24643511730205278</v>
          </cell>
        </row>
        <row r="39">
          <cell r="AN39">
            <v>5.7120601173020528E-2</v>
          </cell>
        </row>
        <row r="40">
          <cell r="AN40">
            <v>0.1099431328623126</v>
          </cell>
        </row>
      </sheetData>
      <sheetData sheetId="2">
        <row r="18">
          <cell r="C18">
            <v>5.2633868912505821E-2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915</v>
          </cell>
        </row>
        <row r="7">
          <cell r="C7">
            <v>8575</v>
          </cell>
        </row>
        <row r="8">
          <cell r="C8">
            <v>11223</v>
          </cell>
        </row>
      </sheetData>
      <sheetData sheetId="1">
        <row r="19">
          <cell r="AV19">
            <v>5.0199999999999996</v>
          </cell>
        </row>
        <row r="23">
          <cell r="AV23">
            <v>-0.12527461553824648</v>
          </cell>
        </row>
        <row r="28">
          <cell r="BH28">
            <v>126.13627883623619</v>
          </cell>
        </row>
        <row r="31">
          <cell r="AV31">
            <v>0.62897425652149097</v>
          </cell>
        </row>
        <row r="32">
          <cell r="AV32">
            <v>0.41845995776014611</v>
          </cell>
        </row>
        <row r="33">
          <cell r="AV33">
            <v>0.12240496090590455</v>
          </cell>
        </row>
      </sheetData>
      <sheetData sheetId="2">
        <row r="18">
          <cell r="C18">
            <v>7.7239621578546455E-2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201.5</v>
          </cell>
        </row>
        <row r="7">
          <cell r="C7">
            <v>180.6</v>
          </cell>
        </row>
        <row r="8">
          <cell r="C8">
            <v>1639.8</v>
          </cell>
        </row>
      </sheetData>
      <sheetData sheetId="1">
        <row r="28">
          <cell r="AR28">
            <v>0.2752023769820815</v>
          </cell>
        </row>
        <row r="33">
          <cell r="AY33">
            <v>5.8416428061448409</v>
          </cell>
        </row>
        <row r="36">
          <cell r="AR36">
            <v>0.60342368045649075</v>
          </cell>
        </row>
        <row r="37">
          <cell r="AR37">
            <v>6.4269089270966223E-2</v>
          </cell>
        </row>
        <row r="38">
          <cell r="AR38">
            <v>-0.11275546159267111</v>
          </cell>
        </row>
      </sheetData>
      <sheetData sheetId="2">
        <row r="18">
          <cell r="C18">
            <v>7.3356889927392671E-2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DDM"/>
      <sheetName val="WACC"/>
      <sheetName val="Historical Divs."/>
    </sheetNames>
    <sheetDataSet>
      <sheetData sheetId="0">
        <row r="19">
          <cell r="C19">
            <v>1375.573444643212</v>
          </cell>
        </row>
        <row r="21">
          <cell r="C21">
            <v>51565.447199999995</v>
          </cell>
        </row>
        <row r="22">
          <cell r="C22">
            <v>230927.34039999999</v>
          </cell>
        </row>
      </sheetData>
      <sheetData sheetId="1">
        <row r="28">
          <cell r="AP28">
            <v>0.18403064777276446</v>
          </cell>
        </row>
        <row r="34">
          <cell r="AP34">
            <v>0.16991347811227653</v>
          </cell>
        </row>
        <row r="35">
          <cell r="AP35">
            <v>7.3343493126959369E-2</v>
          </cell>
        </row>
        <row r="36">
          <cell r="AP36">
            <v>0.32048257531959945</v>
          </cell>
        </row>
        <row r="43">
          <cell r="BE43">
            <v>567.86629485039839</v>
          </cell>
        </row>
      </sheetData>
      <sheetData sheetId="2" refreshError="1"/>
      <sheetData sheetId="3">
        <row r="18">
          <cell r="C18">
            <v>3.9365584350273979E-2</v>
          </cell>
        </row>
      </sheetData>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sheetData sheetId="1">
        <row r="28">
          <cell r="AH28">
            <v>7.0498590471111235</v>
          </cell>
        </row>
      </sheetData>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68.105669446937128</v>
          </cell>
        </row>
        <row r="5">
          <cell r="C5">
            <v>8103</v>
          </cell>
        </row>
        <row r="7">
          <cell r="C7">
            <v>9867</v>
          </cell>
        </row>
        <row r="8">
          <cell r="C8">
            <v>40457</v>
          </cell>
        </row>
      </sheetData>
      <sheetData sheetId="1">
        <row r="54">
          <cell r="AT54">
            <v>6.7280193590965709E-2</v>
          </cell>
        </row>
        <row r="62">
          <cell r="AT62">
            <v>0.24140463839525986</v>
          </cell>
        </row>
        <row r="63">
          <cell r="AT63">
            <v>3.3417908714208827E-2</v>
          </cell>
        </row>
        <row r="64">
          <cell r="AT64">
            <v>0.33638928067700985</v>
          </cell>
        </row>
      </sheetData>
      <sheetData sheetId="2">
        <row r="18">
          <cell r="C18">
            <v>4.4827908119862321E-2</v>
          </cell>
        </row>
      </sheetData>
      <sheetData sheetId="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2121.9290000000001</v>
          </cell>
        </row>
        <row r="7">
          <cell r="C7">
            <v>18964</v>
          </cell>
        </row>
        <row r="8">
          <cell r="C8">
            <v>9265</v>
          </cell>
        </row>
      </sheetData>
      <sheetData sheetId="1">
        <row r="40">
          <cell r="AP40">
            <v>0.16952661793769797</v>
          </cell>
        </row>
        <row r="46">
          <cell r="BB46">
            <v>53.855858375008872</v>
          </cell>
        </row>
        <row r="47">
          <cell r="AP47">
            <v>0.39762881896944824</v>
          </cell>
        </row>
        <row r="48">
          <cell r="AP48">
            <v>5.1849467557200719E-2</v>
          </cell>
        </row>
        <row r="49">
          <cell r="AP49">
            <v>6.7748091603053437E-2</v>
          </cell>
        </row>
      </sheetData>
      <sheetData sheetId="2">
        <row r="18">
          <cell r="C18">
            <v>8.8117841621591059E-2</v>
          </cell>
        </row>
      </sheetData>
    </sheetDataSet>
  </externalBook>
</externalLink>
</file>

<file path=xl/persons/person.xml><?xml version="1.0" encoding="utf-8"?>
<personList xmlns="http://schemas.microsoft.com/office/spreadsheetml/2018/threadedcomments" xmlns:x="http://schemas.openxmlformats.org/spreadsheetml/2006/main">
  <person displayName="Bill Sheldon" id="{0B70E71E-C7EA-4D07-A18F-818B0AC5AD56}" userId="667679d5bb2810d2" providerId="Windows Live"/>
  <person displayName="Sheldon, William L" id="{36482EE5-E3AA-4764-BC1F-232FF95AD7AD}"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7">
  <rv s="0">
    <v>https://www.bing.com/financeapi/forcetrigger?t=a1u3rw&amp;q=XNAS%3aGOOGL&amp;form=skydnc</v>
    <v>Learn more on Bing</v>
  </rv>
  <rv s="1">
    <v>en-US</v>
    <v>a1u3rw</v>
    <v>268435456</v>
    <v>1</v>
    <v>Powered by Refinitiv</v>
    <v>0</v>
    <v>ALPHABET INC. (XNAS:GOOGL)</v>
    <v>2</v>
    <v>3</v>
    <v>Finance</v>
    <v>4</v>
    <v>155.74</v>
    <v>102.63</v>
    <v>1.0528</v>
    <v>1.97</v>
    <v>-9.1800000000000009E-4</v>
    <v>1.3087E-2</v>
    <v>-0.14000000000000001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153.41999999999999</v>
    <v>Software &amp; IT Services</v>
    <v>Stock</v>
    <v>45387.99988320547</v>
    <v>0</v>
    <v>149.6</v>
    <v>1904199000000</v>
    <v>ALPHABET INC.</v>
    <v>ALPHABET INC.</v>
    <v>150.03</v>
    <v>25.952999999999999</v>
    <v>150.53</v>
    <v>152.5</v>
    <v>152.36000000000001</v>
    <v>12433000000</v>
    <v>GOOGL</v>
    <v>ALPHABET INC. (XNAS:GOOGL)</v>
    <v>23459246</v>
    <v>33223806</v>
    <v>2015</v>
  </rv>
  <rv s="2">
    <v>1</v>
  </rv>
  <rv s="0">
    <v>https://www.bing.com/financeapi/forcetrigger?t=a1nhlh&amp;q=XNAS%3aAMZN&amp;form=skydnc</v>
    <v>Learn more on Bing</v>
  </rv>
  <rv s="1">
    <v>en-US</v>
    <v>a1nhlh</v>
    <v>268435456</v>
    <v>1</v>
    <v>Powered by Refinitiv</v>
    <v>0</v>
    <v>AMAZON.COM, INC. (XNAS:AMZN)</v>
    <v>2</v>
    <v>3</v>
    <v>Finance</v>
    <v>4</v>
    <v>186.27</v>
    <v>97.704999999999998</v>
    <v>1.1557999999999999</v>
    <v>5.07</v>
    <v>7.0239999999999994E-4</v>
    <v>2.8167000000000001E-2</v>
    <v>0.13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186.27</v>
    <v>Diversified Retail</v>
    <v>Stock</v>
    <v>45387.999993448437</v>
    <v>3</v>
    <v>181.97</v>
    <v>1922393000000</v>
    <v>AMAZON.COM, INC.</v>
    <v>AMAZON.COM, INC.</v>
    <v>182.38</v>
    <v>62.2973</v>
    <v>180</v>
    <v>185.07</v>
    <v>185.2</v>
    <v>10387380000</v>
    <v>AMZN</v>
    <v>AMAZON.COM, INC. (XNAS:AMZN)</v>
    <v>42373992</v>
    <v>35612761</v>
    <v>1996</v>
  </rv>
  <rv s="2">
    <v>4</v>
  </rv>
  <rv s="0">
    <v>https://www.bing.com/financeapi/forcetrigger?t=a1mou2&amp;q=XNAS%3aAAPL&amp;form=skydnc</v>
    <v>Learn more on Bing</v>
  </rv>
  <rv s="1">
    <v>en-US</v>
    <v>a1mou2</v>
    <v>268435456</v>
    <v>1</v>
    <v>Powered by Refinitiv</v>
    <v>0</v>
    <v>APPLE INC. (XNAS:AAPL)</v>
    <v>2</v>
    <v>3</v>
    <v>Finance</v>
    <v>4</v>
    <v>199.62</v>
    <v>159.78</v>
    <v>1.2765</v>
    <v>0.76</v>
    <v>-3.8330000000000005E-4</v>
    <v>4.5019999999999999E-3</v>
    <v>-6.5000000000000002E-2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170.39</v>
    <v>Computers, Phones &amp; Household Electronics</v>
    <v>Stock</v>
    <v>45387.999990346878</v>
    <v>6</v>
    <v>168.95</v>
    <v>2618634000000</v>
    <v>APPLE INC.</v>
    <v>APPLE INC.</v>
    <v>169.59</v>
    <v>26.267499999999998</v>
    <v>168.82</v>
    <v>169.58</v>
    <v>169.51499999999999</v>
    <v>15441880000</v>
    <v>AAPL</v>
    <v>APPLE INC. (XNAS:AAPL)</v>
    <v>42104826</v>
    <v>70672018</v>
    <v>1977</v>
  </rv>
  <rv s="2">
    <v>7</v>
  </rv>
  <rv s="0">
    <v>https://www.bing.com/financeapi/forcetrigger?t=a1o9gh&amp;q=XNYS%3aBBY&amp;form=skydnc</v>
    <v>Learn more on Bing</v>
  </rv>
  <rv s="1">
    <v>en-US</v>
    <v>a1o9gh</v>
    <v>268435456</v>
    <v>1</v>
    <v>Powered by Refinitiv</v>
    <v>0</v>
    <v>Best Buy Co., Inc. (XNYS:BBY)</v>
    <v>2</v>
    <v>3</v>
    <v>Finance</v>
    <v>4</v>
    <v>86.11</v>
    <v>62.3001</v>
    <v>1.5065</v>
    <v>0.61</v>
    <v>-1.382E-3</v>
    <v>7.7219999999999997E-3</v>
    <v>-0.11</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79.851699999999994</v>
    <v>Specialty Retailers</v>
    <v>Stock</v>
    <v>45387.997355057814</v>
    <v>9</v>
    <v>78.8</v>
    <v>17146510000</v>
    <v>Best Buy Co., Inc.</v>
    <v>Best Buy Co., Inc.</v>
    <v>78.88</v>
    <v>13.9094</v>
    <v>79</v>
    <v>79.61</v>
    <v>79.5</v>
    <v>215381400</v>
    <v>BBY</v>
    <v>Best Buy Co., Inc. (XNYS:BBY)</v>
    <v>1680105</v>
    <v>3745696</v>
    <v>1966</v>
  </rv>
  <rv s="2">
    <v>10</v>
  </rv>
  <rv s="0">
    <v>https://www.bing.com/financeapi/forcetrigger?t=a1ohrw&amp;q=XNYS%3aBIG&amp;form=skydnc</v>
    <v>Learn more on Bing</v>
  </rv>
  <rv s="3">
    <v>en-US</v>
    <v>a1ohrw</v>
    <v>268435456</v>
    <v>1</v>
    <v>Powered by Refinitiv</v>
    <v>5</v>
    <v>BIG LOTS, INC. (XNYS:BIG)</v>
    <v>2</v>
    <v>6</v>
    <v>Finance</v>
    <v>4</v>
    <v>12.27</v>
    <v>3.47</v>
    <v>2.3536000000000001</v>
    <v>0.12</v>
    <v>1.0557E-2</v>
    <v>3.2877000000000003E-2</v>
    <v>3.9800000000000002E-2</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3.81</v>
    <v>Diversified Retail</v>
    <v>Stock</v>
    <v>45387.998605381254</v>
    <v>12</v>
    <v>3.6</v>
    <v>110146400</v>
    <v>BIG LOTS, INC.</v>
    <v>BIG LOTS, INC.</v>
    <v>3.62</v>
    <v>3.65</v>
    <v>3.77</v>
    <v>3.8098000000000001</v>
    <v>29216560</v>
    <v>BIG</v>
    <v>BIG LOTS, INC. (XNYS:BIG)</v>
    <v>1046808</v>
    <v>1459278</v>
    <v>2001</v>
  </rv>
  <rv s="2">
    <v>13</v>
  </rv>
  <rv s="0">
    <v>https://www.bing.com/financeapi/forcetrigger?t=a1q6sm&amp;q=XNYS%3aCOTY&amp;form=skydnc</v>
    <v>Learn more on Bing</v>
  </rv>
  <rv s="1">
    <v>en-US</v>
    <v>a1q6sm</v>
    <v>268435456</v>
    <v>1</v>
    <v>Powered by Refinitiv</v>
    <v>0</v>
    <v>COTY INC. (XNYS:COTY)</v>
    <v>2</v>
    <v>3</v>
    <v>Finance</v>
    <v>4</v>
    <v>13.46</v>
    <v>9.0150000000000006</v>
    <v>1.8495999999999999</v>
    <v>-0.03</v>
    <v>0</v>
    <v>-2.712E-3</v>
    <v>0</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11.08</v>
    <v>Personal &amp; Household Products &amp; Services</v>
    <v>Stock</v>
    <v>45387.994841631247</v>
    <v>15</v>
    <v>10.92</v>
    <v>9873713000</v>
    <v>COTY INC.</v>
    <v>COTY INC.</v>
    <v>11</v>
    <v>31.851199999999999</v>
    <v>11.06</v>
    <v>11.03</v>
    <v>11.03</v>
    <v>895168900</v>
    <v>COTY</v>
    <v>COTY INC. (XNYS:COTY)</v>
    <v>3818507</v>
    <v>3377305</v>
    <v>1995</v>
  </rv>
  <rv s="2">
    <v>16</v>
  </rv>
  <rv s="0">
    <v>https://www.bing.com/financeapi/forcetrigger?t=azcrur&amp;q=XNAS%3aDBX&amp;form=skydnc</v>
    <v>Learn more on Bing</v>
  </rv>
  <rv s="1">
    <v>en-US</v>
    <v>azcrur</v>
    <v>268435456</v>
    <v>1</v>
    <v>Powered by Refinitiv</v>
    <v>0</v>
    <v>DROPBOX, INC. (XNAS:DBX)</v>
    <v>2</v>
    <v>3</v>
    <v>Finance</v>
    <v>4</v>
    <v>33.43</v>
    <v>19.545000000000002</v>
    <v>0.70279999999999998</v>
    <v>0.04</v>
    <v>0</v>
    <v>1.722E-3</v>
    <v>0</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23.46</v>
    <v>Software &amp; IT Services</v>
    <v>Stock</v>
    <v>45387.985605983595</v>
    <v>18</v>
    <v>23.155000000000001</v>
    <v>7874226000</v>
    <v>DROPBOX, INC.</v>
    <v>DROPBOX, INC.</v>
    <v>23.25</v>
    <v>17.416699999999999</v>
    <v>23.23</v>
    <v>23.27</v>
    <v>23.27</v>
    <v>338385300</v>
    <v>DBX</v>
    <v>DROPBOX, INC. (XNAS:DBX)</v>
    <v>2939669</v>
    <v>4366718</v>
    <v>2007</v>
  </rv>
  <rv s="2">
    <v>19</v>
  </rv>
  <rv s="0">
    <v>https://www.bing.com/financeapi/forcetrigger?t=c2mtim&amp;q=XNAS%3aDUOL&amp;form=skydnc</v>
    <v>Learn more on Bing</v>
  </rv>
  <rv s="1">
    <v>en-US</v>
    <v>c2mtim</v>
    <v>268435456</v>
    <v>1</v>
    <v>Powered by Refinitiv</v>
    <v>0</v>
    <v>DUOLINGO, INC. (XNAS:DUOL)</v>
    <v>2</v>
    <v>3</v>
    <v>Finance</v>
    <v>4</v>
    <v>245.8699</v>
    <v>116.82</v>
    <v>1.2609999999999999</v>
    <v>-1.17</v>
    <v>5.1159999999999997E-4</v>
    <v>-5.4120000000000001E-3</v>
    <v>0.11</v>
    <v>USD</v>
    <v>Duolingo, Inc. is a technology company, which provides a mobile learning platform. The flagship application, Duolingo, is a language learning application. Duolingo is available in the education category on both Google Play and the Apple App Store. Duolingo offers courses in over 40 languages to more than 85 million monthly active users. Duolingo can also be accessed via desktop computers via a Web browser at https://duolingo.com. Both math and music courses are integrated into the Duolingo App and are available on iOS devices.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218.68</v>
    <v>Software &amp; IT Services</v>
    <v>Stock</v>
    <v>45387.981841284374</v>
    <v>21</v>
    <v>211.92</v>
    <v>9218731000</v>
    <v>DUOLINGO, INC.</v>
    <v>DUOLINGO, INC.</v>
    <v>214.94</v>
    <v>646.47130000000004</v>
    <v>216.18</v>
    <v>215.01</v>
    <v>215.12</v>
    <v>42875830</v>
    <v>DUOL</v>
    <v>DUOLINGO, INC. (XNAS:DUOL)</v>
    <v>392114</v>
    <v>752919</v>
    <v>2011</v>
  </rv>
  <rv s="2">
    <v>22</v>
  </rv>
  <rv s="0">
    <v>https://www.bing.com/financeapi/forcetrigger?t=a1sy77&amp;q=XNYS%3aFL&amp;form=skydnc</v>
    <v>Learn more on Bing</v>
  </rv>
  <rv s="3">
    <v>en-US</v>
    <v>a1sy77</v>
    <v>268435456</v>
    <v>1</v>
    <v>Powered by Refinitiv</v>
    <v>5</v>
    <v>FOOT LOCKER, INC. (XNYS:FL)</v>
    <v>2</v>
    <v>6</v>
    <v>Finance</v>
    <v>4</v>
    <v>42.79</v>
    <v>14.84</v>
    <v>1.4427000000000001</v>
    <v>-0.25</v>
    <v>1.66E-3</v>
    <v>-1.0270999999999999E-2</v>
    <v>0.04</v>
    <v>USD</v>
    <v>Foot Locker, Inc. is a retailer of shoes and apparel. The Company operates through three segments: North America, Europe, Middle East, and Africa (EMEA), and Asia Pacific. The Company's portfolio of brands includes Foot Locker, Kids Foot Locker, Champs Sports, WSS, and atmos. It uses its omni-channel capabilities to bridge the digital world and physical stores, including order-in-store, buy online and pickup-in-store, and buy online and ship-from-store, as well as e-commerce. It operates websites and mobile apps aligned with the brand names of its store banners. The Company operates approximately 2,523 stores in 26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atmos is a digitally led, brand featuring sneakers and apparel.</v>
    <v>14335</v>
    <v>New York Stock Exchange</v>
    <v>XNYS</v>
    <v>XNYS</v>
    <v>330 West 34th Street, NEW YORK, NY, 10001 US</v>
    <v>24.762499999999999</v>
    <v>Specialty Retailers</v>
    <v>Stock</v>
    <v>45387.999905138284</v>
    <v>24</v>
    <v>24.08</v>
    <v>2276375000</v>
    <v>FOOT LOCKER, INC.</v>
    <v>FOOT LOCKER, INC.</v>
    <v>24.13</v>
    <v>24.34</v>
    <v>24.09</v>
    <v>24.13</v>
    <v>94494580</v>
    <v>FL</v>
    <v>FOOT LOCKER, INC. (XNYS:FL)</v>
    <v>2974990</v>
    <v>5510198</v>
    <v>1989</v>
  </rv>
  <rv s="2">
    <v>25</v>
  </rv>
  <rv s="0">
    <v>https://www.bing.com/financeapi/forcetrigger?t=bpipfr&amp;q=XNYS%3aLEVI&amp;form=skydnc</v>
    <v>Learn more on Bing</v>
  </rv>
  <rv s="1">
    <v>en-US</v>
    <v>bpipfr</v>
    <v>268435456</v>
    <v>1</v>
    <v>Powered by Refinitiv</v>
    <v>0</v>
    <v>LEVI STRAUSS &amp; CO. (XNYS:LEVI)</v>
    <v>2</v>
    <v>3</v>
    <v>Finance</v>
    <v>4</v>
    <v>22.39</v>
    <v>12.414999999999999</v>
    <v>1.2216</v>
    <v>-0.42</v>
    <v>2.9199999999999999E-3</v>
    <v>-2.0028999999999998E-2</v>
    <v>0.06</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21.01</v>
    <v>Textiles &amp; Apparel</v>
    <v>Stock</v>
    <v>45387.999632638282</v>
    <v>27</v>
    <v>20.440000000000001</v>
    <v>8179500000</v>
    <v>LEVI STRAUSS &amp; CO.</v>
    <v>LEVI STRAUSS &amp; CO.</v>
    <v>21</v>
    <v>67.951999999999998</v>
    <v>20.97</v>
    <v>20.55</v>
    <v>20.61</v>
    <v>398029200</v>
    <v>LEVI</v>
    <v>LEVI STRAUSS &amp; CO. (XNYS:LEVI)</v>
    <v>6679673</v>
    <v>3193538</v>
    <v>1970</v>
  </rv>
  <rv s="2">
    <v>28</v>
  </rv>
  <rv s="0">
    <v>https://www.bing.com/financeapi/forcetrigger?t=a1ygoc&amp;q=XNAS%3aNFLX&amp;form=skydnc</v>
    <v>Learn more on Bing</v>
  </rv>
  <rv s="1">
    <v>en-US</v>
    <v>a1ygoc</v>
    <v>268435456</v>
    <v>1</v>
    <v>Powered by Refinitiv</v>
    <v>0</v>
    <v>NETFLIX, INC. (XNAS:NFLX)</v>
    <v>2</v>
    <v>3</v>
    <v>Finance</v>
    <v>4</v>
    <v>638</v>
    <v>315.62</v>
    <v>1.2107000000000001</v>
    <v>19.04</v>
    <v>2.562E-3</v>
    <v>3.0852000000000001E-2</v>
    <v>1.63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637.91</v>
    <v>Software &amp; IT Services</v>
    <v>Stock</v>
    <v>45387.99996107578</v>
    <v>30</v>
    <v>622.71</v>
    <v>275313000000</v>
    <v>NETFLIX, INC.</v>
    <v>NETFLIX, INC.</v>
    <v>624.91999999999996</v>
    <v>51.348500000000001</v>
    <v>617.14</v>
    <v>636.17999999999995</v>
    <v>637.80999999999995</v>
    <v>432759600</v>
    <v>NFLX</v>
    <v>NETFLIX, INC. (XNAS:NFLX)</v>
    <v>3378842</v>
    <v>2954555</v>
    <v>1997</v>
  </rv>
  <rv s="2">
    <v>31</v>
  </rv>
  <rv s="0">
    <v>https://www.bing.com/financeapi/forcetrigger?t=a1yjxm&amp;q=XNYS%3aNKE&amp;form=skydnc</v>
    <v>Learn more on Bing</v>
  </rv>
  <rv s="1">
    <v>en-US</v>
    <v>a1yjxm</v>
    <v>268435456</v>
    <v>1</v>
    <v>Powered by Refinitiv</v>
    <v>0</v>
    <v>NIKE, INC. (XNYS:NKE)</v>
    <v>2</v>
    <v>3</v>
    <v>Finance</v>
    <v>4</v>
    <v>128.68</v>
    <v>88.66</v>
    <v>1.0906</v>
    <v>-0.23</v>
    <v>5.6280000000000002E-4</v>
    <v>-2.5819999999999997E-3</v>
    <v>0.05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90.25</v>
    <v>Textiles &amp; Apparel</v>
    <v>Stock</v>
    <v>45387.999975392966</v>
    <v>33</v>
    <v>88.8</v>
    <v>134603400000</v>
    <v>NIKE, INC.</v>
    <v>NIKE, INC.</v>
    <v>89.15</v>
    <v>26.194500000000001</v>
    <v>89.07</v>
    <v>88.84</v>
    <v>88.89</v>
    <v>1515122000</v>
    <v>NKE</v>
    <v>NIKE, INC. (XNYS:NKE)</v>
    <v>9716682</v>
    <v>11279096</v>
    <v>1969</v>
  </rv>
  <rv s="2">
    <v>34</v>
  </rv>
  <rv s="0">
    <v>https://www.bing.com/financeapi/forcetrigger?t=a1yv52&amp;q=XNAS%3aNVDA&amp;form=skydnc</v>
    <v>Learn more on Bing</v>
  </rv>
  <rv s="1">
    <v>en-US</v>
    <v>a1yv52</v>
    <v>268435456</v>
    <v>1</v>
    <v>Powered by Refinitiv</v>
    <v>0</v>
    <v>NVIDIA CORPORATION (XNAS:NVDA)</v>
    <v>2</v>
    <v>3</v>
    <v>Finance</v>
    <v>4</v>
    <v>974</v>
    <v>262.2</v>
    <v>1.7503</v>
    <v>21.03</v>
    <v>4.5449999999999999E-4</v>
    <v>2.4481000000000003E-2</v>
    <v>0.4</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884.81</v>
    <v>Semiconductors &amp; Semiconductor Equipment</v>
    <v>Stock</v>
    <v>45387.999989351563</v>
    <v>36</v>
    <v>859.26</v>
    <v>2200200000000</v>
    <v>NVIDIA CORPORATION</v>
    <v>NVIDIA CORPORATION</v>
    <v>868.66</v>
    <v>72.016099999999994</v>
    <v>859.05</v>
    <v>880.08</v>
    <v>880.48</v>
    <v>2500000000</v>
    <v>NVDA</v>
    <v>NVIDIA CORPORATION (XNAS:NVDA)</v>
    <v>39967846</v>
    <v>57388185</v>
    <v>1998</v>
  </rv>
  <rv s="2">
    <v>37</v>
  </rv>
  <rv s="0">
    <v>https://www.bing.com/financeapi/forcetrigger?t=a1zqnm&amp;q=XNYS%3aPFE&amp;form=skydnc</v>
    <v>Learn more on Bing</v>
  </rv>
  <rv s="1">
    <v>en-US</v>
    <v>a1zqnm</v>
    <v>268435456</v>
    <v>1</v>
    <v>Powered by Refinitiv</v>
    <v>0</v>
    <v>PFIZER INC. (XNYS:PFE)</v>
    <v>2</v>
    <v>3</v>
    <v>Finance</v>
    <v>4</v>
    <v>42.22</v>
    <v>25.61</v>
    <v>0.60909999999999997</v>
    <v>0.01</v>
    <v>1.1250000000000001E-3</v>
    <v>3.7519999999999996E-4</v>
    <v>0.03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26.7</v>
    <v>Pharmaceuticals</v>
    <v>Stock</v>
    <v>45387.999970485937</v>
    <v>39</v>
    <v>26.35</v>
    <v>150963300000</v>
    <v>PFIZER INC.</v>
    <v>PFIZER INC.</v>
    <v>26.56</v>
    <v>74.182299999999998</v>
    <v>26.65</v>
    <v>26.66</v>
    <v>26.69</v>
    <v>5662542000</v>
    <v>PFE</v>
    <v>PFIZER INC. (XNYS:PFE)</v>
    <v>39880542</v>
    <v>45261026</v>
    <v>1942</v>
  </rv>
  <rv s="2">
    <v>40</v>
  </rv>
  <rv s="0">
    <v>https://www.bing.com/financeapi/forcetrigger?t=a22k9c&amp;q=XNAS%3aSBUX&amp;form=skydnc</v>
    <v>Learn more on Bing</v>
  </rv>
  <rv s="1">
    <v>en-US</v>
    <v>a22k9c</v>
    <v>268435456</v>
    <v>1</v>
    <v>Powered by Refinitiv</v>
    <v>0</v>
    <v>STARBUCKS CORPORATION (XNAS:SBUX)</v>
    <v>2</v>
    <v>3</v>
    <v>Finance</v>
    <v>4</v>
    <v>115.48</v>
    <v>86.83</v>
    <v>0.97509999999999997</v>
    <v>-0.77</v>
    <v>1.957E-3</v>
    <v>-8.7880000000000007E-3</v>
    <v>0.17</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87.93</v>
    <v>Hotels &amp; Entertainment Services</v>
    <v>Stock</v>
    <v>45387.999940115624</v>
    <v>42</v>
    <v>86.83</v>
    <v>98331570000</v>
    <v>STARBUCKS CORPORATION</v>
    <v>STARBUCKS CORPORATION</v>
    <v>87.9</v>
    <v>26.737100000000002</v>
    <v>87.62</v>
    <v>86.85</v>
    <v>87.02</v>
    <v>1132200000</v>
    <v>SBUX</v>
    <v>STARBUCKS CORPORATION (XNAS:SBUX)</v>
    <v>7161442</v>
    <v>7645409</v>
    <v>1985</v>
  </rv>
  <rv s="2">
    <v>43</v>
  </rv>
  <rv s="0">
    <v>https://www.bing.com/financeapi/forcetrigger?t=a246z2&amp;q=XNYS%3aTGT&amp;form=skydnc</v>
    <v>Learn more on Bing</v>
  </rv>
  <rv s="1">
    <v>en-US</v>
    <v>a246z2</v>
    <v>268435456</v>
    <v>1</v>
    <v>Powered by Refinitiv</v>
    <v>0</v>
    <v>TARGET CORPORATION (XNYS:TGT)</v>
    <v>2</v>
    <v>3</v>
    <v>Finance</v>
    <v>4</v>
    <v>181.86</v>
    <v>102.93</v>
    <v>1.1538999999999999</v>
    <v>-0.45</v>
    <v>1.281E-3</v>
    <v>-2.6129999999999999E-3</v>
    <v>0.22</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172.54</v>
    <v>Diversified Retail</v>
    <v>Stock</v>
    <v>45387.999979015622</v>
    <v>45</v>
    <v>170.03</v>
    <v>79304520000</v>
    <v>TARGET CORPORATION</v>
    <v>TARGET CORPORATION</v>
    <v>171.62</v>
    <v>19.261299999999999</v>
    <v>172.22</v>
    <v>171.77</v>
    <v>171.99</v>
    <v>461690200</v>
    <v>TGT</v>
    <v>TARGET CORPORATION (XNYS:TGT)</v>
    <v>2333972</v>
    <v>4781814</v>
    <v>1902</v>
  </rv>
  <rv s="2">
    <v>46</v>
  </rv>
  <rv s="0">
    <v>https://www.bing.com/financeapi/forcetrigger?t=a24p1h&amp;q=XNAS%3aTXN&amp;form=skydnc</v>
    <v>Learn more on Bing</v>
  </rv>
  <rv s="1">
    <v>en-US</v>
    <v>a24p1h</v>
    <v>268435456</v>
    <v>1</v>
    <v>Powered by Refinitiv</v>
    <v>0</v>
    <v>TEXAS INSTRUMENTS INCORPORATED (XNAS:TXN)</v>
    <v>2</v>
    <v>3</v>
    <v>Finance</v>
    <v>4</v>
    <v>188.12</v>
    <v>139.47999999999999</v>
    <v>1.0218</v>
    <v>-1.03</v>
    <v>2.9249999999999996E-3</v>
    <v>-6.1119999999999994E-3</v>
    <v>0.49</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169.25</v>
    <v>Semiconductors &amp; Semiconductor Equipment</v>
    <v>Stock</v>
    <v>45387.996429745312</v>
    <v>48</v>
    <v>167.14</v>
    <v>152305700000</v>
    <v>TEXAS INSTRUMENTS INCORPORATED</v>
    <v>TEXAS INSTRUMENTS INCORPORATED</v>
    <v>168.57</v>
    <v>23.837800000000001</v>
    <v>168.53</v>
    <v>167.5</v>
    <v>167.99</v>
    <v>909287700</v>
    <v>TXN</v>
    <v>TEXAS INSTRUMENTS INCORPORATED (XNAS:TXN)</v>
    <v>5012314</v>
    <v>5538001</v>
    <v>1938</v>
  </rv>
  <rv s="2">
    <v>49</v>
  </rv>
  <rv s="0">
    <v>https://www.bing.com/financeapi/forcetrigger?t=a1rvk2&amp;q=XNYS%3aELY&amp;form=skydnc</v>
    <v>Learn more on Bing</v>
  </rv>
  <rv s="1">
    <v>en-US</v>
    <v>a1rvk2</v>
    <v>268435456</v>
    <v>1</v>
    <v>Powered by Refinitiv</v>
    <v>0</v>
    <v>TOPGOLF CALLAWAY BRANDS CORP. (XNYS:MODG)</v>
    <v>2</v>
    <v>3</v>
    <v>Finance</v>
    <v>4</v>
    <v>23.01</v>
    <v>9.84</v>
    <v>1.8596999999999999</v>
    <v>0.2</v>
    <v>-1.2160000000000001E-3</v>
    <v>1.2307999999999999E-2</v>
    <v>-0.02</v>
    <v>USD</v>
    <v>Topgolf Callaway Brands Corp. is a golf and active lifestyle company. The Company provides golf entertainment experiences, designs, and manufactures golf equipment, and sells golf and active lifestyle apparel and other accessories through its family of brand names, which include Topgolf, Callaway Golf, Odyssey, TravisMathew, Jack Wolfskin, OGIO, Toptracer and World Golf Tour. Its segments include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92008-8815 US</v>
    <v>16.574999999999999</v>
    <v>Leisure Products</v>
    <v>Stock</v>
    <v>45387.995347974218</v>
    <v>51</v>
    <v>16.16</v>
    <v>3020187000</v>
    <v>TOPGOLF CALLAWAY BRANDS CORP.</v>
    <v>TOPGOLF CALLAWAY BRANDS CORP.</v>
    <v>16.190000000000001</v>
    <v>35.277799999999999</v>
    <v>16.25</v>
    <v>16.45</v>
    <v>16.43</v>
    <v>183598000</v>
    <v>MODG</v>
    <v>TOPGOLF CALLAWAY BRANDS CORP. (XNYS:MODG)</v>
    <v>2336800</v>
    <v>2729411</v>
    <v>1999</v>
  </rv>
  <rv s="2">
    <v>52</v>
  </rv>
  <rv s="0">
    <v>https://www.bing.com/financeapi/forcetrigger?t=a24bh7&amp;q=XNYS%3aTM&amp;form=skydnc</v>
    <v>Learn more on Bing</v>
  </rv>
  <rv s="1">
    <v>en-US</v>
    <v>a24bh7</v>
    <v>268435456</v>
    <v>1</v>
    <v>Powered by Refinitiv</v>
    <v>0</v>
    <v>TOYOTA MOTOR CORPORATION (XNYS:TM)</v>
    <v>2</v>
    <v>3</v>
    <v>Finance</v>
    <v>4</v>
    <v>255.23</v>
    <v>133.02000000000001</v>
    <v>0.72130000000000005</v>
    <v>1.58</v>
    <v>2.1180000000000001E-3</v>
    <v>6.6059999999999999E-3</v>
    <v>0.51</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241.83</v>
    <v>Automobiles &amp; Auto Parts</v>
    <v>Stock</v>
    <v>45387.995465867971</v>
    <v>54</v>
    <v>238.58</v>
    <v>390166800000</v>
    <v>TOYOTA MOTOR CORPORATION</v>
    <v>TOYOTA MOTOR CORPORATION</v>
    <v>239</v>
    <v>10.1449</v>
    <v>239.16</v>
    <v>240.74</v>
    <v>241.25</v>
    <v>1631499000</v>
    <v>TM</v>
    <v>TOYOTA MOTOR CORPORATION (XNYS:TM)</v>
    <v>191129</v>
    <v>279317</v>
    <v>1937</v>
  </rv>
  <rv s="2">
    <v>55</v>
  </rv>
  <rv s="0">
    <v>https://www.bing.com/financeapi/forcetrigger?t=a1y7rw&amp;q=XNAS%3aVTRS&amp;form=skydnc</v>
    <v>Learn more on Bing</v>
  </rv>
  <rv s="1">
    <v>en-US</v>
    <v>a1y7rw</v>
    <v>268435456</v>
    <v>1</v>
    <v>Powered by Refinitiv</v>
    <v>0</v>
    <v>VIATRIS INC. (XNAS:VTRS)</v>
    <v>2</v>
    <v>3</v>
    <v>Finance</v>
    <v>4</v>
    <v>13.6175</v>
    <v>8.74</v>
    <v>1.1429</v>
    <v>0.04</v>
    <v>7.6270000000000001E-3</v>
    <v>3.4009999999999999E-3</v>
    <v>0.09</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38000</v>
    <v>Nasdaq Stock Market</v>
    <v>XNAS</v>
    <v>XNAS</v>
    <v>1000 Mylan Boulevard, CANONSBURG, PA, 15317 US</v>
    <v>11.83</v>
    <v>Pharmaceuticals</v>
    <v>Stock</v>
    <v>45387.997206585154</v>
    <v>57</v>
    <v>11.634499999999999</v>
    <v>14013320000</v>
    <v>VIATRIS INC.</v>
    <v>VIATRIS INC.</v>
    <v>11.72</v>
    <v>277.81720000000001</v>
    <v>11.76</v>
    <v>11.8</v>
    <v>11.89</v>
    <v>1187569000</v>
    <v>VTRS</v>
    <v>VIATRIS INC. (XNAS:VTRS)</v>
    <v>5794024</v>
    <v>9115806</v>
    <v>2019</v>
  </rv>
  <rv s="2">
    <v>58</v>
  </rv>
  <rv s="0">
    <v>https://www.bing.com/financeapi/forcetrigger?t=a25ya2&amp;q=XNYS%3aWMT&amp;form=skydnc</v>
    <v>Learn more on Bing</v>
  </rv>
  <rv s="1">
    <v>en-US</v>
    <v>a25ya2</v>
    <v>268435456</v>
    <v>1</v>
    <v>Powered by Refinitiv</v>
    <v>0</v>
    <v>WALMART INC. (XNYS:WMT)</v>
    <v>2</v>
    <v>3</v>
    <v>Finance</v>
    <v>4</v>
    <v>61.655000000000001</v>
    <v>48.336599999999997</v>
    <v>0.49480000000000002</v>
    <v>0.35</v>
    <v>0</v>
    <v>5.8819999999999992E-3</v>
    <v>0</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60.04</v>
    <v>Food &amp; Drug Retailing</v>
    <v>Stock</v>
    <v>45387.998519490626</v>
    <v>60</v>
    <v>59.49</v>
    <v>482274200000</v>
    <v>WALMART INC.</v>
    <v>WALMART INC.</v>
    <v>59.55</v>
    <v>40.720700000000001</v>
    <v>59.5</v>
    <v>59.85</v>
    <v>59.85</v>
    <v>8058049000</v>
    <v>WMT</v>
    <v>WALMART INC. (XNYS:WMT)</v>
    <v>10335909</v>
    <v>17237509</v>
    <v>1969</v>
  </rv>
  <rv s="2">
    <v>61</v>
  </rv>
  <rv s="0">
    <v>https://www.bing.com/financeapi/forcetrigger?t=bptw77&amp;q=XNYS%3aUBER&amp;form=skydnc</v>
    <v>Learn more on Bing</v>
  </rv>
  <rv s="1">
    <v>en-US</v>
    <v>bptw77</v>
    <v>268435456</v>
    <v>1</v>
    <v>Powered by Refinitiv</v>
    <v>0</v>
    <v>UBER TECHNOLOGIES, INC. (XNYS:UBER)</v>
    <v>2</v>
    <v>3</v>
    <v>Finance</v>
    <v>4</v>
    <v>82.14</v>
    <v>29.22</v>
    <v>1.3576999999999999</v>
    <v>2.2400000000000002</v>
    <v>-1.3478E-2</v>
    <v>2.9898999999999998E-2</v>
    <v>-1.04</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78.394999999999996</v>
    <v>Software &amp; IT Services</v>
    <v>Stock</v>
    <v>45387.999968425778</v>
    <v>63</v>
    <v>74.92</v>
    <v>160612000000</v>
    <v>UBER TECHNOLOGIES, INC.</v>
    <v>UBER TECHNOLOGIES, INC.</v>
    <v>75.34</v>
    <v>84.310500000000005</v>
    <v>74.92</v>
    <v>77.16</v>
    <v>76.12</v>
    <v>2081544000</v>
    <v>UBER</v>
    <v>UBER TECHNOLOGIES, INC. (XNYS:UBER)</v>
    <v>21572026</v>
    <v>15002503</v>
    <v>2010</v>
  </rv>
  <rv s="2">
    <v>64</v>
  </rv>
  <rv s="4">
    <v>13</v>
    <v>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subType" t="i"/>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5-30T18:09:07.73" personId="{0B70E71E-C7EA-4D07-A18F-818B0AC5AD56}" id="{49B2FB88-EDB1-47B3-9023-937A804038C9}">
    <text>Koyfin</text>
  </threadedComment>
  <threadedComment ref="H2" dT="2024-03-03T17:21:10.22" personId="{0B70E71E-C7EA-4D07-A18F-818B0AC5AD56}" id="{1DF6433C-B120-4A2D-85AF-549564FF6DEE}">
    <text>Koyfin</text>
  </threadedComment>
  <threadedComment ref="M2" dT="2022-07-21T04:49:31.90" personId="{0B70E71E-C7EA-4D07-A18F-818B0AC5AD56}" id="{D9A90F2B-8659-49F8-9E1C-B354DA2DCB3D}">
    <text>previous FY</text>
  </threadedComment>
  <threadedComment ref="N2" dT="2022-07-21T04:49:39.58" personId="{0B70E71E-C7EA-4D07-A18F-818B0AC5AD56}" id="{9E71E09E-0600-4605-8DE5-464B622D8134}">
    <text>previous FY</text>
  </threadedComment>
  <threadedComment ref="O2" dT="2022-07-21T04:49:47.22" personId="{0B70E71E-C7EA-4D07-A18F-818B0AC5AD56}" id="{93C12A89-94F8-43EC-9B6F-DED8B4DC56F8}">
    <text>previous FY</text>
  </threadedComment>
  <threadedComment ref="P2" dT="2022-07-21T04:49:52.47" personId="{0B70E71E-C7EA-4D07-A18F-818B0AC5AD56}" id="{51B9BE83-FA4F-4331-A8E4-230A7629C793}">
    <text>previous FY</text>
  </threadedComment>
  <threadedComment ref="R2" dT="2023-06-15T19:18:41.08" personId="{36482EE5-E3AA-4764-BC1F-232FF95AD7AD}" id="{98132863-37BE-4D21-8DB8-FF1FD4C7CBED}">
    <text>Annual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NFLX.xlsx" TargetMode="External"/><Relationship Id="rId13" Type="http://schemas.openxmlformats.org/officeDocument/2006/relationships/hyperlink" Target="BIG.xlsx" TargetMode="External"/><Relationship Id="rId18" Type="http://schemas.openxmlformats.org/officeDocument/2006/relationships/hyperlink" Target="COTY.xlsx" TargetMode="External"/><Relationship Id="rId26" Type="http://schemas.microsoft.com/office/2017/10/relationships/threadedComment" Target="../threadedComments/threadedComment1.xml"/><Relationship Id="rId3" Type="http://schemas.openxmlformats.org/officeDocument/2006/relationships/hyperlink" Target="TGT.xlsx" TargetMode="External"/><Relationship Id="rId21" Type="http://schemas.openxmlformats.org/officeDocument/2006/relationships/hyperlink" Target="TXN.xlsx" TargetMode="External"/><Relationship Id="rId7" Type="http://schemas.openxmlformats.org/officeDocument/2006/relationships/hyperlink" Target="SBUX.xlsx" TargetMode="External"/><Relationship Id="rId12" Type="http://schemas.openxmlformats.org/officeDocument/2006/relationships/hyperlink" Target="FL.xlsx" TargetMode="External"/><Relationship Id="rId17" Type="http://schemas.openxmlformats.org/officeDocument/2006/relationships/hyperlink" Target="DUOL.xlsx" TargetMode="External"/><Relationship Id="rId25" Type="http://schemas.openxmlformats.org/officeDocument/2006/relationships/comments" Target="../comments1.xml"/><Relationship Id="rId2" Type="http://schemas.openxmlformats.org/officeDocument/2006/relationships/hyperlink" Target="WMT.xlsx" TargetMode="External"/><Relationship Id="rId16" Type="http://schemas.openxmlformats.org/officeDocument/2006/relationships/hyperlink" Target="AAPL.xlsx" TargetMode="External"/><Relationship Id="rId20" Type="http://schemas.openxmlformats.org/officeDocument/2006/relationships/hyperlink" Target="TM.xlsx" TargetMode="External"/><Relationship Id="rId1" Type="http://schemas.openxmlformats.org/officeDocument/2006/relationships/hyperlink" Target="DBX.xlsx" TargetMode="External"/><Relationship Id="rId6" Type="http://schemas.openxmlformats.org/officeDocument/2006/relationships/hyperlink" Target="NKE.xlsx" TargetMode="External"/><Relationship Id="rId11" Type="http://schemas.openxmlformats.org/officeDocument/2006/relationships/hyperlink" Target="VTRS.xlsx" TargetMode="External"/><Relationship Id="rId24" Type="http://schemas.openxmlformats.org/officeDocument/2006/relationships/vmlDrawing" Target="../drawings/vmlDrawing1.vml"/><Relationship Id="rId5" Type="http://schemas.openxmlformats.org/officeDocument/2006/relationships/hyperlink" Target="LEVI.xlsx" TargetMode="External"/><Relationship Id="rId15" Type="http://schemas.openxmlformats.org/officeDocument/2006/relationships/hyperlink" Target="AMZN.xlsx" TargetMode="External"/><Relationship Id="rId23" Type="http://schemas.openxmlformats.org/officeDocument/2006/relationships/printerSettings" Target="../printerSettings/printerSettings2.bin"/><Relationship Id="rId10" Type="http://schemas.openxmlformats.org/officeDocument/2006/relationships/hyperlink" Target="PFE.xlsx" TargetMode="External"/><Relationship Id="rId19" Type="http://schemas.openxmlformats.org/officeDocument/2006/relationships/hyperlink" Target="GOOGL.xlsx" TargetMode="External"/><Relationship Id="rId4" Type="http://schemas.openxmlformats.org/officeDocument/2006/relationships/hyperlink" Target="ELY.xlsx" TargetMode="External"/><Relationship Id="rId9" Type="http://schemas.openxmlformats.org/officeDocument/2006/relationships/hyperlink" Target="NVDA.xlsx" TargetMode="External"/><Relationship Id="rId14" Type="http://schemas.openxmlformats.org/officeDocument/2006/relationships/hyperlink" Target="BBY.xlsx" TargetMode="External"/><Relationship Id="rId22" Type="http://schemas.openxmlformats.org/officeDocument/2006/relationships/hyperlink" Target="UB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x.com/Beth_Kindig/status/1723877664539250931?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98AC-1488-4768-97DC-A6CDF693DFF7}">
  <dimension ref="B3:L32"/>
  <sheetViews>
    <sheetView workbookViewId="0">
      <selection activeCell="C17" sqref="C17"/>
    </sheetView>
  </sheetViews>
  <sheetFormatPr defaultColWidth="9" defaultRowHeight="13.8" x14ac:dyDescent="0.25"/>
  <cols>
    <col min="1" max="1" width="9.796875" style="2" bestFit="1" customWidth="1"/>
    <col min="2" max="2" width="11.796875" style="2" bestFit="1" customWidth="1"/>
    <col min="3" max="4" width="10.296875" style="2" bestFit="1" customWidth="1"/>
    <col min="5" max="5" width="9.19921875" style="2" bestFit="1" customWidth="1"/>
    <col min="6" max="7" width="8.59765625" style="2" customWidth="1"/>
    <col min="8" max="8" width="10.19921875" style="2" bestFit="1" customWidth="1"/>
    <col min="9" max="13" width="8.59765625" style="2" customWidth="1"/>
    <col min="14" max="16384" width="9" style="2"/>
  </cols>
  <sheetData>
    <row r="3" spans="2:5" ht="14.4" x14ac:dyDescent="0.3">
      <c r="B3" s="1" t="s">
        <v>0</v>
      </c>
      <c r="C3" s="25">
        <v>45366</v>
      </c>
      <c r="D3" s="25">
        <v>45000</v>
      </c>
      <c r="E3" s="1" t="s">
        <v>1</v>
      </c>
    </row>
    <row r="4" spans="2:5" ht="14.4" x14ac:dyDescent="0.3">
      <c r="B4" s="3" t="s">
        <v>44</v>
      </c>
      <c r="C4" s="29">
        <v>5.5199999999999999E-2</v>
      </c>
      <c r="D4" s="29">
        <v>4.2299999999999997E-2</v>
      </c>
      <c r="E4" s="24">
        <f t="shared" ref="E4:E7" si="0">C4/D4-1</f>
        <v>0.30496453900709231</v>
      </c>
    </row>
    <row r="5" spans="2:5" ht="14.4" x14ac:dyDescent="0.3">
      <c r="B5" s="3" t="s">
        <v>43</v>
      </c>
      <c r="C5" s="29">
        <v>5.4800000000000001E-2</v>
      </c>
      <c r="D5" s="29">
        <v>4.5600000000000002E-2</v>
      </c>
      <c r="E5" s="24">
        <f t="shared" si="0"/>
        <v>0.20175438596491224</v>
      </c>
    </row>
    <row r="6" spans="2:5" ht="14.4" x14ac:dyDescent="0.3">
      <c r="B6" s="3" t="s">
        <v>45</v>
      </c>
      <c r="C6" s="29">
        <v>5.4800000000000001E-2</v>
      </c>
      <c r="D6" s="29">
        <v>4.7500000000000001E-2</v>
      </c>
      <c r="E6" s="24">
        <f t="shared" si="0"/>
        <v>0.15368421052631587</v>
      </c>
    </row>
    <row r="7" spans="2:5" ht="14.4" x14ac:dyDescent="0.3">
      <c r="B7" s="3" t="s">
        <v>46</v>
      </c>
      <c r="C7" s="29">
        <v>5.4100000000000002E-2</v>
      </c>
      <c r="D7" s="29">
        <v>4.8500000000000001E-2</v>
      </c>
      <c r="E7" s="24">
        <f t="shared" si="0"/>
        <v>0.11546391752577323</v>
      </c>
    </row>
    <row r="8" spans="2:5" ht="14.4" x14ac:dyDescent="0.3">
      <c r="B8" s="3" t="s">
        <v>47</v>
      </c>
      <c r="C8" s="29">
        <v>5.3800000000000001E-2</v>
      </c>
      <c r="D8" s="29">
        <v>4.7300000000000002E-2</v>
      </c>
      <c r="E8" s="24">
        <f>C8/D8-1</f>
        <v>0.13742071881606766</v>
      </c>
    </row>
    <row r="9" spans="2:5" x14ac:dyDescent="0.25">
      <c r="B9" s="3" t="s">
        <v>2</v>
      </c>
      <c r="C9" s="23">
        <v>5.0500000000000003E-2</v>
      </c>
      <c r="D9" s="23">
        <v>4.19E-2</v>
      </c>
      <c r="E9" s="24">
        <f>C9/D9-1</f>
        <v>0.20525059665871126</v>
      </c>
    </row>
    <row r="10" spans="2:5" x14ac:dyDescent="0.25">
      <c r="B10" s="3" t="s">
        <v>3</v>
      </c>
      <c r="C10" s="23">
        <v>4.7199999999999999E-2</v>
      </c>
      <c r="D10" s="23">
        <v>3.9300000000000002E-2</v>
      </c>
      <c r="E10" s="24">
        <f t="shared" ref="E10:E16" si="1">C10/D10-1</f>
        <v>0.20101781170483446</v>
      </c>
    </row>
    <row r="11" spans="2:5" x14ac:dyDescent="0.25">
      <c r="B11" s="3" t="s">
        <v>4</v>
      </c>
      <c r="C11" s="23">
        <v>4.5100000000000001E-2</v>
      </c>
      <c r="D11" s="23">
        <v>3.8300000000000001E-2</v>
      </c>
      <c r="E11" s="24">
        <f t="shared" si="1"/>
        <v>0.17754569190600522</v>
      </c>
    </row>
    <row r="12" spans="2:5" x14ac:dyDescent="0.25">
      <c r="B12" s="3" t="s">
        <v>5</v>
      </c>
      <c r="C12" s="23">
        <v>4.3299999999999998E-2</v>
      </c>
      <c r="D12" s="23">
        <v>3.5900000000000001E-2</v>
      </c>
      <c r="E12" s="24">
        <f t="shared" si="1"/>
        <v>0.20612813370473537</v>
      </c>
    </row>
    <row r="13" spans="2:5" x14ac:dyDescent="0.25">
      <c r="B13" s="3" t="s">
        <v>6</v>
      </c>
      <c r="C13" s="23">
        <v>4.3299999999999998E-2</v>
      </c>
      <c r="D13" s="23">
        <v>3.5700000000000003E-2</v>
      </c>
      <c r="E13" s="24">
        <f t="shared" si="1"/>
        <v>0.21288515406162456</v>
      </c>
    </row>
    <row r="14" spans="2:5" x14ac:dyDescent="0.25">
      <c r="B14" s="3" t="s">
        <v>7</v>
      </c>
      <c r="C14" s="23">
        <v>4.3099999999999999E-2</v>
      </c>
      <c r="D14" s="23">
        <v>3.5099999999999999E-2</v>
      </c>
      <c r="E14" s="24">
        <f t="shared" si="1"/>
        <v>0.22792022792022792</v>
      </c>
    </row>
    <row r="15" spans="2:5" x14ac:dyDescent="0.25">
      <c r="B15" s="3" t="s">
        <v>8</v>
      </c>
      <c r="C15" s="23">
        <v>4.5499999999999999E-2</v>
      </c>
      <c r="D15" s="23">
        <v>3.8199999999999998E-2</v>
      </c>
      <c r="E15" s="24">
        <f t="shared" si="1"/>
        <v>0.19109947643979064</v>
      </c>
    </row>
    <row r="16" spans="2:5" x14ac:dyDescent="0.25">
      <c r="B16" s="3" t="s">
        <v>9</v>
      </c>
      <c r="C16" s="23">
        <v>4.4299999999999999E-2</v>
      </c>
      <c r="D16" s="23">
        <v>3.6999999999999998E-2</v>
      </c>
      <c r="E16" s="24">
        <f t="shared" si="1"/>
        <v>0.19729729729729728</v>
      </c>
    </row>
    <row r="17" spans="2:12" ht="14.4" x14ac:dyDescent="0.3">
      <c r="B17" s="3" t="s">
        <v>42</v>
      </c>
      <c r="C17" s="22" t="s">
        <v>41</v>
      </c>
      <c r="D17" s="7"/>
      <c r="E17" s="22"/>
    </row>
    <row r="19" spans="2:12" x14ac:dyDescent="0.25">
      <c r="C19" s="4"/>
    </row>
    <row r="24" spans="2:12" x14ac:dyDescent="0.25">
      <c r="B24" s="3"/>
    </row>
    <row r="25" spans="2:12" x14ac:dyDescent="0.25">
      <c r="B25" s="3"/>
    </row>
    <row r="26" spans="2:12" x14ac:dyDescent="0.25">
      <c r="B26" s="3"/>
    </row>
    <row r="27" spans="2:12" x14ac:dyDescent="0.25">
      <c r="B27" s="3"/>
      <c r="E27"/>
      <c r="F27"/>
      <c r="G27"/>
      <c r="H27"/>
      <c r="I27"/>
      <c r="J27"/>
      <c r="K27"/>
      <c r="L27"/>
    </row>
    <row r="28" spans="2:12" x14ac:dyDescent="0.25">
      <c r="B28" s="3"/>
    </row>
    <row r="29" spans="2:12" x14ac:dyDescent="0.25">
      <c r="B29" s="3"/>
    </row>
    <row r="30" spans="2:12" x14ac:dyDescent="0.25">
      <c r="B30" s="3"/>
    </row>
    <row r="31" spans="2:12" x14ac:dyDescent="0.25">
      <c r="B31" s="3"/>
    </row>
    <row r="32" spans="2:12" ht="14.4" x14ac:dyDescent="0.3">
      <c r="B32" s="5"/>
      <c r="C32" s="6"/>
    </row>
  </sheetData>
  <sortState xmlns:xlrd2="http://schemas.microsoft.com/office/spreadsheetml/2017/richdata2" ref="H9:T259">
    <sortCondition ref="H9:H25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CBD6-140C-4F1E-BA61-90A42EC2B8A9}">
  <dimension ref="A1:W30"/>
  <sheetViews>
    <sheetView tabSelected="1" workbookViewId="0">
      <pane xSplit="2" ySplit="2" topLeftCell="S3" activePane="bottomRight" state="frozen"/>
      <selection pane="topRight" activeCell="C1" sqref="C1"/>
      <selection pane="bottomLeft" activeCell="A3" sqref="A3"/>
      <selection pane="bottomRight" activeCell="V24" sqref="V24"/>
    </sheetView>
  </sheetViews>
  <sheetFormatPr defaultRowHeight="13.8" x14ac:dyDescent="0.25"/>
  <cols>
    <col min="1" max="1" width="3.19921875" customWidth="1"/>
    <col min="2" max="2" width="50.5" bestFit="1" customWidth="1"/>
    <col min="3" max="3" width="11.796875" customWidth="1"/>
    <col min="4" max="4" width="21.5" bestFit="1" customWidth="1"/>
    <col min="5" max="5" width="24.5" bestFit="1" customWidth="1"/>
    <col min="6" max="6" width="13.59765625" style="18" bestFit="1" customWidth="1"/>
    <col min="7" max="7" width="21.69921875" bestFit="1" customWidth="1"/>
    <col min="8" max="8" width="40.69921875" customWidth="1"/>
    <col min="9" max="9" width="11.8984375" style="39" customWidth="1"/>
    <col min="10" max="10" width="15.796875" style="39" customWidth="1"/>
    <col min="11" max="11" width="14.19921875" style="39" customWidth="1"/>
    <col min="12" max="12" width="8.8984375" style="39" bestFit="1" customWidth="1"/>
    <col min="13" max="13" width="10.796875" customWidth="1"/>
    <col min="14" max="14" width="9.796875" customWidth="1"/>
    <col min="15" max="15" width="9.69921875" customWidth="1"/>
    <col min="16" max="16" width="13" customWidth="1"/>
    <col min="17" max="17" width="11.09765625" customWidth="1"/>
    <col min="18" max="18" width="14.8984375" customWidth="1"/>
    <col min="19" max="19" width="17.3984375" customWidth="1"/>
    <col min="20" max="20" width="16.296875" customWidth="1"/>
    <col min="21" max="21" width="14" customWidth="1"/>
    <col min="22" max="22" width="10.19921875" bestFit="1" customWidth="1"/>
  </cols>
  <sheetData>
    <row r="1" spans="1:23" x14ac:dyDescent="0.25">
      <c r="F1"/>
      <c r="I1"/>
      <c r="J1"/>
      <c r="K1"/>
      <c r="L1"/>
    </row>
    <row r="2" spans="1:23" x14ac:dyDescent="0.25">
      <c r="B2" s="8" t="s">
        <v>10</v>
      </c>
      <c r="C2" s="32" t="s">
        <v>87</v>
      </c>
      <c r="D2" s="32" t="s">
        <v>11</v>
      </c>
      <c r="E2" s="32" t="s">
        <v>12</v>
      </c>
      <c r="F2" s="33" t="s">
        <v>13</v>
      </c>
      <c r="G2" s="32" t="s">
        <v>14</v>
      </c>
      <c r="H2" s="32" t="s">
        <v>15</v>
      </c>
      <c r="I2" s="32" t="s">
        <v>16</v>
      </c>
      <c r="J2" s="32" t="s">
        <v>17</v>
      </c>
      <c r="K2" s="32" t="s">
        <v>18</v>
      </c>
      <c r="L2" s="33" t="s">
        <v>19</v>
      </c>
      <c r="M2" s="33" t="s">
        <v>20</v>
      </c>
      <c r="N2" s="33" t="s">
        <v>21</v>
      </c>
      <c r="O2" s="33" t="s">
        <v>22</v>
      </c>
      <c r="P2" s="33" t="s">
        <v>23</v>
      </c>
      <c r="Q2" s="33" t="s">
        <v>24</v>
      </c>
      <c r="R2" s="33" t="s">
        <v>74</v>
      </c>
      <c r="S2" s="33" t="s">
        <v>50</v>
      </c>
      <c r="T2" s="32" t="s">
        <v>25</v>
      </c>
      <c r="U2" s="32" t="s">
        <v>26</v>
      </c>
      <c r="V2" s="32" t="s">
        <v>1</v>
      </c>
    </row>
    <row r="3" spans="1:23" s="9" customFormat="1" x14ac:dyDescent="0.25">
      <c r="B3" s="21" t="e" vm="1">
        <v>#VALUE!</v>
      </c>
      <c r="C3" s="26">
        <v>1998</v>
      </c>
      <c r="D3" s="18" t="s">
        <v>140</v>
      </c>
      <c r="E3" s="18" t="s">
        <v>141</v>
      </c>
      <c r="F3" s="11">
        <v>182502</v>
      </c>
      <c r="G3" s="26" t="s">
        <v>80</v>
      </c>
      <c r="H3" s="26" t="s">
        <v>142</v>
      </c>
      <c r="I3" s="18">
        <f>[1]Main!$D$5</f>
        <v>12602</v>
      </c>
      <c r="J3" s="11">
        <f t="shared" ref="J3:J8" si="0">T3*I3</f>
        <v>1921805</v>
      </c>
      <c r="K3" s="18">
        <f>[1]Main!$D$7-[1]Main!$D$8</f>
        <v>128671</v>
      </c>
      <c r="L3" s="11">
        <f t="shared" ref="L3:L24" si="1">J3-K3</f>
        <v>1793134</v>
      </c>
      <c r="M3" s="34">
        <f>[1]DCF!$AU$33</f>
        <v>8.6827702272695095E-2</v>
      </c>
      <c r="N3" s="34">
        <f>[1]DCF!$AU$40</f>
        <v>0.56625047984020505</v>
      </c>
      <c r="O3" s="34">
        <f>[1]DCF!$AU$41</f>
        <v>0.27421810445226646</v>
      </c>
      <c r="P3" s="34">
        <f>[1]DCF!$AU$42</f>
        <v>0.13908559562280529</v>
      </c>
      <c r="Q3" s="34">
        <f>[1]WACC!$C$18</f>
        <v>8.1014074204564746E-2</v>
      </c>
      <c r="R3" s="42">
        <v>0</v>
      </c>
      <c r="S3" s="35">
        <f t="shared" ref="S3:S21" si="2">R3/T3</f>
        <v>0</v>
      </c>
      <c r="T3" s="28" cm="1">
        <f t="array" ref="T3">_FV(B3,"Price")</f>
        <v>152.5</v>
      </c>
      <c r="U3" s="28">
        <f>[1]DCF!$BH$38</f>
        <v>157.49677374154334</v>
      </c>
      <c r="V3" s="13">
        <f t="shared" ref="V3:V24" si="3">U3/T3-1</f>
        <v>3.2765729452743253E-2</v>
      </c>
      <c r="W3"/>
    </row>
    <row r="4" spans="1:23" s="11" customFormat="1" x14ac:dyDescent="0.25">
      <c r="A4" s="9"/>
      <c r="B4" s="21" t="e" vm="2">
        <v>#VALUE!</v>
      </c>
      <c r="C4" s="26">
        <v>1994</v>
      </c>
      <c r="D4" s="18" t="s">
        <v>37</v>
      </c>
      <c r="E4" s="18" t="s">
        <v>93</v>
      </c>
      <c r="F4" s="11" cm="1">
        <f t="array" ref="F4">_FV(B4,"Employees")</f>
        <v>1525000</v>
      </c>
      <c r="G4" s="26" t="s">
        <v>29</v>
      </c>
      <c r="H4" s="26" t="s">
        <v>111</v>
      </c>
      <c r="I4" s="18">
        <f>[2]Main!$C$5</f>
        <v>10308</v>
      </c>
      <c r="J4" s="11">
        <f t="shared" si="0"/>
        <v>1907701.5599999998</v>
      </c>
      <c r="K4" s="18">
        <f>[2]Main!$C$7-[2]Main!$C$8</f>
        <v>37750</v>
      </c>
      <c r="L4" s="11">
        <f t="shared" si="1"/>
        <v>1869951.5599999998</v>
      </c>
      <c r="M4" s="34">
        <f>[2]Model!$AU$27</f>
        <v>0.1182957412988368</v>
      </c>
      <c r="N4" s="34">
        <f>[2]Model!$AU$34</f>
        <v>0.46982088955000567</v>
      </c>
      <c r="O4" s="34">
        <f>[2]Model!$AU$35</f>
        <v>6.4114407996033296E-2</v>
      </c>
      <c r="P4" s="34">
        <f>[2]Model!$AU$36</f>
        <v>0.18989802167372261</v>
      </c>
      <c r="Q4" s="34">
        <f>[2]WACC!$C$18</f>
        <v>6.9881909557268029E-2</v>
      </c>
      <c r="R4" s="42">
        <v>0</v>
      </c>
      <c r="S4" s="35">
        <f t="shared" si="2"/>
        <v>0</v>
      </c>
      <c r="T4" s="28" cm="1">
        <f t="array" ref="T4">_FV(B4,"Price")</f>
        <v>185.07</v>
      </c>
      <c r="U4" s="28">
        <f>[2]Model!$BF$30</f>
        <v>111.83755001316251</v>
      </c>
      <c r="V4" s="13">
        <f t="shared" si="3"/>
        <v>-0.39570135617246172</v>
      </c>
      <c r="W4" s="18"/>
    </row>
    <row r="5" spans="1:23" s="9" customFormat="1" x14ac:dyDescent="0.25">
      <c r="B5" s="21" t="e" vm="3">
        <v>#VALUE!</v>
      </c>
      <c r="C5" s="26">
        <v>1976</v>
      </c>
      <c r="D5" s="18" t="s">
        <v>97</v>
      </c>
      <c r="E5" s="18" t="s">
        <v>98</v>
      </c>
      <c r="F5" s="11" cm="1">
        <f t="array" ref="F5">_FV(B5,"Employees")</f>
        <v>161000</v>
      </c>
      <c r="G5" s="18" t="s">
        <v>36</v>
      </c>
      <c r="H5" s="26" t="s">
        <v>112</v>
      </c>
      <c r="I5" s="18">
        <f>[3]Main!$C$5</f>
        <v>15576.641</v>
      </c>
      <c r="J5" s="11">
        <f t="shared" si="0"/>
        <v>2641486.7807800001</v>
      </c>
      <c r="K5" s="18">
        <f>[3]Main!$C$7-[3]Main!$C$8</f>
        <v>64535</v>
      </c>
      <c r="L5" s="11">
        <f t="shared" si="1"/>
        <v>2576951.7807800001</v>
      </c>
      <c r="M5" s="34">
        <f>[3]DCF!$AO$61</f>
        <v>-2.800460530319937E-2</v>
      </c>
      <c r="N5" s="34">
        <f>[3]DCF!$AO$52</f>
        <v>0.44131129577207562</v>
      </c>
      <c r="O5" s="34">
        <f>[3]DCF!$AO$53</f>
        <v>0.29821412265024722</v>
      </c>
      <c r="P5" s="34">
        <f>[3]DCF!$AO$55</f>
        <v>0.14719174228036858</v>
      </c>
      <c r="Q5" s="34">
        <f>[3]WACC!$C$18</f>
        <v>8.8129924088975659E-2</v>
      </c>
      <c r="R5" s="26">
        <f>0.24*4</f>
        <v>0.96</v>
      </c>
      <c r="S5" s="35">
        <f t="shared" si="2"/>
        <v>5.6610449345441674E-3</v>
      </c>
      <c r="T5" s="28" cm="1">
        <f t="array" ref="T5">_FV(B5,"Price")</f>
        <v>169.58</v>
      </c>
      <c r="U5" s="28">
        <f>[3]DCF!$AZ$57</f>
        <v>89.414555445295747</v>
      </c>
      <c r="V5" s="13">
        <f t="shared" si="3"/>
        <v>-0.47272935814780193</v>
      </c>
      <c r="W5"/>
    </row>
    <row r="6" spans="1:23" s="9" customFormat="1" x14ac:dyDescent="0.25">
      <c r="B6" s="21" t="e" vm="4">
        <v>#VALUE!</v>
      </c>
      <c r="C6" s="26">
        <v>1966</v>
      </c>
      <c r="D6" s="26" t="s">
        <v>85</v>
      </c>
      <c r="E6" s="26" t="s">
        <v>86</v>
      </c>
      <c r="F6" s="11" cm="1">
        <f t="array" ref="F6">_FV(B6,"Employees")</f>
        <v>85000</v>
      </c>
      <c r="G6" s="26" t="s">
        <v>29</v>
      </c>
      <c r="H6" s="26" t="s">
        <v>110</v>
      </c>
      <c r="I6" s="18">
        <f>[4]Model!$AC$14</f>
        <v>218.3</v>
      </c>
      <c r="J6" s="11">
        <f t="shared" si="0"/>
        <v>17378.863000000001</v>
      </c>
      <c r="K6" s="18">
        <f>[4]Main!$C$8-[4]Main!$C$9</f>
        <v>-3393</v>
      </c>
      <c r="L6" s="11">
        <f t="shared" si="1"/>
        <v>20771.863000000001</v>
      </c>
      <c r="M6" s="34">
        <f>[4]Model!$AO$17</f>
        <v>-0.10554278317652288</v>
      </c>
      <c r="N6" s="34">
        <f>[4]Model!$AO$24</f>
        <v>0.21409132143937104</v>
      </c>
      <c r="O6" s="34">
        <f>[4]Model!$AO$25</f>
        <v>4.1945656399844489E-2</v>
      </c>
      <c r="P6" s="34">
        <f>[4]Model!$AO$26</f>
        <v>0.19691325172964344</v>
      </c>
      <c r="Q6" s="34">
        <f>[4]WACC!$C$18</f>
        <v>6.0884162938071605E-2</v>
      </c>
      <c r="R6" s="26">
        <f>0.92*4</f>
        <v>3.68</v>
      </c>
      <c r="S6" s="35">
        <f t="shared" si="2"/>
        <v>4.6225348574299711E-2</v>
      </c>
      <c r="T6" s="28" cm="1">
        <f t="array" ref="T6">_FV(B6,"Price")</f>
        <v>79.61</v>
      </c>
      <c r="U6" s="28">
        <f>[4]Model!$BA$24</f>
        <v>77.398062391903039</v>
      </c>
      <c r="V6" s="13">
        <f t="shared" si="3"/>
        <v>-2.7784670369262132E-2</v>
      </c>
      <c r="W6"/>
    </row>
    <row r="7" spans="1:23" s="9" customFormat="1" x14ac:dyDescent="0.25">
      <c r="B7" s="21" t="e" vm="5">
        <v>#VALUE!</v>
      </c>
      <c r="C7" s="38">
        <v>1967</v>
      </c>
      <c r="D7" s="18" t="s">
        <v>92</v>
      </c>
      <c r="E7" s="18" t="s">
        <v>94</v>
      </c>
      <c r="F7" s="11" cm="1">
        <f t="array" ref="F7">_FV(B7,"Employees")</f>
        <v>10200</v>
      </c>
      <c r="G7" s="26" t="s">
        <v>29</v>
      </c>
      <c r="H7" s="26" t="s">
        <v>111</v>
      </c>
      <c r="I7" s="18">
        <f>[5]Main!$C$5</f>
        <v>29.3</v>
      </c>
      <c r="J7" s="11">
        <f t="shared" si="0"/>
        <v>110.461</v>
      </c>
      <c r="K7" s="18">
        <f>[6]Main!$C$7-[6]Main!$C$8</f>
        <v>3156</v>
      </c>
      <c r="L7" s="11">
        <f t="shared" si="1"/>
        <v>-3045.5390000000002</v>
      </c>
      <c r="M7" s="34">
        <f>[5]DCF!$AK$19</f>
        <v>-0.1109279854349241</v>
      </c>
      <c r="N7" s="34">
        <f>[5]DCF!$AK$26</f>
        <v>0.34992408101268224</v>
      </c>
      <c r="O7" s="34">
        <f>[5]DCF!$AK$27</f>
        <v>-1.9502118471657514E-2</v>
      </c>
      <c r="P7" s="34">
        <f>[5]DCF!$AK$28</f>
        <v>0.36638617478095792</v>
      </c>
      <c r="Q7" s="34">
        <f>[5]WACC!$C$18</f>
        <v>6.1315001319892676E-2</v>
      </c>
      <c r="R7" s="42">
        <v>0</v>
      </c>
      <c r="S7" s="35">
        <f t="shared" si="2"/>
        <v>0</v>
      </c>
      <c r="T7" s="28" cm="1">
        <f t="array" ref="T7">_FV(B7,"Price")</f>
        <v>3.77</v>
      </c>
      <c r="U7" s="28">
        <f>[5]DCF!$AT$25</f>
        <v>-119.74897291383805</v>
      </c>
      <c r="V7" s="13">
        <f t="shared" si="3"/>
        <v>-32.76365329279524</v>
      </c>
      <c r="W7"/>
    </row>
    <row r="8" spans="1:23" s="9" customFormat="1" x14ac:dyDescent="0.25">
      <c r="B8" s="21" t="e" vm="6">
        <v>#VALUE!</v>
      </c>
      <c r="C8" s="26">
        <v>1904</v>
      </c>
      <c r="D8" s="18" t="s">
        <v>77</v>
      </c>
      <c r="E8" s="18" t="s">
        <v>101</v>
      </c>
      <c r="F8" s="11" cm="1">
        <f t="array" ref="F8">_FV(B8,"Employees")</f>
        <v>11350</v>
      </c>
      <c r="G8" s="10" t="s">
        <v>35</v>
      </c>
      <c r="H8" s="26" t="s">
        <v>114</v>
      </c>
      <c r="I8" s="18">
        <f>[7]Main!$C$6</f>
        <v>922.8</v>
      </c>
      <c r="J8" s="11">
        <f t="shared" si="0"/>
        <v>10178.483999999999</v>
      </c>
      <c r="K8" s="18">
        <f>[7]Main!$C$8-[7]Main!$C$9</f>
        <v>-3241.8</v>
      </c>
      <c r="L8" s="11">
        <f t="shared" si="1"/>
        <v>13420.284</v>
      </c>
      <c r="M8" s="34">
        <f>[7]Model!$AQ$17</f>
        <v>4.7074127139733024E-2</v>
      </c>
      <c r="N8" s="34">
        <f>[7]Model!$AQ$24</f>
        <v>0.6386813345096416</v>
      </c>
      <c r="O8" s="34">
        <f>[7]Model!$AQ$25</f>
        <v>0.13125438864982633</v>
      </c>
      <c r="P8" s="34">
        <f>[7]Model!$AQ$26</f>
        <v>0.20402201999775299</v>
      </c>
      <c r="Q8" s="34">
        <f>[7]WACC!$C$18</f>
        <v>8.3341765758214809E-2</v>
      </c>
      <c r="R8" s="42">
        <v>0</v>
      </c>
      <c r="S8" s="35">
        <f t="shared" si="2"/>
        <v>0</v>
      </c>
      <c r="T8" s="28" cm="1">
        <f t="array" ref="T8">_FV(B8,"Price")</f>
        <v>11.03</v>
      </c>
      <c r="U8" s="28">
        <f>[7]Model!$AZ$24</f>
        <v>9.4495128429675077</v>
      </c>
      <c r="V8" s="13">
        <f t="shared" si="3"/>
        <v>-0.14328986011173994</v>
      </c>
      <c r="W8"/>
    </row>
    <row r="9" spans="1:23" s="9" customFormat="1" x14ac:dyDescent="0.25">
      <c r="B9" s="20" t="e" vm="7">
        <v>#VALUE!</v>
      </c>
      <c r="C9" s="10" t="s">
        <v>89</v>
      </c>
      <c r="D9" s="10" t="s">
        <v>32</v>
      </c>
      <c r="E9" s="10" t="s">
        <v>40</v>
      </c>
      <c r="F9" s="11" cm="1">
        <f t="array" ref="F9">_FV(B9,"Employees")</f>
        <v>2693</v>
      </c>
      <c r="G9" s="10" t="s">
        <v>36</v>
      </c>
      <c r="H9" s="9" t="s">
        <v>104</v>
      </c>
      <c r="I9" s="11">
        <f>[8]Main!$C$5</f>
        <v>348.8</v>
      </c>
      <c r="J9" s="11">
        <f>I9*T9</f>
        <v>8116.576</v>
      </c>
      <c r="K9" s="11">
        <f>[8]Main!$C$7-[8]Main!$C$8</f>
        <v>-1025.3000000000002</v>
      </c>
      <c r="L9" s="11">
        <f t="shared" si="1"/>
        <v>9141.8760000000002</v>
      </c>
      <c r="M9" s="12">
        <f>[8]Model!$AO$30</f>
        <v>7.7390055146206782E-2</v>
      </c>
      <c r="N9" s="13">
        <f>[8]Model!$AO$33</f>
        <v>0.80893801883951988</v>
      </c>
      <c r="O9" s="13">
        <f>[8]Model!$AO$34</f>
        <v>0.15333992859907947</v>
      </c>
      <c r="P9" s="13">
        <f>[8]Model!$AO$35</f>
        <v>-0.97988583854308287</v>
      </c>
      <c r="Q9" s="13">
        <f>[8]WACC!$C$18</f>
        <v>5.1466680590457232E-2</v>
      </c>
      <c r="R9" s="14">
        <v>0</v>
      </c>
      <c r="S9" s="35">
        <f t="shared" si="2"/>
        <v>0</v>
      </c>
      <c r="T9" s="17" cm="1">
        <f t="array" ref="T9">_FV(B9,"Price")</f>
        <v>23.27</v>
      </c>
      <c r="U9" s="17">
        <f>[8]Main!$M$3</f>
        <v>22.91548481095889</v>
      </c>
      <c r="V9" s="13">
        <f t="shared" si="3"/>
        <v>-1.5234859864250549E-2</v>
      </c>
      <c r="W9" s="26"/>
    </row>
    <row r="10" spans="1:23" s="18" customFormat="1" x14ac:dyDescent="0.25">
      <c r="A10"/>
      <c r="B10" s="21" t="e" vm="8">
        <v>#VALUE!</v>
      </c>
      <c r="C10" s="26">
        <v>2011</v>
      </c>
      <c r="D10" s="18" t="s">
        <v>99</v>
      </c>
      <c r="E10" s="18" t="s">
        <v>100</v>
      </c>
      <c r="F10" s="11" cm="1">
        <f t="array" ref="F10">_FV(B10,"Employees")</f>
        <v>720</v>
      </c>
      <c r="G10" s="26" t="s">
        <v>29</v>
      </c>
      <c r="H10" s="26" t="s">
        <v>113</v>
      </c>
      <c r="I10" s="18">
        <f>[9]Main!$C$6</f>
        <v>49</v>
      </c>
      <c r="J10" s="11">
        <f t="shared" ref="J10:J19" si="4">T10*I10</f>
        <v>10535.49</v>
      </c>
      <c r="K10" s="18">
        <f>[9]Main!$C$8-[9]Main!$C$9</f>
        <v>747.61</v>
      </c>
      <c r="L10" s="11">
        <f t="shared" si="1"/>
        <v>9787.8799999999992</v>
      </c>
      <c r="M10" s="34">
        <f>[9]Model!$X$37</f>
        <v>0.43739157498748304</v>
      </c>
      <c r="N10" s="34">
        <f>[9]Model!$X$44</f>
        <v>0.7324372209847696</v>
      </c>
      <c r="O10" s="34">
        <f>[9]Model!$X$45</f>
        <v>-2.4964743583708725E-2</v>
      </c>
      <c r="P10" s="34">
        <f>[9]Model!$X$46</f>
        <v>9.6191708387241698E-2</v>
      </c>
      <c r="Q10" s="34">
        <f>[9]WACC!$C$18</f>
        <v>6.2941209427912495E-2</v>
      </c>
      <c r="R10" s="42">
        <v>0</v>
      </c>
      <c r="S10" s="35">
        <f t="shared" si="2"/>
        <v>0</v>
      </c>
      <c r="T10" s="28" cm="1">
        <f t="array" ref="T10">_FV(B10,"Price")</f>
        <v>215.01</v>
      </c>
      <c r="U10" s="28">
        <f>[9]Model!$AJ$42</f>
        <v>179.69406171187131</v>
      </c>
      <c r="V10" s="13">
        <f t="shared" si="3"/>
        <v>-0.16425253843136911</v>
      </c>
    </row>
    <row r="11" spans="1:23" s="18" customFormat="1" x14ac:dyDescent="0.25">
      <c r="A11"/>
      <c r="B11" s="21" t="e" vm="9">
        <v>#VALUE!</v>
      </c>
      <c r="C11" s="38">
        <v>1879</v>
      </c>
      <c r="D11" s="18" t="s">
        <v>77</v>
      </c>
      <c r="E11" s="18" t="s">
        <v>88</v>
      </c>
      <c r="F11" s="11" cm="1">
        <f t="array" ref="F11">_FV(B11,"Employees")</f>
        <v>14335</v>
      </c>
      <c r="G11" s="18" t="s">
        <v>29</v>
      </c>
      <c r="H11" s="26" t="s">
        <v>110</v>
      </c>
      <c r="I11" s="18">
        <f>[10]Main!$C$6</f>
        <v>94.4</v>
      </c>
      <c r="J11" s="11">
        <f t="shared" si="4"/>
        <v>2274.096</v>
      </c>
      <c r="K11" s="18">
        <f>[10]Main!$C$8-[10]Main!$C$9</f>
        <v>-150</v>
      </c>
      <c r="L11" s="11">
        <f t="shared" si="1"/>
        <v>2424.096</v>
      </c>
      <c r="M11" s="34">
        <f>[10]Model!$AM$19</f>
        <v>-2.3211695123312115E-2</v>
      </c>
      <c r="N11" s="34">
        <f>[10]Model!$AM$26</f>
        <v>0.31966183022963557</v>
      </c>
      <c r="O11" s="34">
        <f>[10]Model!$AM$27</f>
        <v>0.10225065691762825</v>
      </c>
      <c r="P11" s="34">
        <f>[10]Model!$AM$28</f>
        <v>0.1965065502183406</v>
      </c>
      <c r="Q11" s="34">
        <f>[10]WACC!$C$18</f>
        <v>4.1769407639219235E-2</v>
      </c>
      <c r="R11" s="28">
        <f>0.4*4</f>
        <v>1.6</v>
      </c>
      <c r="S11" s="35">
        <f t="shared" si="2"/>
        <v>6.6417600664176013E-2</v>
      </c>
      <c r="T11" s="28" cm="1">
        <f t="array" ref="T11">_FV(B11,"Price")</f>
        <v>24.09</v>
      </c>
      <c r="U11" s="28">
        <f>[10]Model!$AV$26</f>
        <v>99.79887531818369</v>
      </c>
      <c r="V11" s="13">
        <f t="shared" si="3"/>
        <v>3.142751154760635</v>
      </c>
    </row>
    <row r="12" spans="1:23" s="18" customFormat="1" x14ac:dyDescent="0.25">
      <c r="A12"/>
      <c r="B12" s="19" t="e" vm="10">
        <v>#VALUE!</v>
      </c>
      <c r="C12" s="37">
        <v>1853</v>
      </c>
      <c r="D12" s="9" t="s">
        <v>32</v>
      </c>
      <c r="E12" s="9" t="s">
        <v>95</v>
      </c>
      <c r="F12" s="11" cm="1">
        <f t="array" ref="F12">_FV(B12,"Employees")</f>
        <v>19100</v>
      </c>
      <c r="G12" s="10" t="s">
        <v>29</v>
      </c>
      <c r="H12" s="9" t="s">
        <v>103</v>
      </c>
      <c r="I12" s="11">
        <f>[11]Main!$C$5</f>
        <v>401.58329700000002</v>
      </c>
      <c r="J12" s="11">
        <f t="shared" si="4"/>
        <v>8252.5367533500012</v>
      </c>
      <c r="K12" s="11">
        <f>[11]Main!$C$7-[11]Main!$C$8</f>
        <v>-1769.2</v>
      </c>
      <c r="L12" s="11">
        <f t="shared" si="1"/>
        <v>10021.736753350002</v>
      </c>
      <c r="M12" s="12">
        <f>[11]Model!$AL$45</f>
        <v>1.685957915896541E-3</v>
      </c>
      <c r="N12" s="13">
        <f>[11]Model!$AL$52</f>
        <v>0.56897556238873603</v>
      </c>
      <c r="O12" s="13">
        <f>[11]Model!$AL$53</f>
        <v>7.1775368182553811E-2</v>
      </c>
      <c r="P12" s="13">
        <f>[11]Model!$AL$54</f>
        <v>4.4175576814856496E-2</v>
      </c>
      <c r="Q12" s="13">
        <f>[11]WACC!$C$18</f>
        <v>6.2908523021171267E-2</v>
      </c>
      <c r="R12" s="16">
        <f>0.12*4</f>
        <v>0.48</v>
      </c>
      <c r="S12" s="35">
        <f t="shared" si="2"/>
        <v>2.3357664233576641E-2</v>
      </c>
      <c r="T12" s="17" cm="1">
        <f t="array" ref="T12">_FV(B12,"Price")</f>
        <v>20.55</v>
      </c>
      <c r="U12" s="17">
        <f>[11]Model!$AV$50</f>
        <v>17.530246384279053</v>
      </c>
      <c r="V12" s="13">
        <f t="shared" si="3"/>
        <v>-0.14694664796695611</v>
      </c>
    </row>
    <row r="13" spans="1:23" s="18" customFormat="1" x14ac:dyDescent="0.25">
      <c r="A13"/>
      <c r="B13" s="21" t="e" vm="11">
        <v>#VALUE!</v>
      </c>
      <c r="C13" s="38">
        <v>1997</v>
      </c>
      <c r="D13" s="18" t="s">
        <v>79</v>
      </c>
      <c r="E13" s="18" t="s">
        <v>96</v>
      </c>
      <c r="F13" s="11" cm="1">
        <f t="array" ref="F13">_FV(B13,"Employees")</f>
        <v>13000</v>
      </c>
      <c r="G13" s="18" t="s">
        <v>80</v>
      </c>
      <c r="H13" s="18" t="s">
        <v>107</v>
      </c>
      <c r="I13" s="18">
        <f>[12]Main!$C$5</f>
        <v>444.29199999999997</v>
      </c>
      <c r="J13" s="11">
        <f t="shared" si="4"/>
        <v>282649.68455999997</v>
      </c>
      <c r="K13" s="18">
        <f>[12]Main!$C$7-[12]Main!$C$8</f>
        <v>-7405.3749999999991</v>
      </c>
      <c r="L13" s="11">
        <f t="shared" si="1"/>
        <v>290055.05955999997</v>
      </c>
      <c r="M13" s="34">
        <f>[12]Model!$AR$34</f>
        <v>6.45739131769969E-2</v>
      </c>
      <c r="N13" s="34">
        <f>[12]Model!$AR$42</f>
        <v>0.39370705238403253</v>
      </c>
      <c r="O13" s="34">
        <f>[12]Model!$AR$43</f>
        <v>0.17816647187855345</v>
      </c>
      <c r="P13" s="34">
        <f>[12]Model!$AR$44</f>
        <v>0.14665946292208726</v>
      </c>
      <c r="Q13" s="34">
        <f>[12]WACC!$C$18</f>
        <v>8.5485106254227783E-2</v>
      </c>
      <c r="R13" s="28">
        <v>0</v>
      </c>
      <c r="S13" s="35">
        <f t="shared" si="2"/>
        <v>0</v>
      </c>
      <c r="T13" s="27" cm="1">
        <f t="array" ref="T13">_FV(B13,"Price")</f>
        <v>636.17999999999995</v>
      </c>
      <c r="U13" s="28">
        <f>[12]Model!$BF$40</f>
        <v>210.62723063462789</v>
      </c>
      <c r="V13" s="13">
        <f t="shared" si="3"/>
        <v>-0.66891881128827069</v>
      </c>
    </row>
    <row r="14" spans="1:23" x14ac:dyDescent="0.25">
      <c r="B14" s="19" t="e" vm="12">
        <v>#VALUE!</v>
      </c>
      <c r="C14" s="37">
        <v>1964</v>
      </c>
      <c r="D14" s="9" t="s">
        <v>30</v>
      </c>
      <c r="E14" s="9" t="s">
        <v>31</v>
      </c>
      <c r="F14" s="11" cm="1">
        <f t="array" ref="F14">_FV(B14,"Employees")</f>
        <v>83700</v>
      </c>
      <c r="G14" s="10" t="s">
        <v>29</v>
      </c>
      <c r="H14" s="9" t="s">
        <v>103</v>
      </c>
      <c r="I14" s="11">
        <f>[13]Main!$C$5</f>
        <v>1532.1</v>
      </c>
      <c r="J14" s="11">
        <f t="shared" si="4"/>
        <v>136111.764</v>
      </c>
      <c r="K14" s="11">
        <f>[13]Main!$C$7-[13]Main!$C$8</f>
        <v>991</v>
      </c>
      <c r="L14" s="11">
        <f t="shared" si="1"/>
        <v>135120.764</v>
      </c>
      <c r="M14" s="12">
        <f>[13]DCF!$AT$59</f>
        <v>9.6488974523656568E-2</v>
      </c>
      <c r="N14" s="13">
        <f>[13]DCF!$AT$66</f>
        <v>0.43524610969014194</v>
      </c>
      <c r="O14" s="13">
        <f>[13]DCF!$AT$67</f>
        <v>0.11548899779370131</v>
      </c>
      <c r="P14" s="13">
        <f>[13]DCF!$AT$68</f>
        <v>0.18238993710691823</v>
      </c>
      <c r="Q14" s="13">
        <f>[13]WACC!$C$18</f>
        <v>7.9127949801735945E-2</v>
      </c>
      <c r="R14" s="16">
        <v>1.48</v>
      </c>
      <c r="S14" s="35">
        <f t="shared" si="2"/>
        <v>1.6659162539396668E-2</v>
      </c>
      <c r="T14" s="17" cm="1">
        <f t="array" ref="T14">_FV(B14,"Price")</f>
        <v>88.84</v>
      </c>
      <c r="U14" s="17">
        <f>[13]DCF!$BB$65</f>
        <v>65.749359513050948</v>
      </c>
      <c r="V14" s="13">
        <f t="shared" si="3"/>
        <v>-0.25991265743976877</v>
      </c>
    </row>
    <row r="15" spans="1:23" s="26" customFormat="1" x14ac:dyDescent="0.25">
      <c r="A15"/>
      <c r="B15" s="21" t="e" vm="13">
        <v>#VALUE!</v>
      </c>
      <c r="C15" s="38">
        <v>1993</v>
      </c>
      <c r="D15" s="18" t="s">
        <v>78</v>
      </c>
      <c r="E15" s="18" t="s">
        <v>81</v>
      </c>
      <c r="F15" s="11" cm="1">
        <f t="array" ref="F15">_FV(B15,"Employees")</f>
        <v>29600</v>
      </c>
      <c r="G15" s="18" t="s">
        <v>36</v>
      </c>
      <c r="H15" s="18" t="s">
        <v>108</v>
      </c>
      <c r="I15" s="18">
        <f>[14]Main!$C$6</f>
        <v>2477</v>
      </c>
      <c r="J15" s="11">
        <f t="shared" si="4"/>
        <v>2179958.16</v>
      </c>
      <c r="K15" s="18">
        <f>[14]Main!$C$8-[14]Main!$C$9</f>
        <v>2343</v>
      </c>
      <c r="L15" s="11">
        <f t="shared" si="1"/>
        <v>2177615.16</v>
      </c>
      <c r="M15" s="34">
        <f>[14]Model!$AQ$19</f>
        <v>2.2293230289069932E-3</v>
      </c>
      <c r="N15" s="34">
        <f>[14]Model!$AQ$25</f>
        <v>0.56928894490991322</v>
      </c>
      <c r="O15" s="34">
        <f>[14]Model!$AQ$26</f>
        <v>0.20679172536516646</v>
      </c>
      <c r="P15" s="34">
        <f>[14]Model!$AQ$27</f>
        <v>-3.3604336043360432E-2</v>
      </c>
      <c r="Q15" s="34">
        <f>[14]WACC!$C$18</f>
        <v>7.4473901113322444E-2</v>
      </c>
      <c r="R15" s="28">
        <f>0.04*4</f>
        <v>0.16</v>
      </c>
      <c r="S15" s="35">
        <f t="shared" si="2"/>
        <v>1.8180165439505498E-4</v>
      </c>
      <c r="T15" s="27" cm="1">
        <f t="array" ref="T15">_FV(B15,"Price")</f>
        <v>880.08</v>
      </c>
      <c r="U15" s="28">
        <f>[14]Model!$AZ$25</f>
        <v>81.506807987771182</v>
      </c>
      <c r="V15" s="13">
        <f t="shared" si="3"/>
        <v>-0.90738704664601944</v>
      </c>
    </row>
    <row r="16" spans="1:23" x14ac:dyDescent="0.25">
      <c r="B16" s="21" t="e" vm="14">
        <v>#VALUE!</v>
      </c>
      <c r="C16" s="38">
        <v>1849</v>
      </c>
      <c r="D16" s="18" t="s">
        <v>77</v>
      </c>
      <c r="E16" s="18" t="s">
        <v>82</v>
      </c>
      <c r="F16" s="11" cm="1">
        <f t="array" ref="F16">_FV(B16,"Employees")</f>
        <v>88000</v>
      </c>
      <c r="G16" s="18" t="s">
        <v>83</v>
      </c>
      <c r="H16" s="18" t="s">
        <v>109</v>
      </c>
      <c r="I16" s="18">
        <f>[15]Main!$C$6</f>
        <v>5727</v>
      </c>
      <c r="J16" s="11">
        <f t="shared" si="4"/>
        <v>152681.82</v>
      </c>
      <c r="K16" s="18">
        <f>[15]Main!$C$8-[15]Main!$C$9</f>
        <v>-15920</v>
      </c>
      <c r="L16" s="11">
        <f t="shared" si="1"/>
        <v>168601.82</v>
      </c>
      <c r="M16" s="34">
        <f>[15]Model!$AJ$20</f>
        <v>0.23426582029327814</v>
      </c>
      <c r="N16" s="34">
        <f>[15]Model!$AJ$27</f>
        <v>0.65770300305987184</v>
      </c>
      <c r="O16" s="34">
        <f>[15]Model!$AJ$28</f>
        <v>0.3980026113564103</v>
      </c>
      <c r="P16" s="34">
        <f>[15]Model!$AJ$29</f>
        <v>8.3797054009819974E-2</v>
      </c>
      <c r="Q16" s="34">
        <f>[15]WACC!$C$18</f>
        <v>4.6045983502813831E-2</v>
      </c>
      <c r="R16" s="28">
        <f>0.42*4</f>
        <v>1.68</v>
      </c>
      <c r="S16" s="35">
        <f t="shared" si="2"/>
        <v>6.3015753938484617E-2</v>
      </c>
      <c r="T16" s="27" cm="1">
        <f t="array" ref="T16">_FV(B16,"Price")</f>
        <v>26.66</v>
      </c>
      <c r="U16" s="28">
        <f>[15]Model!$AS$27</f>
        <v>98.220736355377696</v>
      </c>
      <c r="V16" s="13">
        <f t="shared" si="3"/>
        <v>2.6841986629924115</v>
      </c>
    </row>
    <row r="17" spans="2:22" x14ac:dyDescent="0.25">
      <c r="B17" s="21" t="e" vm="15">
        <v>#VALUE!</v>
      </c>
      <c r="C17" s="38">
        <v>1971</v>
      </c>
      <c r="D17" s="26" t="s">
        <v>37</v>
      </c>
      <c r="E17" s="26" t="s">
        <v>75</v>
      </c>
      <c r="F17" s="11" cm="1">
        <f t="array" ref="F17">_FV(B17,"Employees")</f>
        <v>381000</v>
      </c>
      <c r="G17" s="26" t="s">
        <v>29</v>
      </c>
      <c r="H17" s="9" t="s">
        <v>106</v>
      </c>
      <c r="I17" s="18">
        <f>[16]Main!$C$5</f>
        <v>1140.5999999999999</v>
      </c>
      <c r="J17" s="11">
        <f t="shared" si="4"/>
        <v>99061.109999999986</v>
      </c>
      <c r="K17" s="18">
        <f>[16]Main!$C$7-[16]Main!$C$8</f>
        <v>-10530.9</v>
      </c>
      <c r="L17" s="11">
        <f t="shared" si="1"/>
        <v>109592.00999999998</v>
      </c>
      <c r="M17" s="34">
        <f>[16]DCF!$AU$29</f>
        <v>0.11551210376337573</v>
      </c>
      <c r="N17" s="34">
        <f>[16]DCF!$AU$35</f>
        <v>0.68286282925093678</v>
      </c>
      <c r="O17" s="34">
        <f>[16]DCF!$AU$36</f>
        <v>0.19912663027162861</v>
      </c>
      <c r="P17" s="34">
        <f>[16]DCF!$AU$37</f>
        <v>0.19078416728902159</v>
      </c>
      <c r="Q17" s="34">
        <f>[16]WACC!$C$18</f>
        <v>7.3566822435085402E-2</v>
      </c>
      <c r="R17" s="26">
        <f>0.57*4</f>
        <v>2.2799999999999998</v>
      </c>
      <c r="S17" s="35">
        <f t="shared" si="2"/>
        <v>2.6252158894645942E-2</v>
      </c>
      <c r="T17" s="27" cm="1">
        <f t="array" ref="T17">_FV(B17,"Price")</f>
        <v>86.85</v>
      </c>
      <c r="U17" s="28">
        <f>[16]DCF!$BG$34</f>
        <v>77.425202139684458</v>
      </c>
      <c r="V17" s="13">
        <f t="shared" si="3"/>
        <v>-0.10851811007847478</v>
      </c>
    </row>
    <row r="18" spans="2:22" x14ac:dyDescent="0.25">
      <c r="B18" s="20" t="e" vm="16">
        <v>#VALUE!</v>
      </c>
      <c r="C18" s="15" t="s">
        <v>91</v>
      </c>
      <c r="D18" s="15" t="s">
        <v>27</v>
      </c>
      <c r="E18" s="15" t="s">
        <v>28</v>
      </c>
      <c r="F18" s="11" cm="1">
        <f t="array" ref="F18">_FV(B18,"Employees")</f>
        <v>415000</v>
      </c>
      <c r="G18" s="10" t="s">
        <v>35</v>
      </c>
      <c r="H18" s="9" t="s">
        <v>102</v>
      </c>
      <c r="I18" s="11">
        <f>[17]Main!$C$5</f>
        <v>462.5</v>
      </c>
      <c r="J18" s="11">
        <f t="shared" si="4"/>
        <v>79443.625</v>
      </c>
      <c r="K18" s="11">
        <f>[17]Main!$C$7-[17]Main!$C$8</f>
        <v>-15490</v>
      </c>
      <c r="L18" s="11">
        <f t="shared" si="1"/>
        <v>94933.625</v>
      </c>
      <c r="M18" s="12">
        <f>[17]DCF!$AN$32</f>
        <v>2.9385406348757082E-2</v>
      </c>
      <c r="N18" s="13">
        <f>[17]DCF!$AN$38</f>
        <v>0.24643511730205278</v>
      </c>
      <c r="O18" s="13">
        <f>[17]DCF!$AN$39</f>
        <v>5.7120601173020528E-2</v>
      </c>
      <c r="P18" s="13">
        <f>[17]DCF!$AN$40</f>
        <v>0.1099431328623126</v>
      </c>
      <c r="Q18" s="13">
        <f>[17]WACC!$C$18</f>
        <v>5.2633868912505821E-2</v>
      </c>
      <c r="R18" s="16">
        <f>1.1*4</f>
        <v>4.4000000000000004</v>
      </c>
      <c r="S18" s="35">
        <f t="shared" si="2"/>
        <v>2.5615648832741457E-2</v>
      </c>
      <c r="T18" s="17" cm="1">
        <f t="array" ref="T18">_FV(B18,"Price")</f>
        <v>171.77</v>
      </c>
      <c r="U18" s="17">
        <f>[17]Main!$M$3</f>
        <v>256.04483672436879</v>
      </c>
      <c r="V18" s="13">
        <f t="shared" si="3"/>
        <v>0.49062605067455767</v>
      </c>
    </row>
    <row r="19" spans="2:22" x14ac:dyDescent="0.25">
      <c r="B19" s="21" t="e" vm="17">
        <v>#VALUE!</v>
      </c>
      <c r="C19" s="26">
        <v>1930</v>
      </c>
      <c r="D19" s="18" t="s">
        <v>143</v>
      </c>
      <c r="E19" s="18" t="s">
        <v>144</v>
      </c>
      <c r="F19" s="11">
        <v>34000</v>
      </c>
      <c r="G19" s="26" t="s">
        <v>36</v>
      </c>
      <c r="H19" s="26" t="s">
        <v>108</v>
      </c>
      <c r="I19" s="18">
        <f>[18]Main!$C$5</f>
        <v>915</v>
      </c>
      <c r="J19" s="11">
        <f t="shared" si="4"/>
        <v>153262.5</v>
      </c>
      <c r="K19" s="18">
        <f>[18]Main!$C$7-[18]Main!$C$8</f>
        <v>-2648</v>
      </c>
      <c r="L19" s="11">
        <f t="shared" si="1"/>
        <v>155910.5</v>
      </c>
      <c r="M19" s="34">
        <f>[18]Model!$AV$23</f>
        <v>-0.12527461553824648</v>
      </c>
      <c r="N19" s="34">
        <f>[18]Model!$AV$31</f>
        <v>0.62897425652149097</v>
      </c>
      <c r="O19" s="34">
        <f>[18]Model!$AV$32</f>
        <v>0.41845995776014611</v>
      </c>
      <c r="P19" s="34">
        <f>[18]Model!$AV$33</f>
        <v>0.12240496090590455</v>
      </c>
      <c r="Q19" s="34">
        <f>[18]WACC!$C$18</f>
        <v>7.7239621578546455E-2</v>
      </c>
      <c r="R19" s="28">
        <f>[18]Model!$AV$19</f>
        <v>5.0199999999999996</v>
      </c>
      <c r="S19" s="35">
        <f t="shared" si="2"/>
        <v>2.997014925373134E-2</v>
      </c>
      <c r="T19" s="28" cm="1">
        <f t="array" ref="T19">_FV(B19,"Price")</f>
        <v>167.5</v>
      </c>
      <c r="U19" s="28">
        <f>[18]Model!$BH$28</f>
        <v>126.13627883623619</v>
      </c>
      <c r="V19" s="13">
        <f t="shared" si="3"/>
        <v>-0.24694758903739589</v>
      </c>
    </row>
    <row r="20" spans="2:22" x14ac:dyDescent="0.25">
      <c r="B20" s="19" t="e" vm="18">
        <v>#VALUE!</v>
      </c>
      <c r="C20" s="37">
        <v>1982</v>
      </c>
      <c r="D20" s="9" t="s">
        <v>38</v>
      </c>
      <c r="E20" s="9" t="s">
        <v>39</v>
      </c>
      <c r="F20" s="11" cm="1">
        <f t="array" ref="F20">_FV(B20,"Employees")</f>
        <v>32000</v>
      </c>
      <c r="G20" s="10" t="s">
        <v>29</v>
      </c>
      <c r="H20" s="9" t="s">
        <v>105</v>
      </c>
      <c r="I20" s="11">
        <f>[19]Main!$C$5</f>
        <v>201.5</v>
      </c>
      <c r="J20" s="11">
        <f>I20*T20</f>
        <v>3314.6749999999997</v>
      </c>
      <c r="K20" s="11">
        <f>[19]Main!$C$7-[19]Main!$C$8</f>
        <v>-1459.2</v>
      </c>
      <c r="L20" s="11">
        <f t="shared" si="1"/>
        <v>4773.875</v>
      </c>
      <c r="M20" s="12">
        <f>[19]Model!$AR$28</f>
        <v>0.2752023769820815</v>
      </c>
      <c r="N20" s="13">
        <f>[19]Model!$AR$36</f>
        <v>0.60342368045649075</v>
      </c>
      <c r="O20" s="13">
        <f>[19]Model!$AR$37</f>
        <v>6.4269089270966223E-2</v>
      </c>
      <c r="P20" s="13">
        <f>[19]Model!$AR$38</f>
        <v>-0.11275546159267111</v>
      </c>
      <c r="Q20" s="13">
        <f>[19]WACC!$C$18</f>
        <v>7.3356889927392671E-2</v>
      </c>
      <c r="R20" s="14">
        <v>0</v>
      </c>
      <c r="S20" s="35">
        <f t="shared" si="2"/>
        <v>0</v>
      </c>
      <c r="T20" s="17" cm="1">
        <f t="array" ref="T20">_FV(B20,"Price")</f>
        <v>16.45</v>
      </c>
      <c r="U20" s="17">
        <f>[19]Model!$AY$33</f>
        <v>5.8416428061448409</v>
      </c>
      <c r="V20" s="13">
        <f t="shared" si="3"/>
        <v>-0.64488493579666617</v>
      </c>
    </row>
    <row r="21" spans="2:22" x14ac:dyDescent="0.25">
      <c r="B21" s="21" t="e" vm="19">
        <v>#VALUE!</v>
      </c>
      <c r="C21" s="26">
        <v>1933</v>
      </c>
      <c r="D21" s="18" t="s">
        <v>137</v>
      </c>
      <c r="E21" s="26" t="s">
        <v>138</v>
      </c>
      <c r="F21" s="11">
        <v>375235</v>
      </c>
      <c r="G21" s="26" t="s">
        <v>29</v>
      </c>
      <c r="H21" s="26" t="s">
        <v>139</v>
      </c>
      <c r="I21" s="18">
        <f>[20]Main!$C$19</f>
        <v>1375.573444643212</v>
      </c>
      <c r="J21" s="11">
        <f>T21*I21</f>
        <v>331155.55106340686</v>
      </c>
      <c r="K21" s="18">
        <f>[20]Main!$C$21-[20]Main!$C$22</f>
        <v>-179361.89319999999</v>
      </c>
      <c r="L21" s="11">
        <f t="shared" si="1"/>
        <v>510517.44426340685</v>
      </c>
      <c r="M21" s="34">
        <f>[20]DCF!$AP$28</f>
        <v>0.18403064777276446</v>
      </c>
      <c r="N21" s="34">
        <f>[20]DCF!$AP$34</f>
        <v>0.16991347811227653</v>
      </c>
      <c r="O21" s="34">
        <f>[20]DCF!$AP$35</f>
        <v>7.3343493126959369E-2</v>
      </c>
      <c r="P21" s="34">
        <f>[20]DCF!$AP$36</f>
        <v>0.32048257531959945</v>
      </c>
      <c r="Q21" s="34">
        <f>[20]WACC!$C$18</f>
        <v>3.9365584350273979E-2</v>
      </c>
      <c r="R21" s="26">
        <v>4.5199999999999996</v>
      </c>
      <c r="S21" s="35">
        <f t="shared" si="2"/>
        <v>1.877544238597657E-2</v>
      </c>
      <c r="T21" s="28" cm="1">
        <f t="array" ref="T21">_FV(B21,"Price")</f>
        <v>240.74</v>
      </c>
      <c r="U21" s="28">
        <f>[20]DCF!$BE$43</f>
        <v>567.86629485039839</v>
      </c>
      <c r="V21" s="13">
        <f t="shared" si="3"/>
        <v>1.3588364827216015</v>
      </c>
    </row>
    <row r="22" spans="2:22" x14ac:dyDescent="0.25">
      <c r="B22" s="21" t="e" vm="20">
        <v>#VALUE!</v>
      </c>
      <c r="C22" s="38">
        <v>1961</v>
      </c>
      <c r="D22" s="18" t="s">
        <v>76</v>
      </c>
      <c r="E22" s="18" t="s">
        <v>84</v>
      </c>
      <c r="F22" s="11" cm="1">
        <f t="array" ref="F22">_FV(B22,"Employees")</f>
        <v>38000</v>
      </c>
      <c r="G22" s="18" t="s">
        <v>83</v>
      </c>
      <c r="H22" s="18" t="s">
        <v>109</v>
      </c>
      <c r="I22" s="18">
        <f>[10]Main!$C$6</f>
        <v>94.4</v>
      </c>
      <c r="J22" s="11">
        <f>T22*I22</f>
        <v>1113.92</v>
      </c>
      <c r="K22" s="18">
        <f>[10]Main!$C$8-[10]Main!$C$9</f>
        <v>-150</v>
      </c>
      <c r="L22" s="11">
        <f t="shared" si="1"/>
        <v>1263.92</v>
      </c>
      <c r="M22" s="34">
        <f>[10]Model!$AM$19</f>
        <v>-2.3211695123312115E-2</v>
      </c>
      <c r="N22" s="34">
        <f>[10]Model!$AM$26</f>
        <v>0.31966183022963557</v>
      </c>
      <c r="O22" s="34">
        <f>[10]Model!$AM$27</f>
        <v>0.10225065691762825</v>
      </c>
      <c r="P22" s="34">
        <f>[10]Model!$AM$28</f>
        <v>0.1965065502183406</v>
      </c>
      <c r="Q22" s="34">
        <f>[10]WACC!$C$18</f>
        <v>4.1769407639219235E-2</v>
      </c>
      <c r="R22" s="28">
        <f>0.12*4</f>
        <v>0.48</v>
      </c>
      <c r="S22" s="35">
        <f>R22/T22</f>
        <v>4.0677966101694912E-2</v>
      </c>
      <c r="T22" s="27" cm="1">
        <f t="array" ref="T22">_FV(B22,"Price")</f>
        <v>11.8</v>
      </c>
      <c r="U22" s="28">
        <f>[21]Model!$AH$28</f>
        <v>7.0498590471111235</v>
      </c>
      <c r="V22" s="13">
        <f t="shared" si="3"/>
        <v>-0.40255431804143027</v>
      </c>
    </row>
    <row r="23" spans="2:22" x14ac:dyDescent="0.25">
      <c r="B23" s="20" t="e" vm="21">
        <v>#VALUE!</v>
      </c>
      <c r="C23" s="15" t="s">
        <v>90</v>
      </c>
      <c r="D23" s="15" t="s">
        <v>33</v>
      </c>
      <c r="E23" s="15" t="s">
        <v>34</v>
      </c>
      <c r="F23" s="11" cm="1">
        <f t="array" ref="F23">_FV(B23,"Employees")</f>
        <v>2100000</v>
      </c>
      <c r="G23" s="10" t="s">
        <v>35</v>
      </c>
      <c r="H23" s="9" t="s">
        <v>102</v>
      </c>
      <c r="I23" s="11">
        <f>[22]Main!$C$5</f>
        <v>8103</v>
      </c>
      <c r="J23" s="11">
        <f>T23*I23</f>
        <v>484964.55</v>
      </c>
      <c r="K23" s="11">
        <f>[22]Main!$C$7-[22]Main!$C$8</f>
        <v>-30590</v>
      </c>
      <c r="L23" s="11">
        <f t="shared" si="1"/>
        <v>515554.55</v>
      </c>
      <c r="M23" s="12">
        <f>[22]Model!$AT$54</f>
        <v>6.7280193590965709E-2</v>
      </c>
      <c r="N23" s="13">
        <f>[22]Model!$AT$62</f>
        <v>0.24140463839525986</v>
      </c>
      <c r="O23" s="13">
        <f>[22]Model!$AT$63</f>
        <v>3.3417908714208827E-2</v>
      </c>
      <c r="P23" s="13">
        <f>[22]Model!$AT$64</f>
        <v>0.33638928067700985</v>
      </c>
      <c r="Q23" s="13">
        <f>[22]WACC!$C$18</f>
        <v>4.4827908119862321E-2</v>
      </c>
      <c r="R23" s="14">
        <f>0.21*4</f>
        <v>0.84</v>
      </c>
      <c r="S23" s="35">
        <f>R23/T23</f>
        <v>1.4035087719298244E-2</v>
      </c>
      <c r="T23" s="17" cm="1">
        <f t="array" ref="T23">_FV(B23,"Price")</f>
        <v>59.85</v>
      </c>
      <c r="U23" s="17">
        <f>[22]Main!$M$3</f>
        <v>68.105669446937128</v>
      </c>
      <c r="V23" s="13">
        <f t="shared" si="3"/>
        <v>0.13793933913011069</v>
      </c>
    </row>
    <row r="24" spans="2:22" x14ac:dyDescent="0.25">
      <c r="B24" s="21" t="e" vm="22">
        <v>#VALUE!</v>
      </c>
      <c r="C24" s="26">
        <v>2009</v>
      </c>
      <c r="D24" s="18" t="s">
        <v>32</v>
      </c>
      <c r="E24" s="26" t="s">
        <v>147</v>
      </c>
      <c r="F24" s="18">
        <v>30400</v>
      </c>
      <c r="G24" s="26" t="s">
        <v>145</v>
      </c>
      <c r="H24" s="26" t="s">
        <v>146</v>
      </c>
      <c r="I24" s="18">
        <f>[23]Main!$C$5</f>
        <v>2121.9290000000001</v>
      </c>
      <c r="J24" s="11">
        <f>T24*I24</f>
        <v>163728.04164000001</v>
      </c>
      <c r="K24" s="18">
        <f>[23]Main!$C$7-[23]Main!$C$8</f>
        <v>9699</v>
      </c>
      <c r="L24" s="11">
        <f t="shared" si="1"/>
        <v>154029.04164000001</v>
      </c>
      <c r="M24" s="34">
        <f>[23]DCF!$AP$40</f>
        <v>0.16952661793769797</v>
      </c>
      <c r="N24" s="34">
        <f>[23]DCF!$AP$47</f>
        <v>0.39762881896944824</v>
      </c>
      <c r="O24" s="34">
        <f>[23]DCF!$AP$48</f>
        <v>5.1849467557200719E-2</v>
      </c>
      <c r="P24" s="34">
        <f>[23]DCF!$AP$49</f>
        <v>6.7748091603053437E-2</v>
      </c>
      <c r="Q24" s="34">
        <f>[23]WACC!$C$18</f>
        <v>8.8117841621591059E-2</v>
      </c>
      <c r="R24" s="42">
        <v>0</v>
      </c>
      <c r="S24" s="35">
        <f>R24/T24</f>
        <v>0</v>
      </c>
      <c r="T24" s="28" cm="1">
        <f t="array" ref="T24">_FV(B24,"Price")</f>
        <v>77.16</v>
      </c>
      <c r="U24" s="28">
        <f>[23]DCF!$BB$46</f>
        <v>53.855858375008872</v>
      </c>
      <c r="V24" s="13">
        <f t="shared" si="3"/>
        <v>-0.30202360841097886</v>
      </c>
    </row>
    <row r="25" spans="2:22" x14ac:dyDescent="0.25">
      <c r="C25" s="26"/>
    </row>
    <row r="30" spans="2:22" x14ac:dyDescent="0.25">
      <c r="C30" s="26"/>
      <c r="D30" s="18"/>
      <c r="E30" s="26"/>
      <c r="F30" s="11"/>
      <c r="G30" s="26"/>
      <c r="H30" s="26"/>
    </row>
  </sheetData>
  <autoFilter ref="B2:V22" xr:uid="{8C57CBD6-140C-4F1E-BA61-90A42EC2B8A9}">
    <sortState xmlns:xlrd2="http://schemas.microsoft.com/office/spreadsheetml/2017/richdata2" ref="B3:V23">
      <sortCondition ref="B2:B22"/>
    </sortState>
  </autoFilter>
  <conditionalFormatting sqref="V3:V24">
    <cfRule type="cellIs" dxfId="1" priority="1" operator="greaterThan">
      <formula>0</formula>
    </cfRule>
    <cfRule type="cellIs" dxfId="0" priority="2" operator="lessThan">
      <formula>0</formula>
    </cfRule>
  </conditionalFormatting>
  <hyperlinks>
    <hyperlink ref="B9" r:id="rId1" display="DBX.xlsx" xr:uid="{9A1EE43E-25FA-4BA1-AB49-BD345A366287}"/>
    <hyperlink ref="B23" r:id="rId2" display="WMT.xlsx" xr:uid="{C31559EE-07FF-4A24-9DE6-BCD342EBDFE7}"/>
    <hyperlink ref="B18" r:id="rId3" display="TGT.xlsx" xr:uid="{B3B49652-3DB5-45A2-B15F-38AF5A57C216}"/>
    <hyperlink ref="B20" r:id="rId4" display="ELY.xlsx" xr:uid="{BEBB2ECC-5EA8-45FB-963D-5D71EFC0299F}"/>
    <hyperlink ref="B12" r:id="rId5" display="LEVI.xlsx" xr:uid="{AB097870-8ADC-4D60-8EFB-6418132E7C49}"/>
    <hyperlink ref="B14" r:id="rId6" display="NKE.xlsx" xr:uid="{F86DDB4F-7790-4995-8470-A4D770DDFF61}"/>
    <hyperlink ref="B17" r:id="rId7" display="SBUX.xlsx" xr:uid="{2A82528C-EE07-42C9-9926-3F17DBBCF741}"/>
    <hyperlink ref="B13" r:id="rId8" display="NFLX.xlsx" xr:uid="{E5AE7209-050B-46CB-95E3-201244BE4240}"/>
    <hyperlink ref="B15" r:id="rId9" display="NVDA.xlsx" xr:uid="{93A03CBE-287E-401B-A222-C275BD2C23B0}"/>
    <hyperlink ref="B16" r:id="rId10" display="PFE.xlsx" xr:uid="{89DFB3F4-D31E-464E-AA81-43D9B611C38A}"/>
    <hyperlink ref="B22" r:id="rId11" display="VTRS.xlsx" xr:uid="{4FEBCDE5-EF8E-4030-BE8D-8514380EB83A}"/>
    <hyperlink ref="B11" r:id="rId12" display="FL.xlsx" xr:uid="{E3D7D438-3B49-425C-916A-7EDDACB91245}"/>
    <hyperlink ref="B7" r:id="rId13" display="BIG.xlsx" xr:uid="{1BE431AE-BA25-43A1-A83B-B85491C1A303}"/>
    <hyperlink ref="B6" r:id="rId14" display="BBY.xlsx" xr:uid="{DA2125A1-2B57-4D2A-97F1-FF3C9F6D4923}"/>
    <hyperlink ref="B4" r:id="rId15" display="AMZN.xlsx" xr:uid="{44E4BD95-3179-4544-BAB5-C940AA8D7BCF}"/>
    <hyperlink ref="B5" r:id="rId16" display="AAPL.xlsx" xr:uid="{F0813E7C-0769-4F03-82E2-470EC83B3577}"/>
    <hyperlink ref="B10" r:id="rId17" display="DUOL.xlsx" xr:uid="{AA72C6E4-304C-46AC-85D8-20B469630921}"/>
    <hyperlink ref="B8" r:id="rId18" display="COTY.xlsx" xr:uid="{BCF85E8D-3A96-41F7-96A9-57C75D61AF99}"/>
    <hyperlink ref="B3" r:id="rId19" display="GOOGL.xlsx" xr:uid="{B14E25EB-BD9A-46E4-A64C-5D732F749CCC}"/>
    <hyperlink ref="B21" r:id="rId20" display="TM.xlsx" xr:uid="{A9C43251-15F2-4E54-83A1-C629C893BBD0}"/>
    <hyperlink ref="B19" r:id="rId21" display="TXN.xlsx" xr:uid="{C9BF9B6C-43E9-4E95-BC3E-4165AEC1FF9D}"/>
    <hyperlink ref="B24" r:id="rId22" display="UBER.xlsx" xr:uid="{6E49CC0F-F92C-41A5-A497-BD1FBF5B8577}"/>
  </hyperlinks>
  <pageMargins left="0.7" right="0.7" top="0.75" bottom="0.75" header="0.3" footer="0.3"/>
  <pageSetup orientation="portrait" r:id="rId23"/>
  <legacy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161C-EB06-4270-906F-2BDB5CA09CF5}">
  <dimension ref="B2:V4"/>
  <sheetViews>
    <sheetView workbookViewId="0">
      <selection activeCell="A4" sqref="A4"/>
    </sheetView>
  </sheetViews>
  <sheetFormatPr defaultRowHeight="13.8" x14ac:dyDescent="0.25"/>
  <cols>
    <col min="2" max="2" width="26.59765625" bestFit="1" customWidth="1"/>
    <col min="3" max="3" width="12.19921875" customWidth="1"/>
    <col min="4" max="4" width="21.5" bestFit="1" customWidth="1"/>
    <col min="5" max="5" width="24.5" bestFit="1" customWidth="1"/>
    <col min="6" max="6" width="11" bestFit="1" customWidth="1"/>
    <col min="7" max="7" width="20.796875" bestFit="1" customWidth="1"/>
    <col min="8" max="8" width="25.796875" bestFit="1" customWidth="1"/>
  </cols>
  <sheetData>
    <row r="2" spans="2:22" x14ac:dyDescent="0.25">
      <c r="B2" s="8" t="s">
        <v>10</v>
      </c>
      <c r="C2" s="32"/>
      <c r="D2" s="32"/>
      <c r="E2" s="32"/>
      <c r="F2" s="32"/>
      <c r="G2" s="32"/>
      <c r="H2" s="33"/>
    </row>
    <row r="3" spans="2:22" x14ac:dyDescent="0.25">
      <c r="B3" s="21" t="e" cm="1" vm="1">
        <f t="array" ref="B3:V4">_xlfn._xlws.FILTER(All!$B$2:$V$1048576, All!$G$2:$G$1048576="Communication Services")</f>
        <v>#VALUE!</v>
      </c>
      <c r="C3" s="38">
        <v>1998</v>
      </c>
      <c r="D3" s="18" t="str">
        <v>Mountain View, California</v>
      </c>
      <c r="E3" s="18" t="str">
        <v>Sundar Pichai</v>
      </c>
      <c r="F3" s="18">
        <v>182502</v>
      </c>
      <c r="G3" s="18" t="str">
        <v>Communication Services</v>
      </c>
      <c r="H3" s="18" t="str">
        <v>Interactive Media and Services</v>
      </c>
      <c r="I3" s="18">
        <v>12602</v>
      </c>
      <c r="J3" s="18">
        <v>1921805</v>
      </c>
      <c r="K3" s="18">
        <v>128671</v>
      </c>
      <c r="L3" s="18">
        <v>1793134</v>
      </c>
      <c r="M3" s="18">
        <v>8.6827702272695095E-2</v>
      </c>
      <c r="N3" s="18">
        <v>0.56625047984020505</v>
      </c>
      <c r="O3" s="18">
        <v>0.27421810445226646</v>
      </c>
      <c r="P3" s="18">
        <v>0.13908559562280529</v>
      </c>
      <c r="Q3" s="18">
        <v>8.1014074204564746E-2</v>
      </c>
      <c r="R3" s="18">
        <v>0</v>
      </c>
      <c r="S3" s="18">
        <v>0</v>
      </c>
      <c r="T3" s="18">
        <v>152.5</v>
      </c>
      <c r="U3" s="18">
        <v>157.49677374154334</v>
      </c>
      <c r="V3" s="18">
        <v>3.2765729452743253E-2</v>
      </c>
    </row>
    <row r="4" spans="2:22" x14ac:dyDescent="0.25">
      <c r="B4" t="e" vm="11">
        <v>#VALUE!</v>
      </c>
      <c r="C4" s="38">
        <v>1997</v>
      </c>
      <c r="D4" s="18" t="str">
        <v>Los Gatos, CA</v>
      </c>
      <c r="E4" s="18" t="str">
        <v>Ted Sarandos &amp; Greg Peters</v>
      </c>
      <c r="F4" s="18">
        <v>13000</v>
      </c>
      <c r="G4" s="18" t="str">
        <v>Communication Services</v>
      </c>
      <c r="H4" s="18" t="str">
        <v>Entertainment</v>
      </c>
      <c r="I4" s="18">
        <v>444.29199999999997</v>
      </c>
      <c r="J4" s="18">
        <v>282649.68455999997</v>
      </c>
      <c r="K4" s="18">
        <v>-7405.3749999999991</v>
      </c>
      <c r="L4" s="18">
        <v>290055.05955999997</v>
      </c>
      <c r="M4" s="18">
        <v>6.45739131769969E-2</v>
      </c>
      <c r="N4" s="18">
        <v>0.39370705238403253</v>
      </c>
      <c r="O4" s="18">
        <v>0.17816647187855345</v>
      </c>
      <c r="P4" s="18">
        <v>0.14665946292208726</v>
      </c>
      <c r="Q4" s="18">
        <v>8.5485106254227783E-2</v>
      </c>
      <c r="R4" s="18">
        <v>0</v>
      </c>
      <c r="S4" s="18">
        <v>0</v>
      </c>
      <c r="T4" s="18">
        <v>636.17999999999995</v>
      </c>
      <c r="U4" s="18">
        <v>210.62723063462789</v>
      </c>
      <c r="V4" s="18">
        <v>-0.66891881128827069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013D-6197-4478-A967-8EEF762B7998}">
  <dimension ref="B2:V12"/>
  <sheetViews>
    <sheetView workbookViewId="0">
      <selection activeCell="B3" sqref="B3"/>
    </sheetView>
  </sheetViews>
  <sheetFormatPr defaultRowHeight="13.8" x14ac:dyDescent="0.25"/>
  <cols>
    <col min="2" max="2" width="50.5" bestFit="1" customWidth="1"/>
    <col min="3" max="3" width="30.09765625" bestFit="1" customWidth="1"/>
    <col min="4" max="4" width="13" bestFit="1" customWidth="1"/>
    <col min="5" max="5" width="12.09765625" customWidth="1"/>
    <col min="6" max="6" width="12.5" customWidth="1"/>
    <col min="7" max="7" width="20.296875" bestFit="1" customWidth="1"/>
    <col min="8" max="8" width="12.19921875" customWidth="1"/>
  </cols>
  <sheetData>
    <row r="2" spans="2:22" x14ac:dyDescent="0.25">
      <c r="B2" s="8" t="s">
        <v>10</v>
      </c>
      <c r="C2" s="32"/>
      <c r="D2" s="32"/>
      <c r="E2" s="32"/>
      <c r="F2" s="32"/>
      <c r="G2" s="32"/>
      <c r="H2" s="33"/>
    </row>
    <row r="3" spans="2:22" x14ac:dyDescent="0.25">
      <c r="B3" s="19" t="e" cm="1" vm="2">
        <f t="array" ref="B3:V12">_xlfn._xlws.FILTER(All!$B$2:$V$1048576, All!$G$2:$G$1048576="Consumer Discretionary")</f>
        <v>#VALUE!</v>
      </c>
      <c r="C3" s="9">
        <v>1994</v>
      </c>
      <c r="D3" s="17" t="str">
        <v>Seattle, WA</v>
      </c>
      <c r="E3" s="11" t="str">
        <v>Andrew Jassy</v>
      </c>
      <c r="F3" s="11">
        <v>1525000</v>
      </c>
      <c r="G3" s="11" t="str">
        <v>Consumer Discretionary</v>
      </c>
      <c r="H3" s="18" t="str">
        <v>Broadline Retail</v>
      </c>
      <c r="I3">
        <v>10308</v>
      </c>
      <c r="J3">
        <v>1907701.5599999998</v>
      </c>
      <c r="K3">
        <v>37750</v>
      </c>
      <c r="L3">
        <v>1869951.5599999998</v>
      </c>
      <c r="M3">
        <v>0.1182957412988368</v>
      </c>
      <c r="N3">
        <v>0.46982088955000567</v>
      </c>
      <c r="O3">
        <v>6.4114407996033296E-2</v>
      </c>
      <c r="P3">
        <v>0.18989802167372261</v>
      </c>
      <c r="Q3">
        <v>6.9881909557268029E-2</v>
      </c>
      <c r="R3">
        <v>0</v>
      </c>
      <c r="S3">
        <v>0</v>
      </c>
      <c r="T3">
        <v>185.07</v>
      </c>
      <c r="U3">
        <v>111.83755001316251</v>
      </c>
      <c r="V3">
        <v>-0.39570135617246172</v>
      </c>
    </row>
    <row r="4" spans="2:22" x14ac:dyDescent="0.25">
      <c r="B4" s="19" t="e" vm="4">
        <v>#VALUE!</v>
      </c>
      <c r="C4" s="9">
        <v>1966</v>
      </c>
      <c r="D4" s="17" t="str">
        <v>Richfield, Minnesota</v>
      </c>
      <c r="E4" s="11" t="str">
        <v>Corie Barry</v>
      </c>
      <c r="F4" s="11">
        <v>85000</v>
      </c>
      <c r="G4" s="11" t="str">
        <v>Consumer Discretionary</v>
      </c>
      <c r="H4" s="18" t="str">
        <v>Specialty Retail</v>
      </c>
      <c r="I4">
        <v>218.3</v>
      </c>
      <c r="J4">
        <v>17378.863000000001</v>
      </c>
      <c r="K4">
        <v>-3393</v>
      </c>
      <c r="L4">
        <v>20771.863000000001</v>
      </c>
      <c r="M4">
        <v>-0.10554278317652288</v>
      </c>
      <c r="N4">
        <v>0.21409132143937104</v>
      </c>
      <c r="O4">
        <v>4.1945656399844489E-2</v>
      </c>
      <c r="P4">
        <v>0.19691325172964344</v>
      </c>
      <c r="Q4">
        <v>6.0884162938071605E-2</v>
      </c>
      <c r="R4">
        <v>3.68</v>
      </c>
      <c r="S4">
        <v>4.6225348574299711E-2</v>
      </c>
      <c r="T4">
        <v>79.61</v>
      </c>
      <c r="U4">
        <v>77.398062391903039</v>
      </c>
      <c r="V4">
        <v>-2.7784670369262132E-2</v>
      </c>
    </row>
    <row r="5" spans="2:22" x14ac:dyDescent="0.25">
      <c r="B5" s="19" t="e" vm="5">
        <v>#VALUE!</v>
      </c>
      <c r="C5" s="9">
        <v>1967</v>
      </c>
      <c r="D5" s="17" t="str">
        <v>Columbus, OH</v>
      </c>
      <c r="E5" s="11" t="str">
        <v>Bruce Thorn</v>
      </c>
      <c r="F5" s="11">
        <v>10200</v>
      </c>
      <c r="G5" s="11" t="str">
        <v>Consumer Discretionary</v>
      </c>
      <c r="H5" s="18" t="str">
        <v>Broadline Retail</v>
      </c>
      <c r="I5">
        <v>29.3</v>
      </c>
      <c r="J5">
        <v>110.461</v>
      </c>
      <c r="K5">
        <v>3156</v>
      </c>
      <c r="L5">
        <v>-3045.5390000000002</v>
      </c>
      <c r="M5">
        <v>-0.1109279854349241</v>
      </c>
      <c r="N5">
        <v>0.34992408101268224</v>
      </c>
      <c r="O5">
        <v>-1.9502118471657514E-2</v>
      </c>
      <c r="P5">
        <v>0.36638617478095792</v>
      </c>
      <c r="Q5">
        <v>6.1315001319892676E-2</v>
      </c>
      <c r="R5">
        <v>0</v>
      </c>
      <c r="S5">
        <v>0</v>
      </c>
      <c r="T5">
        <v>3.77</v>
      </c>
      <c r="U5">
        <v>-119.74897291383805</v>
      </c>
      <c r="V5">
        <v>-32.76365329279524</v>
      </c>
    </row>
    <row r="6" spans="2:22" x14ac:dyDescent="0.25">
      <c r="B6" s="21" t="e" vm="8">
        <v>#VALUE!</v>
      </c>
      <c r="C6" s="9">
        <v>2011</v>
      </c>
      <c r="D6" s="17" t="str">
        <v>Pittsburgh, PA</v>
      </c>
      <c r="E6" s="18" t="str">
        <v>Dr. Luis Alfonso von Ahn</v>
      </c>
      <c r="F6" s="11">
        <v>720</v>
      </c>
      <c r="G6" s="18" t="str">
        <v>Consumer Discretionary</v>
      </c>
      <c r="H6" s="18" t="str">
        <v>Diversified Consumer Services</v>
      </c>
      <c r="I6">
        <v>49</v>
      </c>
      <c r="J6">
        <v>10535.49</v>
      </c>
      <c r="K6">
        <v>747.61</v>
      </c>
      <c r="L6">
        <v>9787.8799999999992</v>
      </c>
      <c r="M6">
        <v>0.43739157498748304</v>
      </c>
      <c r="N6">
        <v>0.7324372209847696</v>
      </c>
      <c r="O6">
        <v>-2.4964743583708725E-2</v>
      </c>
      <c r="P6">
        <v>9.6191708387241698E-2</v>
      </c>
      <c r="Q6">
        <v>6.2941209427912495E-2</v>
      </c>
      <c r="R6">
        <v>0</v>
      </c>
      <c r="S6">
        <v>0</v>
      </c>
      <c r="T6">
        <v>215.01</v>
      </c>
      <c r="U6">
        <v>179.69406171187131</v>
      </c>
      <c r="V6">
        <v>-0.16425253843136911</v>
      </c>
    </row>
    <row r="7" spans="2:22" x14ac:dyDescent="0.25">
      <c r="B7" s="21" t="e" vm="9">
        <v>#VALUE!</v>
      </c>
      <c r="C7" s="26">
        <v>1879</v>
      </c>
      <c r="D7" s="17" t="str">
        <v>New York, NY</v>
      </c>
      <c r="E7" s="18" t="str">
        <v>Mary Dillon</v>
      </c>
      <c r="F7" s="11">
        <v>14335</v>
      </c>
      <c r="G7" s="18" t="str">
        <v>Consumer Discretionary</v>
      </c>
      <c r="H7" s="18" t="str">
        <v>Specialty Retail</v>
      </c>
      <c r="I7">
        <v>94.4</v>
      </c>
      <c r="J7">
        <v>2274.096</v>
      </c>
      <c r="K7">
        <v>-150</v>
      </c>
      <c r="L7">
        <v>2424.096</v>
      </c>
      <c r="M7">
        <v>-2.3211695123312115E-2</v>
      </c>
      <c r="N7">
        <v>0.31966183022963557</v>
      </c>
      <c r="O7">
        <v>0.10225065691762825</v>
      </c>
      <c r="P7">
        <v>0.1965065502183406</v>
      </c>
      <c r="Q7">
        <v>4.1769407639219235E-2</v>
      </c>
      <c r="R7">
        <v>1.6</v>
      </c>
      <c r="S7">
        <v>6.6417600664176013E-2</v>
      </c>
      <c r="T7">
        <v>24.09</v>
      </c>
      <c r="U7">
        <v>99.79887531818369</v>
      </c>
      <c r="V7">
        <v>3.142751154760635</v>
      </c>
    </row>
    <row r="8" spans="2:22" x14ac:dyDescent="0.25">
      <c r="B8" s="21" t="e" vm="10">
        <v>#VALUE!</v>
      </c>
      <c r="C8" s="26">
        <v>1853</v>
      </c>
      <c r="D8" s="17" t="str">
        <v>San Francisco, CA</v>
      </c>
      <c r="E8" s="18" t="str">
        <v>Michelle Gass</v>
      </c>
      <c r="F8" s="11">
        <v>19100</v>
      </c>
      <c r="G8" s="18" t="str">
        <v>Consumer Discretionary</v>
      </c>
      <c r="H8" s="18" t="str">
        <v>Textiles, Apparel and Luxury Goods</v>
      </c>
      <c r="I8">
        <v>401.58329700000002</v>
      </c>
      <c r="J8">
        <v>8252.5367533500012</v>
      </c>
      <c r="K8">
        <v>-1769.2</v>
      </c>
      <c r="L8">
        <v>10021.736753350002</v>
      </c>
      <c r="M8">
        <v>1.685957915896541E-3</v>
      </c>
      <c r="N8">
        <v>0.56897556238873603</v>
      </c>
      <c r="O8">
        <v>7.1775368182553811E-2</v>
      </c>
      <c r="P8">
        <v>4.4175576814856496E-2</v>
      </c>
      <c r="Q8">
        <v>6.2908523021171267E-2</v>
      </c>
      <c r="R8">
        <v>0.48</v>
      </c>
      <c r="S8">
        <v>2.3357664233576641E-2</v>
      </c>
      <c r="T8">
        <v>20.55</v>
      </c>
      <c r="U8">
        <v>17.530246384279053</v>
      </c>
      <c r="V8">
        <v>-0.14694664796695611</v>
      </c>
    </row>
    <row r="9" spans="2:22" x14ac:dyDescent="0.25">
      <c r="B9" s="21" t="e" vm="12">
        <v>#VALUE!</v>
      </c>
      <c r="C9" s="26">
        <v>1964</v>
      </c>
      <c r="D9" s="17" t="str">
        <v>Beaverton, OR</v>
      </c>
      <c r="E9" s="26" t="str">
        <v>John Donahoe II</v>
      </c>
      <c r="F9" s="11">
        <v>83700</v>
      </c>
      <c r="G9" t="str">
        <v>Consumer Discretionary</v>
      </c>
      <c r="H9" s="18" t="str">
        <v>Textiles, Apparel and Luxury Goods</v>
      </c>
      <c r="I9">
        <v>1532.1</v>
      </c>
      <c r="J9">
        <v>136111.764</v>
      </c>
      <c r="K9">
        <v>991</v>
      </c>
      <c r="L9">
        <v>135120.764</v>
      </c>
      <c r="M9">
        <v>9.6488974523656568E-2</v>
      </c>
      <c r="N9">
        <v>0.43524610969014194</v>
      </c>
      <c r="O9">
        <v>0.11548899779370131</v>
      </c>
      <c r="P9">
        <v>0.18238993710691823</v>
      </c>
      <c r="Q9">
        <v>7.9127949801735945E-2</v>
      </c>
      <c r="R9">
        <v>1.48</v>
      </c>
      <c r="S9">
        <v>1.6659162539396668E-2</v>
      </c>
      <c r="T9">
        <v>88.84</v>
      </c>
      <c r="U9">
        <v>65.749359513050948</v>
      </c>
      <c r="V9">
        <v>-0.25991265743976877</v>
      </c>
    </row>
    <row r="10" spans="2:22" x14ac:dyDescent="0.25">
      <c r="B10" s="21" t="e" vm="15">
        <v>#VALUE!</v>
      </c>
      <c r="C10" s="26">
        <v>1971</v>
      </c>
      <c r="D10" s="17" t="str">
        <v>Seattle, WA</v>
      </c>
      <c r="E10" s="26" t="str">
        <v>Laxman Narasimhan</v>
      </c>
      <c r="F10" s="11">
        <v>381000</v>
      </c>
      <c r="G10" t="str">
        <v>Consumer Discretionary</v>
      </c>
      <c r="H10" s="18" t="str">
        <v>Hotels, Restaurants and Leisure</v>
      </c>
      <c r="I10">
        <v>1140.5999999999999</v>
      </c>
      <c r="J10">
        <v>99061.109999999986</v>
      </c>
      <c r="K10">
        <v>-10530.9</v>
      </c>
      <c r="L10">
        <v>109592.00999999998</v>
      </c>
      <c r="M10">
        <v>0.11551210376337573</v>
      </c>
      <c r="N10">
        <v>0.68286282925093678</v>
      </c>
      <c r="O10">
        <v>0.19912663027162861</v>
      </c>
      <c r="P10">
        <v>0.19078416728902159</v>
      </c>
      <c r="Q10">
        <v>7.3566822435085402E-2</v>
      </c>
      <c r="R10">
        <v>2.2799999999999998</v>
      </c>
      <c r="S10">
        <v>2.6252158894645942E-2</v>
      </c>
      <c r="T10">
        <v>86.85</v>
      </c>
      <c r="U10">
        <v>77.425202139684458</v>
      </c>
      <c r="V10">
        <v>-0.10851811007847478</v>
      </c>
    </row>
    <row r="11" spans="2:22" x14ac:dyDescent="0.25">
      <c r="B11" s="21" t="e" vm="18">
        <v>#VALUE!</v>
      </c>
      <c r="C11" s="26">
        <v>1982</v>
      </c>
      <c r="D11" s="17" t="str">
        <v>Carlsbad, CA</v>
      </c>
      <c r="E11" s="18" t="str">
        <v>Oliver Brewer III</v>
      </c>
      <c r="F11" s="11">
        <v>32000</v>
      </c>
      <c r="G11" t="str">
        <v>Consumer Discretionary</v>
      </c>
      <c r="H11" s="18" t="str">
        <v>Leisure Products</v>
      </c>
      <c r="I11">
        <v>201.5</v>
      </c>
      <c r="J11">
        <v>3314.6749999999997</v>
      </c>
      <c r="K11">
        <v>-1459.2</v>
      </c>
      <c r="L11">
        <v>4773.875</v>
      </c>
      <c r="M11">
        <v>0.2752023769820815</v>
      </c>
      <c r="N11">
        <v>0.60342368045649075</v>
      </c>
      <c r="O11">
        <v>6.4269089270966223E-2</v>
      </c>
      <c r="P11">
        <v>-0.11275546159267111</v>
      </c>
      <c r="Q11">
        <v>7.3356889927392671E-2</v>
      </c>
      <c r="R11">
        <v>0</v>
      </c>
      <c r="S11">
        <v>0</v>
      </c>
      <c r="T11">
        <v>16.45</v>
      </c>
      <c r="U11">
        <v>5.8416428061448409</v>
      </c>
      <c r="V11">
        <v>-0.64488493579666617</v>
      </c>
    </row>
    <row r="12" spans="2:22" x14ac:dyDescent="0.25">
      <c r="B12" s="21" t="e" vm="19">
        <v>#VALUE!</v>
      </c>
      <c r="C12" s="26">
        <v>1933</v>
      </c>
      <c r="D12" s="26" t="str">
        <v>Toyota, Japan</v>
      </c>
      <c r="E12" s="18" t="str">
        <v>Koji Sato</v>
      </c>
      <c r="F12" s="11">
        <v>375235</v>
      </c>
      <c r="G12" s="11" t="str">
        <v>Consumer Discretionary</v>
      </c>
      <c r="H12" t="str">
        <v>Automobiles</v>
      </c>
      <c r="I12">
        <v>1375.573444643212</v>
      </c>
      <c r="J12">
        <v>331155.55106340686</v>
      </c>
      <c r="K12">
        <v>-179361.89319999999</v>
      </c>
      <c r="L12">
        <v>510517.44426340685</v>
      </c>
      <c r="M12">
        <v>0.18403064777276446</v>
      </c>
      <c r="N12">
        <v>0.16991347811227653</v>
      </c>
      <c r="O12">
        <v>7.3343493126959369E-2</v>
      </c>
      <c r="P12">
        <v>0.32048257531959945</v>
      </c>
      <c r="Q12">
        <v>3.9365584350273979E-2</v>
      </c>
      <c r="R12">
        <v>4.5199999999999996</v>
      </c>
      <c r="S12">
        <v>1.877544238597657E-2</v>
      </c>
      <c r="T12">
        <v>240.74</v>
      </c>
      <c r="U12">
        <v>567.86629485039839</v>
      </c>
      <c r="V12">
        <v>1.3588364827216015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891D-9647-40A3-84D5-0F58CFCF2EC9}">
  <dimension ref="B2:V5"/>
  <sheetViews>
    <sheetView workbookViewId="0">
      <selection activeCell="B4" sqref="B4"/>
    </sheetView>
  </sheetViews>
  <sheetFormatPr defaultRowHeight="13.8" x14ac:dyDescent="0.25"/>
  <cols>
    <col min="2" max="2" width="35.8984375" bestFit="1" customWidth="1"/>
    <col min="3" max="3" width="37" bestFit="1" customWidth="1"/>
    <col min="4" max="4" width="13" bestFit="1" customWidth="1"/>
    <col min="6" max="6" width="11" bestFit="1" customWidth="1"/>
    <col min="7" max="7" width="9" bestFit="1" customWidth="1"/>
  </cols>
  <sheetData>
    <row r="2" spans="2:22" x14ac:dyDescent="0.25">
      <c r="B2" s="8" t="s">
        <v>10</v>
      </c>
      <c r="C2" s="32" t="s">
        <v>15</v>
      </c>
      <c r="D2" s="32" t="s">
        <v>25</v>
      </c>
      <c r="E2" s="32" t="s">
        <v>16</v>
      </c>
      <c r="F2" s="32" t="s">
        <v>17</v>
      </c>
      <c r="G2" s="32" t="s">
        <v>18</v>
      </c>
      <c r="H2" s="33" t="s">
        <v>19</v>
      </c>
    </row>
    <row r="3" spans="2:22" x14ac:dyDescent="0.25">
      <c r="B3" s="19" t="e" cm="1" vm="6">
        <f t="array" ref="B3:V5">_xlfn._xlws.FILTER(All!$B$2:$V$1048576, All!$G$2:$G$1048576="Consumer Staples")</f>
        <v>#VALUE!</v>
      </c>
      <c r="C3" s="9">
        <v>1904</v>
      </c>
      <c r="D3" s="17" t="str">
        <v>New York, NY</v>
      </c>
      <c r="E3" s="40" t="str">
        <v>Sue Nabi</v>
      </c>
      <c r="F3" s="11">
        <v>11350</v>
      </c>
      <c r="G3" s="11" t="str">
        <v>Consumer Staples</v>
      </c>
      <c r="H3" s="41" t="str">
        <v>Personal Care Products</v>
      </c>
      <c r="I3" s="9">
        <v>922.8</v>
      </c>
      <c r="J3">
        <v>10178.483999999999</v>
      </c>
      <c r="K3">
        <v>-3241.8</v>
      </c>
      <c r="L3">
        <v>13420.284</v>
      </c>
      <c r="M3">
        <v>4.7074127139733024E-2</v>
      </c>
      <c r="N3">
        <v>0.6386813345096416</v>
      </c>
      <c r="O3">
        <v>0.13125438864982633</v>
      </c>
      <c r="P3">
        <v>0.20402201999775299</v>
      </c>
      <c r="Q3">
        <v>8.3341765758214809E-2</v>
      </c>
      <c r="R3">
        <v>0</v>
      </c>
      <c r="S3">
        <v>0</v>
      </c>
      <c r="T3">
        <v>11.03</v>
      </c>
      <c r="U3">
        <v>9.4495128429675077</v>
      </c>
      <c r="V3">
        <v>-0.14328986011173994</v>
      </c>
    </row>
    <row r="4" spans="2:22" x14ac:dyDescent="0.25">
      <c r="B4" s="20" t="e" vm="16">
        <v>#VALUE!</v>
      </c>
      <c r="C4" s="9" t="str">
        <v>1902</v>
      </c>
      <c r="D4" s="17" t="str">
        <v>Minneapolis, MN</v>
      </c>
      <c r="E4" s="40" t="str">
        <v>Brian Cornell</v>
      </c>
      <c r="F4" s="11">
        <v>415000</v>
      </c>
      <c r="G4" s="11" t="str">
        <v>Consumer Staples</v>
      </c>
      <c r="H4" s="41" t="str">
        <v>Consumer Staples Distribution &amp; Retail</v>
      </c>
      <c r="I4" s="26">
        <v>462.5</v>
      </c>
      <c r="J4">
        <v>79443.625</v>
      </c>
      <c r="K4">
        <v>-15490</v>
      </c>
      <c r="L4">
        <v>94933.625</v>
      </c>
      <c r="M4">
        <v>2.9385406348757082E-2</v>
      </c>
      <c r="N4">
        <v>0.24643511730205278</v>
      </c>
      <c r="O4">
        <v>5.7120601173020528E-2</v>
      </c>
      <c r="P4">
        <v>0.1099431328623126</v>
      </c>
      <c r="Q4">
        <v>5.2633868912505821E-2</v>
      </c>
      <c r="R4">
        <v>4.4000000000000004</v>
      </c>
      <c r="S4">
        <v>2.5615648832741457E-2</v>
      </c>
      <c r="T4">
        <v>171.77</v>
      </c>
      <c r="U4">
        <v>256.04483672436879</v>
      </c>
      <c r="V4">
        <v>0.49062605067455767</v>
      </c>
    </row>
    <row r="5" spans="2:22" x14ac:dyDescent="0.25">
      <c r="B5" s="21" t="e" vm="21">
        <v>#VALUE!</v>
      </c>
      <c r="C5" s="26" t="str">
        <v>1945</v>
      </c>
      <c r="D5" s="17" t="str">
        <v>Bentonville, AR</v>
      </c>
      <c r="E5" s="11" t="str">
        <v>Douglas McMillon</v>
      </c>
      <c r="F5" s="11">
        <v>2100000</v>
      </c>
      <c r="G5" s="11" t="str">
        <v>Consumer Staples</v>
      </c>
      <c r="H5" s="39" t="str">
        <v>Consumer Staples Distribution &amp; Retail</v>
      </c>
      <c r="I5">
        <v>8103</v>
      </c>
      <c r="J5">
        <v>484964.55</v>
      </c>
      <c r="K5">
        <v>-30590</v>
      </c>
      <c r="L5">
        <v>515554.55</v>
      </c>
      <c r="M5">
        <v>6.7280193590965709E-2</v>
      </c>
      <c r="N5">
        <v>0.24140463839525986</v>
      </c>
      <c r="O5">
        <v>3.3417908714208827E-2</v>
      </c>
      <c r="P5">
        <v>0.33638928067700985</v>
      </c>
      <c r="Q5">
        <v>4.4827908119862321E-2</v>
      </c>
      <c r="R5">
        <v>0.84</v>
      </c>
      <c r="S5">
        <v>1.4035087719298244E-2</v>
      </c>
      <c r="T5">
        <v>59.85</v>
      </c>
      <c r="U5">
        <v>68.105669446937128</v>
      </c>
      <c r="V5">
        <v>0.13793933913011069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939-D0BE-4CCC-9D25-FC7F57DBC1F1}">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19" t="e" cm="1" vm="23">
        <f t="array" ref="B3">_xlfn._xlws.FILTER(All!$B$2:$V$1048576, All!$G$2:$G$1048576="Energy")</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6EFA0-072E-4407-BC87-9A231BF876CF}">
  <dimension ref="B2:H3"/>
  <sheetViews>
    <sheetView workbookViewId="0">
      <selection activeCell="J26" sqref="J26"/>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3">
        <f t="array" ref="B3">_xlfn._xlws.FILTER(All!$B$2:$V$1048576, All!$G$2:$G$1048576="Financial Services")</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CC0-09FC-4C10-9A80-8470DFF3838E}">
  <dimension ref="B2:V4"/>
  <sheetViews>
    <sheetView workbookViewId="0">
      <selection activeCell="B3" sqref="B3"/>
    </sheetView>
  </sheetViews>
  <sheetFormatPr defaultRowHeight="13.8" x14ac:dyDescent="0.25"/>
  <cols>
    <col min="2" max="2" width="26" bestFit="1" customWidth="1"/>
    <col min="3" max="3" width="14.69921875" bestFit="1" customWidth="1"/>
    <col min="4" max="4" width="13" bestFit="1" customWidth="1"/>
    <col min="6" max="6" width="11" bestFit="1" customWidth="1"/>
  </cols>
  <sheetData>
    <row r="2" spans="2:22" x14ac:dyDescent="0.25">
      <c r="B2" s="8" t="s">
        <v>10</v>
      </c>
      <c r="C2" s="32" t="s">
        <v>15</v>
      </c>
      <c r="D2" s="32" t="s">
        <v>25</v>
      </c>
      <c r="E2" s="32" t="s">
        <v>16</v>
      </c>
      <c r="F2" s="32" t="s">
        <v>17</v>
      </c>
      <c r="G2" s="32" t="s">
        <v>18</v>
      </c>
      <c r="H2" s="33" t="s">
        <v>19</v>
      </c>
    </row>
    <row r="3" spans="2:22" x14ac:dyDescent="0.25">
      <c r="B3" s="21" t="e" cm="1" vm="14">
        <f t="array" ref="B3:V4">_xlfn._xlws.FILTER(All!$B$2:$V$1048576, All!$G$2:$G$1048576="Health Care")</f>
        <v>#VALUE!</v>
      </c>
      <c r="C3" s="18">
        <v>1849</v>
      </c>
      <c r="D3" t="str">
        <v>New York, NY</v>
      </c>
      <c r="E3" t="str">
        <v>Dr. Albert Bourla</v>
      </c>
      <c r="F3">
        <v>88000</v>
      </c>
      <c r="G3" t="str">
        <v>Health Care</v>
      </c>
      <c r="H3" t="str">
        <v>Pharmaceuticals</v>
      </c>
      <c r="I3">
        <v>5727</v>
      </c>
      <c r="J3">
        <v>152681.82</v>
      </c>
      <c r="K3">
        <v>-15920</v>
      </c>
      <c r="L3">
        <v>168601.82</v>
      </c>
      <c r="M3">
        <v>0.23426582029327814</v>
      </c>
      <c r="N3">
        <v>0.65770300305987184</v>
      </c>
      <c r="O3">
        <v>0.3980026113564103</v>
      </c>
      <c r="P3">
        <v>8.3797054009819974E-2</v>
      </c>
      <c r="Q3">
        <v>4.6045983502813831E-2</v>
      </c>
      <c r="R3">
        <v>1.68</v>
      </c>
      <c r="S3">
        <v>6.3015753938484617E-2</v>
      </c>
      <c r="T3">
        <v>26.66</v>
      </c>
      <c r="U3">
        <v>98.220736355377696</v>
      </c>
      <c r="V3">
        <v>2.6841986629924115</v>
      </c>
    </row>
    <row r="4" spans="2:22" x14ac:dyDescent="0.25">
      <c r="B4" s="21" t="e" vm="20">
        <v>#VALUE!</v>
      </c>
      <c r="C4" s="18">
        <v>1961</v>
      </c>
      <c r="D4" t="str">
        <v>Canonsburg, PA</v>
      </c>
      <c r="E4" t="str">
        <v>Scott Smith</v>
      </c>
      <c r="F4">
        <v>38000</v>
      </c>
      <c r="G4" t="str">
        <v>Health Care</v>
      </c>
      <c r="H4" t="str">
        <v>Pharmaceuticals</v>
      </c>
      <c r="I4">
        <v>94.4</v>
      </c>
      <c r="J4">
        <v>1113.92</v>
      </c>
      <c r="K4">
        <v>-150</v>
      </c>
      <c r="L4">
        <v>1263.92</v>
      </c>
      <c r="M4">
        <v>-2.3211695123312115E-2</v>
      </c>
      <c r="N4">
        <v>0.31966183022963557</v>
      </c>
      <c r="O4">
        <v>0.10225065691762825</v>
      </c>
      <c r="P4">
        <v>0.1965065502183406</v>
      </c>
      <c r="Q4">
        <v>4.1769407639219235E-2</v>
      </c>
      <c r="R4">
        <v>0.48</v>
      </c>
      <c r="S4">
        <v>4.0677966101694912E-2</v>
      </c>
      <c r="T4">
        <v>11.8</v>
      </c>
      <c r="U4">
        <v>7.0498590471111235</v>
      </c>
      <c r="V4">
        <v>-0.40255431804143027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F246-CBE5-44B3-96A8-132D2AEC986E}">
  <dimension ref="B2:V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22" x14ac:dyDescent="0.25">
      <c r="B2" s="8" t="s">
        <v>10</v>
      </c>
      <c r="C2" s="32" t="s">
        <v>15</v>
      </c>
      <c r="D2" s="32" t="s">
        <v>25</v>
      </c>
      <c r="E2" s="32" t="s">
        <v>16</v>
      </c>
      <c r="F2" s="32" t="s">
        <v>17</v>
      </c>
      <c r="G2" s="32" t="s">
        <v>18</v>
      </c>
      <c r="H2" s="33" t="s">
        <v>19</v>
      </c>
    </row>
    <row r="3" spans="2:22" x14ac:dyDescent="0.25">
      <c r="B3" s="21" t="e" cm="1" vm="22">
        <f t="array" ref="B3:V3">_xlfn._xlws.FILTER(All!$B$2:$V$1048576, All!$G$2:$G$1048576="Industrials")</f>
        <v>#VALUE!</v>
      </c>
      <c r="C3">
        <v>2009</v>
      </c>
      <c r="D3" t="str">
        <v>San Francisco, CA</v>
      </c>
      <c r="E3" t="str">
        <v>Dara Khosrowshahi</v>
      </c>
      <c r="F3">
        <v>30400</v>
      </c>
      <c r="G3" t="str">
        <v>Industrials</v>
      </c>
      <c r="H3" t="str">
        <v>Ground Transportation</v>
      </c>
      <c r="I3">
        <v>2121.9290000000001</v>
      </c>
      <c r="J3">
        <v>163728.04164000001</v>
      </c>
      <c r="K3">
        <v>9699</v>
      </c>
      <c r="L3">
        <v>154029.04164000001</v>
      </c>
      <c r="M3">
        <v>0.16952661793769797</v>
      </c>
      <c r="N3">
        <v>0.39762881896944824</v>
      </c>
      <c r="O3">
        <v>5.1849467557200719E-2</v>
      </c>
      <c r="P3">
        <v>6.7748091603053437E-2</v>
      </c>
      <c r="Q3">
        <v>8.8117841621591059E-2</v>
      </c>
      <c r="R3">
        <v>0</v>
      </c>
      <c r="S3">
        <v>0</v>
      </c>
      <c r="T3">
        <v>77.16</v>
      </c>
      <c r="U3">
        <v>53.855858375008872</v>
      </c>
      <c r="V3">
        <v>-0.30202360841097886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0BC4-E965-4DE2-A39D-51F6BEEC192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3">
        <f t="array" ref="B3">_xlfn._xlws.FILTER(All!$B$2:$V$1048576, All!$G$2:$G$1048576="Materials")</f>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481B-FD1F-4315-92D6-35E78A2AFF96}">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3">
        <f t="array" ref="B3">_xlfn._xlws.FILTER(All!$B$2:$V$1048576, All!$G$2:$G$1048576="Real Estate")</f>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6BBC-4AD0-45B5-9DAC-428FB9D1FF41}">
  <dimension ref="B2:V6"/>
  <sheetViews>
    <sheetView workbookViewId="0">
      <selection activeCell="B3" sqref="B3"/>
    </sheetView>
  </sheetViews>
  <sheetFormatPr defaultRowHeight="13.8" x14ac:dyDescent="0.25"/>
  <cols>
    <col min="2" max="2" width="42.3984375" bestFit="1" customWidth="1"/>
    <col min="3" max="3" width="40.69921875" bestFit="1" customWidth="1"/>
    <col min="4" max="4" width="13" bestFit="1" customWidth="1"/>
    <col min="5" max="6" width="11" bestFit="1" customWidth="1"/>
    <col min="7" max="7" width="9.796875" customWidth="1"/>
    <col min="8" max="8" width="9.59765625" customWidth="1"/>
  </cols>
  <sheetData>
    <row r="2" spans="2:22" x14ac:dyDescent="0.25">
      <c r="B2" s="8" t="s">
        <v>10</v>
      </c>
      <c r="C2" s="32" t="s">
        <v>15</v>
      </c>
      <c r="D2" s="32" t="s">
        <v>25</v>
      </c>
      <c r="E2" s="32" t="s">
        <v>16</v>
      </c>
      <c r="F2" s="32" t="s">
        <v>17</v>
      </c>
      <c r="G2" s="32" t="s">
        <v>18</v>
      </c>
      <c r="H2" s="33" t="s">
        <v>19</v>
      </c>
    </row>
    <row r="3" spans="2:22" x14ac:dyDescent="0.25">
      <c r="B3" s="21" t="e" cm="1" vm="3">
        <f t="array" ref="B3:V6">_xlfn._xlws.FILTER(All!$B$2:$V$1048576, All!$G$2:$G$1048576="Information Technology")</f>
        <v>#VALUE!</v>
      </c>
      <c r="C3" s="9">
        <v>1976</v>
      </c>
      <c r="D3" s="32" t="str">
        <v>Cupertino, CA</v>
      </c>
      <c r="E3" s="32" t="str">
        <v>Tim Cook</v>
      </c>
      <c r="F3" s="33">
        <v>161000</v>
      </c>
      <c r="G3" t="str">
        <v>Information Technology</v>
      </c>
      <c r="H3" t="str">
        <v>Technology, Hardware, Storage and Peripherals</v>
      </c>
      <c r="I3">
        <v>15576.641</v>
      </c>
      <c r="J3">
        <v>2641486.7807800001</v>
      </c>
      <c r="K3">
        <v>64535</v>
      </c>
      <c r="L3">
        <v>2576951.7807800001</v>
      </c>
      <c r="M3">
        <v>-2.800460530319937E-2</v>
      </c>
      <c r="N3">
        <v>0.44131129577207562</v>
      </c>
      <c r="O3">
        <v>0.29821412265024722</v>
      </c>
      <c r="P3">
        <v>0.14719174228036858</v>
      </c>
      <c r="Q3">
        <v>8.8129924088975659E-2</v>
      </c>
      <c r="R3">
        <v>0.96</v>
      </c>
      <c r="S3">
        <v>5.6610449345441674E-3</v>
      </c>
      <c r="T3">
        <v>169.58</v>
      </c>
      <c r="U3">
        <v>89.414555445295747</v>
      </c>
      <c r="V3">
        <v>-0.47272935814780193</v>
      </c>
    </row>
    <row r="4" spans="2:22" x14ac:dyDescent="0.25">
      <c r="B4" s="21" t="e" vm="7">
        <v>#VALUE!</v>
      </c>
      <c r="C4" s="18" t="str">
        <v>2007</v>
      </c>
      <c r="D4" s="10" t="str">
        <v>San Francisco, CA</v>
      </c>
      <c r="E4" s="10" t="str">
        <v>Andrew Houston</v>
      </c>
      <c r="F4" s="11">
        <v>2693</v>
      </c>
      <c r="G4" s="10" t="str">
        <v>Information Technology</v>
      </c>
      <c r="H4" t="str">
        <v>Software</v>
      </c>
      <c r="I4">
        <v>348.8</v>
      </c>
      <c r="J4">
        <v>8116.576</v>
      </c>
      <c r="K4">
        <v>-1025.3000000000002</v>
      </c>
      <c r="L4">
        <v>9141.8760000000002</v>
      </c>
      <c r="M4">
        <v>7.7390055146206782E-2</v>
      </c>
      <c r="N4">
        <v>0.80893801883951988</v>
      </c>
      <c r="O4">
        <v>0.15333992859907947</v>
      </c>
      <c r="P4">
        <v>-0.97988583854308287</v>
      </c>
      <c r="Q4">
        <v>5.1466680590457232E-2</v>
      </c>
      <c r="R4">
        <v>0</v>
      </c>
      <c r="S4">
        <v>0</v>
      </c>
      <c r="T4">
        <v>23.27</v>
      </c>
      <c r="U4">
        <v>22.91548481095889</v>
      </c>
      <c r="V4">
        <v>-1.5234859864250549E-2</v>
      </c>
    </row>
    <row r="5" spans="2:22" x14ac:dyDescent="0.25">
      <c r="B5" s="21" t="e" vm="13">
        <v>#VALUE!</v>
      </c>
      <c r="C5" s="26">
        <v>1993</v>
      </c>
      <c r="D5" s="26" t="str">
        <v>Santa Clara, CA</v>
      </c>
      <c r="E5" s="18" t="str">
        <v>Jen-Hsun Huang</v>
      </c>
      <c r="F5" s="11">
        <v>29600</v>
      </c>
      <c r="G5" s="10" t="str">
        <v>Information Technology</v>
      </c>
      <c r="H5" t="str">
        <v>Semiconductors and Semiconductor Equipment</v>
      </c>
      <c r="I5">
        <v>2477</v>
      </c>
      <c r="J5">
        <v>2179958.16</v>
      </c>
      <c r="K5">
        <v>2343</v>
      </c>
      <c r="L5">
        <v>2177615.16</v>
      </c>
      <c r="M5">
        <v>2.2293230289069932E-3</v>
      </c>
      <c r="N5">
        <v>0.56928894490991322</v>
      </c>
      <c r="O5">
        <v>0.20679172536516646</v>
      </c>
      <c r="P5">
        <v>-3.3604336043360432E-2</v>
      </c>
      <c r="Q5">
        <v>7.4473901113322444E-2</v>
      </c>
      <c r="R5">
        <v>0.16</v>
      </c>
      <c r="S5">
        <v>1.8180165439505498E-4</v>
      </c>
      <c r="T5">
        <v>880.08</v>
      </c>
      <c r="U5">
        <v>81.506807987771182</v>
      </c>
      <c r="V5">
        <v>-0.90738704664601944</v>
      </c>
    </row>
    <row r="6" spans="2:22" x14ac:dyDescent="0.25">
      <c r="B6" t="e" vm="17">
        <v>#VALUE!</v>
      </c>
      <c r="C6" s="26">
        <v>1930</v>
      </c>
      <c r="D6" s="18" t="str">
        <v>Dallas, TX</v>
      </c>
      <c r="E6" s="18" t="str">
        <v>Haviv Ilan</v>
      </c>
      <c r="F6" s="11">
        <v>34000</v>
      </c>
      <c r="G6" s="18" t="str">
        <v>Information Technology</v>
      </c>
      <c r="H6" t="str">
        <v>Semiconductors and Semiconductor Equipment</v>
      </c>
      <c r="I6">
        <v>915</v>
      </c>
      <c r="J6">
        <v>153262.5</v>
      </c>
      <c r="K6">
        <v>-2648</v>
      </c>
      <c r="L6">
        <v>155910.5</v>
      </c>
      <c r="M6">
        <v>-0.12527461553824648</v>
      </c>
      <c r="N6">
        <v>0.62897425652149097</v>
      </c>
      <c r="O6">
        <v>0.41845995776014611</v>
      </c>
      <c r="P6">
        <v>0.12240496090590455</v>
      </c>
      <c r="Q6">
        <v>7.7239621578546455E-2</v>
      </c>
      <c r="R6">
        <v>5.0199999999999996</v>
      </c>
      <c r="S6">
        <v>2.997014925373134E-2</v>
      </c>
      <c r="T6">
        <v>167.5</v>
      </c>
      <c r="U6">
        <v>126.13627883623619</v>
      </c>
      <c r="V6">
        <v>-0.24694758903739589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E4ED-422C-4C75-82FF-360B07D250C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row r="3" spans="2:8" x14ac:dyDescent="0.25">
      <c r="B3" s="21" t="e" cm="1" vm="23">
        <f t="array" ref="B3">_xlfn._xlws.FILTER(All!$B$2:$V$1048576, All!$G$2:$G$1048576="Utilities")</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5E6F-210E-42F0-986D-D18F45A17348}">
  <dimension ref="B2:H25"/>
  <sheetViews>
    <sheetView workbookViewId="0">
      <selection activeCell="F22" sqref="F22"/>
    </sheetView>
  </sheetViews>
  <sheetFormatPr defaultRowHeight="13.8" x14ac:dyDescent="0.25"/>
  <cols>
    <col min="2" max="2" width="26.69921875" bestFit="1" customWidth="1"/>
    <col min="3" max="3" width="10.19921875" bestFit="1" customWidth="1"/>
    <col min="5" max="5" width="14.5" bestFit="1" customWidth="1"/>
  </cols>
  <sheetData>
    <row r="2" spans="2:5" x14ac:dyDescent="0.25">
      <c r="B2" t="s">
        <v>48</v>
      </c>
      <c r="E2" t="s">
        <v>61</v>
      </c>
    </row>
    <row r="3" spans="2:5" x14ac:dyDescent="0.25">
      <c r="B3" t="s">
        <v>49</v>
      </c>
      <c r="E3" t="s">
        <v>67</v>
      </c>
    </row>
    <row r="4" spans="2:5" x14ac:dyDescent="0.25">
      <c r="B4" t="s">
        <v>65</v>
      </c>
      <c r="C4" s="30" t="s">
        <v>66</v>
      </c>
      <c r="E4" s="31" t="s">
        <v>60</v>
      </c>
    </row>
    <row r="5" spans="2:5" x14ac:dyDescent="0.25">
      <c r="B5" t="s">
        <v>50</v>
      </c>
      <c r="C5" t="s">
        <v>64</v>
      </c>
      <c r="E5" t="s">
        <v>62</v>
      </c>
    </row>
    <row r="6" spans="2:5" x14ac:dyDescent="0.25">
      <c r="B6" t="s">
        <v>51</v>
      </c>
      <c r="C6" t="s">
        <v>52</v>
      </c>
      <c r="E6" t="s">
        <v>63</v>
      </c>
    </row>
    <row r="7" spans="2:5" x14ac:dyDescent="0.25">
      <c r="B7" t="s">
        <v>53</v>
      </c>
      <c r="C7" t="s">
        <v>54</v>
      </c>
      <c r="E7" t="s">
        <v>68</v>
      </c>
    </row>
    <row r="8" spans="2:5" x14ac:dyDescent="0.25">
      <c r="B8" t="s">
        <v>55</v>
      </c>
      <c r="C8" t="s">
        <v>56</v>
      </c>
      <c r="E8" s="31" t="s">
        <v>69</v>
      </c>
    </row>
    <row r="9" spans="2:5" x14ac:dyDescent="0.25">
      <c r="B9" t="s">
        <v>58</v>
      </c>
      <c r="C9" t="s">
        <v>57</v>
      </c>
      <c r="E9" t="s">
        <v>70</v>
      </c>
    </row>
    <row r="10" spans="2:5" x14ac:dyDescent="0.25">
      <c r="B10" t="s">
        <v>59</v>
      </c>
      <c r="C10" t="s">
        <v>56</v>
      </c>
      <c r="E10" t="s">
        <v>71</v>
      </c>
    </row>
    <row r="11" spans="2:5" x14ac:dyDescent="0.25">
      <c r="E11" s="31" t="s">
        <v>72</v>
      </c>
    </row>
    <row r="12" spans="2:5" x14ac:dyDescent="0.25">
      <c r="E12" t="s">
        <v>73</v>
      </c>
    </row>
    <row r="14" spans="2:5" x14ac:dyDescent="0.25">
      <c r="B14" s="36"/>
      <c r="C14" s="36"/>
      <c r="D14" s="36"/>
      <c r="E14" s="36"/>
    </row>
    <row r="16" spans="2:5" x14ac:dyDescent="0.25">
      <c r="B16" t="s">
        <v>115</v>
      </c>
    </row>
    <row r="17" spans="2:8" x14ac:dyDescent="0.25">
      <c r="B17" t="s">
        <v>116</v>
      </c>
      <c r="E17" t="s">
        <v>126</v>
      </c>
    </row>
    <row r="18" spans="2:8" x14ac:dyDescent="0.25">
      <c r="B18" t="s">
        <v>117</v>
      </c>
      <c r="C18" s="30" t="s">
        <v>66</v>
      </c>
      <c r="E18" t="s">
        <v>129</v>
      </c>
    </row>
    <row r="19" spans="2:8" x14ac:dyDescent="0.25">
      <c r="B19" t="s">
        <v>118</v>
      </c>
      <c r="C19" t="s">
        <v>119</v>
      </c>
      <c r="E19" t="s">
        <v>130</v>
      </c>
    </row>
    <row r="20" spans="2:8" x14ac:dyDescent="0.25">
      <c r="B20" t="s">
        <v>53</v>
      </c>
      <c r="C20" t="s">
        <v>124</v>
      </c>
      <c r="E20" t="s">
        <v>131</v>
      </c>
    </row>
    <row r="21" spans="2:8" x14ac:dyDescent="0.25">
      <c r="B21" t="s">
        <v>120</v>
      </c>
      <c r="C21" t="s">
        <v>124</v>
      </c>
      <c r="E21" s="31" t="s">
        <v>132</v>
      </c>
      <c r="F21" s="21" t="s">
        <v>135</v>
      </c>
    </row>
    <row r="22" spans="2:8" x14ac:dyDescent="0.25">
      <c r="B22" t="s">
        <v>121</v>
      </c>
      <c r="C22" t="s">
        <v>125</v>
      </c>
      <c r="E22" t="s">
        <v>133</v>
      </c>
    </row>
    <row r="23" spans="2:8" x14ac:dyDescent="0.25">
      <c r="B23" t="s">
        <v>127</v>
      </c>
      <c r="C23" t="s">
        <v>128</v>
      </c>
      <c r="E23" t="s">
        <v>134</v>
      </c>
    </row>
    <row r="24" spans="2:8" x14ac:dyDescent="0.25">
      <c r="B24" t="s">
        <v>122</v>
      </c>
      <c r="C24" t="s">
        <v>123</v>
      </c>
    </row>
    <row r="25" spans="2:8" x14ac:dyDescent="0.25">
      <c r="H25" t="s">
        <v>136</v>
      </c>
    </row>
  </sheetData>
  <hyperlinks>
    <hyperlink ref="F21" r:id="rId1" xr:uid="{4EF3F599-E211-41D5-A9FD-A40830F3DD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T-Bond Yields</vt:lpstr>
      <vt:lpstr>All</vt:lpstr>
      <vt:lpstr>Communication</vt:lpstr>
      <vt:lpstr>Discretionary</vt:lpstr>
      <vt:lpstr>Staples</vt:lpstr>
      <vt:lpstr>Energy</vt:lpstr>
      <vt:lpstr>Financials</vt:lpstr>
      <vt:lpstr>Health Care</vt:lpstr>
      <vt:lpstr>Industrials</vt:lpstr>
      <vt:lpstr>Materials</vt:lpstr>
      <vt:lpstr>Real Estate</vt:lpstr>
      <vt:lpstr>Tech</vt:lpstr>
      <vt:lpstr>Utilities</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cp:lastPrinted>2024-03-03T17:27:34Z</cp:lastPrinted>
  <dcterms:created xsi:type="dcterms:W3CDTF">2022-07-25T02:43:33Z</dcterms:created>
  <dcterms:modified xsi:type="dcterms:W3CDTF">2024-04-06T23:55:59Z</dcterms:modified>
</cp:coreProperties>
</file>