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2ECC4D9B-0284-43DE-9107-B8AB741A8F26}" xr6:coauthVersionLast="47" xr6:coauthVersionMax="47" xr10:uidLastSave="{00000000-0000-0000-0000-000000000000}"/>
  <bookViews>
    <workbookView xWindow="-28920" yWindow="-120" windowWidth="29040" windowHeight="15720" xr2:uid="{4588CD03-294E-421F-A4EF-704A3E6AC4BE}"/>
  </bookViews>
  <sheets>
    <sheet name="T-Bond Yields" sheetId="2" r:id="rId1"/>
    <sheet name="All" sheetId="1" r:id="rId2"/>
    <sheet name="Communication" sheetId="12" r:id="rId3"/>
    <sheet name="Discretionary" sheetId="5" r:id="rId4"/>
    <sheet name="Staples" sheetId="6" r:id="rId5"/>
    <sheet name="Energy" sheetId="8" r:id="rId6"/>
    <sheet name="Financials" sheetId="11" r:id="rId7"/>
    <sheet name="Health Care" sheetId="7" r:id="rId8"/>
    <sheet name="Industrials" sheetId="10" r:id="rId9"/>
    <sheet name="Materials" sheetId="9" r:id="rId10"/>
    <sheet name="Real Estate" sheetId="14" r:id="rId11"/>
    <sheet name="Tech" sheetId="4" r:id="rId12"/>
    <sheet name="Utilities" sheetId="13" r:id="rId13"/>
    <sheet name="Screens" sheetId="3" r:id="rId14"/>
  </sheets>
  <externalReferences>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s>
  <definedNames>
    <definedName name="_xlnm._FilterDatabase" localSheetId="1" hidden="1">All!$B$2:$V$22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23" i="1" l="1"/>
  <c r="S23" i="1"/>
  <c r="R23" i="1"/>
  <c r="Q23" i="1"/>
  <c r="P23" i="1" l="1"/>
  <c r="O23" i="1"/>
  <c r="N23" i="1"/>
  <c r="M23" i="1"/>
  <c r="K23" i="1" l="1"/>
  <c r="T23" i="1" a="1"/>
  <c r="T23" i="1" s="1"/>
  <c r="I23" i="1"/>
  <c r="V23" i="1" l="1"/>
  <c r="J23" i="1"/>
  <c r="L23" i="1" s="1"/>
  <c r="E7" i="2"/>
  <c r="B3" i="13" a="1"/>
  <c r="B3" i="13" s="1"/>
  <c r="B3" i="14" a="1"/>
  <c r="B3" i="14" s="1"/>
  <c r="B3" i="9" a="1"/>
  <c r="B3" i="9" s="1"/>
  <c r="B3" i="10" a="1"/>
  <c r="B3" i="10" s="1"/>
  <c r="B3" i="11" a="1"/>
  <c r="B3" i="11" s="1"/>
  <c r="B3" i="8" a="1"/>
  <c r="B3" i="8" s="1"/>
  <c r="U21" i="1"/>
  <c r="Q21" i="1"/>
  <c r="P21" i="1"/>
  <c r="O21" i="1"/>
  <c r="N21" i="1"/>
  <c r="M21" i="1"/>
  <c r="T21" i="1" a="1"/>
  <c r="T21" i="1" s="1"/>
  <c r="K21" i="1"/>
  <c r="I21" i="1"/>
  <c r="P22" i="1"/>
  <c r="O22" i="1"/>
  <c r="N22" i="1"/>
  <c r="M22" i="1"/>
  <c r="K22" i="1"/>
  <c r="T22" i="1" a="1"/>
  <c r="T22" i="1" s="1"/>
  <c r="S22" i="1" s="1"/>
  <c r="I22" i="1"/>
  <c r="J21" i="1" l="1"/>
  <c r="L21" i="1" s="1"/>
  <c r="V21" i="1"/>
  <c r="J22" i="1"/>
  <c r="L22" i="1" s="1"/>
  <c r="Q22" i="1"/>
  <c r="U22" i="1" l="1"/>
  <c r="V22" i="1" s="1"/>
  <c r="P16" i="1" l="1"/>
  <c r="O16" i="1"/>
  <c r="N16" i="1"/>
  <c r="M16" i="1"/>
  <c r="I16" i="1"/>
  <c r="Q16" i="1" l="1"/>
  <c r="U16" i="1" l="1"/>
  <c r="F9" i="1" l="1" a="1"/>
  <c r="F9" i="1" s="1"/>
  <c r="F16" i="1" a="1"/>
  <c r="F16" i="1" s="1"/>
  <c r="F20" i="1" a="1"/>
  <c r="F20" i="1" s="1"/>
  <c r="R18" i="1"/>
  <c r="P18" i="1"/>
  <c r="O18" i="1"/>
  <c r="N18" i="1"/>
  <c r="M18" i="1"/>
  <c r="K18" i="1"/>
  <c r="I18" i="1"/>
  <c r="Q18" i="1" l="1"/>
  <c r="U18" i="1" l="1"/>
  <c r="U17" i="1" l="1"/>
  <c r="Q17" i="1"/>
  <c r="P17" i="1"/>
  <c r="O17" i="1"/>
  <c r="N17" i="1"/>
  <c r="M17" i="1"/>
  <c r="K17" i="1"/>
  <c r="T17" i="1" a="1"/>
  <c r="T17" i="1" s="1"/>
  <c r="S17" i="1" s="1"/>
  <c r="I17" i="1"/>
  <c r="J17" i="1" l="1"/>
  <c r="L17" i="1" s="1"/>
  <c r="V17" i="1"/>
  <c r="U19" i="1"/>
  <c r="Q19" i="1"/>
  <c r="P19" i="1"/>
  <c r="O19" i="1"/>
  <c r="N19" i="1"/>
  <c r="M19" i="1"/>
  <c r="K19" i="1"/>
  <c r="I19" i="1"/>
  <c r="U9" i="1" l="1"/>
  <c r="Q9" i="1"/>
  <c r="P9" i="1"/>
  <c r="O9" i="1"/>
  <c r="N9" i="1"/>
  <c r="M9" i="1"/>
  <c r="I9" i="1"/>
  <c r="K16" i="1" l="1"/>
  <c r="U20" i="1" l="1"/>
  <c r="Q20" i="1" l="1"/>
  <c r="P20" i="1"/>
  <c r="O20" i="1"/>
  <c r="N20" i="1"/>
  <c r="M20" i="1"/>
  <c r="K20" i="1"/>
  <c r="I20" i="1"/>
  <c r="F19" i="1" l="1" a="1"/>
  <c r="F19" i="1" s="1"/>
  <c r="F18" i="1" a="1"/>
  <c r="F18" i="1" s="1"/>
  <c r="T20" i="1" a="1"/>
  <c r="T20" i="1" s="1"/>
  <c r="J20" i="1" s="1"/>
  <c r="T19" i="1" a="1"/>
  <c r="T19" i="1" s="1"/>
  <c r="T18" i="1" a="1"/>
  <c r="T18" i="1" s="1"/>
  <c r="F17" i="1" a="1"/>
  <c r="F17" i="1" s="1"/>
  <c r="F4" i="1" a="1"/>
  <c r="F4" i="1" s="1"/>
  <c r="F5" i="1" a="1"/>
  <c r="F5" i="1" s="1"/>
  <c r="F6" i="1" a="1"/>
  <c r="F6" i="1" s="1"/>
  <c r="F7" i="1" a="1"/>
  <c r="F7" i="1" s="1"/>
  <c r="F8" i="1" a="1"/>
  <c r="F8" i="1" s="1"/>
  <c r="F10" i="1" a="1"/>
  <c r="F10" i="1" s="1"/>
  <c r="F11" i="1" a="1"/>
  <c r="F11" i="1" s="1"/>
  <c r="F12" i="1" a="1"/>
  <c r="F12" i="1" s="1"/>
  <c r="F13" i="1" a="1"/>
  <c r="F13" i="1" s="1"/>
  <c r="F14" i="1" a="1"/>
  <c r="F14" i="1" s="1"/>
  <c r="F15" i="1" a="1"/>
  <c r="F15" i="1" s="1"/>
  <c r="F3" i="1" a="1"/>
  <c r="F3" i="1" s="1"/>
  <c r="I3" i="1"/>
  <c r="P4" i="1"/>
  <c r="O4" i="1"/>
  <c r="N4" i="1"/>
  <c r="M4" i="1"/>
  <c r="K4" i="1"/>
  <c r="K3" i="1"/>
  <c r="J19" i="1" l="1"/>
  <c r="V19" i="1"/>
  <c r="V18" i="1"/>
  <c r="S18" i="1"/>
  <c r="J18" i="1"/>
  <c r="T15" i="1" a="1"/>
  <c r="T15" i="1" s="1"/>
  <c r="S15" i="1" s="1"/>
  <c r="R14" i="1"/>
  <c r="R13" i="1"/>
  <c r="R12" i="1"/>
  <c r="R11" i="1"/>
  <c r="R9" i="1"/>
  <c r="R8" i="1"/>
  <c r="R7" i="1"/>
  <c r="R4" i="1"/>
  <c r="R15" i="1"/>
  <c r="P15" i="1"/>
  <c r="O15" i="1"/>
  <c r="N15" i="1"/>
  <c r="M15" i="1"/>
  <c r="K15" i="1"/>
  <c r="I15" i="1"/>
  <c r="J15" i="1" l="1"/>
  <c r="Q15" i="1"/>
  <c r="U15" i="1" l="1"/>
  <c r="V15" i="1" s="1"/>
  <c r="U3" i="1"/>
  <c r="Q3" i="1"/>
  <c r="P3" i="1"/>
  <c r="O3" i="1"/>
  <c r="N3" i="1"/>
  <c r="M3" i="1"/>
  <c r="T16" i="1" l="1" a="1"/>
  <c r="T16" i="1" s="1"/>
  <c r="U13" i="1"/>
  <c r="V16" i="1" l="1"/>
  <c r="J16" i="1"/>
  <c r="L16" i="1" s="1"/>
  <c r="S16" i="1"/>
  <c r="P14" i="1"/>
  <c r="O14" i="1"/>
  <c r="N14" i="1"/>
  <c r="M14" i="1"/>
  <c r="K14" i="1"/>
  <c r="I14" i="1"/>
  <c r="T14" i="1" a="1"/>
  <c r="T14" i="1" s="1"/>
  <c r="S14" i="1" l="1"/>
  <c r="J14" i="1"/>
  <c r="Q14" i="1"/>
  <c r="U14" i="1" l="1"/>
  <c r="V14" i="1" s="1"/>
  <c r="L15" i="1" l="1"/>
  <c r="L14" i="1"/>
  <c r="L18" i="1"/>
  <c r="L19" i="1"/>
  <c r="L20" i="1"/>
  <c r="S19" i="1"/>
  <c r="S20" i="1"/>
  <c r="V20" i="1"/>
  <c r="Q13" i="1"/>
  <c r="P13" i="1"/>
  <c r="O13" i="1"/>
  <c r="N13" i="1"/>
  <c r="M13" i="1"/>
  <c r="K13" i="1"/>
  <c r="I13" i="1"/>
  <c r="U12" i="1" l="1"/>
  <c r="Q12" i="1"/>
  <c r="P12" i="1"/>
  <c r="O12" i="1"/>
  <c r="N12" i="1"/>
  <c r="M12" i="1"/>
  <c r="K12" i="1"/>
  <c r="I12" i="1"/>
  <c r="U11" i="1" l="1"/>
  <c r="Q11" i="1"/>
  <c r="P11" i="1"/>
  <c r="O11" i="1"/>
  <c r="N11" i="1"/>
  <c r="M11" i="1"/>
  <c r="K11" i="1"/>
  <c r="I11" i="1"/>
  <c r="Q10" i="1" l="1"/>
  <c r="P10" i="1"/>
  <c r="O10" i="1"/>
  <c r="N10" i="1"/>
  <c r="M10" i="1"/>
  <c r="K10" i="1"/>
  <c r="T13" i="1" a="1"/>
  <c r="T13" i="1" s="1"/>
  <c r="V13" i="1" s="1"/>
  <c r="T12" i="1" a="1"/>
  <c r="T12" i="1" s="1"/>
  <c r="V12" i="1" s="1"/>
  <c r="T11" i="1" a="1"/>
  <c r="T11" i="1" s="1"/>
  <c r="V11" i="1" s="1"/>
  <c r="T10" i="1" a="1"/>
  <c r="T10" i="1" s="1"/>
  <c r="I10" i="1"/>
  <c r="J10" i="1" l="1"/>
  <c r="S10" i="1"/>
  <c r="S11" i="1"/>
  <c r="J11" i="1"/>
  <c r="L11" i="1" s="1"/>
  <c r="S12" i="1"/>
  <c r="J12" i="1"/>
  <c r="S13" i="1"/>
  <c r="J13" i="1"/>
  <c r="L13" i="1" s="1"/>
  <c r="L12" i="1" l="1"/>
  <c r="B3" i="7" a="1"/>
  <c r="B3" i="7" s="1"/>
  <c r="L10" i="1"/>
  <c r="K9" i="1"/>
  <c r="U8" i="1" l="1"/>
  <c r="Q8" i="1"/>
  <c r="P8" i="1"/>
  <c r="O8" i="1"/>
  <c r="N8" i="1"/>
  <c r="M8" i="1"/>
  <c r="K8" i="1"/>
  <c r="I8" i="1"/>
  <c r="Q7" i="1" l="1"/>
  <c r="P7" i="1"/>
  <c r="O7" i="1"/>
  <c r="N7" i="1"/>
  <c r="M7" i="1"/>
  <c r="K7" i="1"/>
  <c r="I7" i="1"/>
  <c r="U6" i="1" l="1"/>
  <c r="Q6" i="1"/>
  <c r="P6" i="1"/>
  <c r="O6" i="1"/>
  <c r="N6" i="1"/>
  <c r="M6" i="1"/>
  <c r="K6" i="1"/>
  <c r="I6" i="1"/>
  <c r="U5" i="1" l="1"/>
  <c r="Q5" i="1"/>
  <c r="P5" i="1"/>
  <c r="O5" i="1"/>
  <c r="N5" i="1"/>
  <c r="M5" i="1"/>
  <c r="K5" i="1"/>
  <c r="I5" i="1"/>
  <c r="I4" i="1"/>
  <c r="E8" i="2" l="1"/>
  <c r="E6" i="2"/>
  <c r="E5" i="2"/>
  <c r="E4" i="2"/>
  <c r="E9" i="2"/>
  <c r="T9" i="1" l="1" a="1"/>
  <c r="T9" i="1" s="1"/>
  <c r="S9" i="1" l="1"/>
  <c r="J9" i="1"/>
  <c r="L9" i="1" s="1"/>
  <c r="T6" i="1" l="1" a="1"/>
  <c r="T6" i="1" s="1"/>
  <c r="T3" i="1" a="1"/>
  <c r="T3" i="1" s="1"/>
  <c r="S3" i="1" s="1"/>
  <c r="T4" i="1" a="1"/>
  <c r="T4" i="1" s="1"/>
  <c r="S4" i="1" s="1"/>
  <c r="T5" i="1" a="1"/>
  <c r="T5" i="1" s="1"/>
  <c r="S5" i="1" s="1"/>
  <c r="T8" i="1" a="1"/>
  <c r="T8" i="1" s="1"/>
  <c r="S8" i="1" s="1"/>
  <c r="T7" i="1" a="1"/>
  <c r="T7" i="1" s="1"/>
  <c r="S7" i="1" s="1"/>
  <c r="S6" i="1" l="1"/>
  <c r="J6" i="1"/>
  <c r="V8" i="1"/>
  <c r="E16" i="2" l="1"/>
  <c r="E15" i="2"/>
  <c r="E14" i="2"/>
  <c r="E13" i="2"/>
  <c r="E12" i="2"/>
  <c r="E11" i="2"/>
  <c r="E10" i="2"/>
  <c r="J5" i="1" l="1"/>
  <c r="J3" i="1"/>
  <c r="V3" i="1"/>
  <c r="J4" i="1"/>
  <c r="J8" i="1"/>
  <c r="J7" i="1"/>
  <c r="L3" i="1" l="1"/>
  <c r="L5" i="1"/>
  <c r="L4" i="1"/>
  <c r="L6" i="1"/>
  <c r="L7" i="1"/>
  <c r="L8" i="1"/>
  <c r="V5" i="1" l="1"/>
  <c r="B3" i="4" s="1" a="1"/>
  <c r="B3" i="4" s="1"/>
  <c r="V6" i="1" l="1"/>
  <c r="Q4" i="1" l="1"/>
  <c r="U4" i="1" l="1"/>
  <c r="V4" i="1" s="1"/>
  <c r="B3" i="5" l="1" a="1"/>
  <c r="B3" i="5" s="1"/>
  <c r="V9" i="1"/>
  <c r="U10" i="1" l="1"/>
  <c r="V10" i="1" s="1"/>
  <c r="B3" i="12" s="1" a="1"/>
  <c r="B3" i="12" s="1"/>
  <c r="U7" i="1" l="1"/>
  <c r="V7" i="1" l="1"/>
  <c r="B3" i="6" a="1"/>
  <c r="B3"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tc={49B2FB88-EDB1-47B3-9023-937A804038C9}</author>
    <author>tc={1DF6433C-B120-4A2D-85AF-549564FF6DEE}</author>
    <author>tc={D9A90F2B-8659-49F8-9E1C-B354DA2DCB3D}</author>
    <author>tc={9E71E09E-0600-4605-8DE5-464B622D8134}</author>
    <author>tc={93C12A89-94F8-43EC-9B6F-DED8B4DC56F8}</author>
    <author>tc={51B9BE83-FA4F-4331-A8E4-230A7629C793}</author>
    <author>tc={98132863-37BE-4D21-8DB8-FF1FD4C7CBED}</author>
  </authors>
  <commentList>
    <comment ref="G2" authorId="0" shapeId="0" xr:uid="{49B2FB88-EDB1-47B3-9023-937A804038C9}">
      <text>
        <t>[Threaded comment]
Your version of Excel allows you to read this threaded comment; however, any edits to it will get removed if the file is opened in a newer version of Excel. Learn more: https://go.microsoft.com/fwlink/?linkid=870924
Comment:
    Koyfin</t>
      </text>
    </comment>
    <comment ref="H2" authorId="1" shapeId="0" xr:uid="{1DF6433C-B120-4A2D-85AF-549564FF6DEE}">
      <text>
        <t>[Threaded comment]
Your version of Excel allows you to read this threaded comment; however, any edits to it will get removed if the file is opened in a newer version of Excel. Learn more: https://go.microsoft.com/fwlink/?linkid=870924
Comment:
    Koyfin</t>
      </text>
    </comment>
    <comment ref="M2" authorId="2" shapeId="0" xr:uid="{D9A90F2B-8659-49F8-9E1C-B354DA2DCB3D}">
      <text>
        <t>[Threaded comment]
Your version of Excel allows you to read this threaded comment; however, any edits to it will get removed if the file is opened in a newer version of Excel. Learn more: https://go.microsoft.com/fwlink/?linkid=870924
Comment:
    previous FY</t>
      </text>
    </comment>
    <comment ref="N2" authorId="3" shapeId="0" xr:uid="{9E71E09E-0600-4605-8DE5-464B622D8134}">
      <text>
        <t>[Threaded comment]
Your version of Excel allows you to read this threaded comment; however, any edits to it will get removed if the file is opened in a newer version of Excel. Learn more: https://go.microsoft.com/fwlink/?linkid=870924
Comment:
    previous FY</t>
      </text>
    </comment>
    <comment ref="O2" authorId="4" shapeId="0" xr:uid="{93C12A89-94F8-43EC-9B6F-DED8B4DC56F8}">
      <text>
        <t>[Threaded comment]
Your version of Excel allows you to read this threaded comment; however, any edits to it will get removed if the file is opened in a newer version of Excel. Learn more: https://go.microsoft.com/fwlink/?linkid=870924
Comment:
    previous FY</t>
      </text>
    </comment>
    <comment ref="P2" authorId="5" shapeId="0" xr:uid="{51B9BE83-FA4F-4331-A8E4-230A7629C793}">
      <text>
        <t>[Threaded comment]
Your version of Excel allows you to read this threaded comment; however, any edits to it will get removed if the file is opened in a newer version of Excel. Learn more: https://go.microsoft.com/fwlink/?linkid=870924
Comment:
    previous FY</t>
      </text>
    </comment>
    <comment ref="R2" authorId="6" shapeId="0" xr:uid="{98132863-37BE-4D21-8DB8-FF1FD4C7CBED}">
      <text>
        <t>[Threaded comment]
Your version of Excel allows you to read this threaded comment; however, any edits to it will get removed if the file is opened in a newer version of Excel. Learn more: https://go.microsoft.com/fwlink/?linkid=870924
Comment:
    Annual</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3"/>
        </ext>
      </extLst>
    </bk>
  </futureMetadata>
  <cellMetadata count="1">
    <bk>
      <rc t="1" v="0"/>
    </bk>
  </cellMetadata>
  <valueMetadata count="2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valueMetadata>
</metadata>
</file>

<file path=xl/sharedStrings.xml><?xml version="1.0" encoding="utf-8"?>
<sst xmlns="http://schemas.openxmlformats.org/spreadsheetml/2006/main" count="242" uniqueCount="145">
  <si>
    <t>U.S. T-Bonds</t>
  </si>
  <si>
    <t>Difference</t>
  </si>
  <si>
    <t>1Y</t>
  </si>
  <si>
    <t>2Y</t>
  </si>
  <si>
    <t>3Y</t>
  </si>
  <si>
    <t>5Y</t>
  </si>
  <si>
    <t>7Y</t>
  </si>
  <si>
    <t>10Y</t>
  </si>
  <si>
    <t>20Y</t>
  </si>
  <si>
    <t>30Y</t>
  </si>
  <si>
    <t>Company</t>
  </si>
  <si>
    <t>HQ</t>
  </si>
  <si>
    <t>CEO</t>
  </si>
  <si>
    <t>FT Employees</t>
  </si>
  <si>
    <t xml:space="preserve">Sector </t>
  </si>
  <si>
    <t>Industry</t>
  </si>
  <si>
    <t>Shares</t>
  </si>
  <si>
    <t>Market Cap</t>
  </si>
  <si>
    <t>Net Cash</t>
  </si>
  <si>
    <t>EV</t>
  </si>
  <si>
    <t>RevG</t>
  </si>
  <si>
    <t>GM %</t>
  </si>
  <si>
    <t>OM %</t>
  </si>
  <si>
    <t>Tax Rate</t>
  </si>
  <si>
    <t>WACC</t>
  </si>
  <si>
    <t>Current Price</t>
  </si>
  <si>
    <t>Model Price</t>
  </si>
  <si>
    <t>Minneapolis, MN</t>
  </si>
  <si>
    <t>Brian Cornell</t>
  </si>
  <si>
    <t>Consumer Discretionary</t>
  </si>
  <si>
    <t>Beaverton, OR</t>
  </si>
  <si>
    <t>John Donahoe II</t>
  </si>
  <si>
    <t>San Francisco, CA</t>
  </si>
  <si>
    <t>Bentonville, AR</t>
  </si>
  <si>
    <t>Douglas McMillon</t>
  </si>
  <si>
    <t>Consumer Staples</t>
  </si>
  <si>
    <t>Information Technology</t>
  </si>
  <si>
    <t>Seattle, WA</t>
  </si>
  <si>
    <t>Carlsbad, CA</t>
  </si>
  <si>
    <t>Oliver Brewer III</t>
  </si>
  <si>
    <t>Andrew Houston</t>
  </si>
  <si>
    <t>Treasury</t>
  </si>
  <si>
    <t>Source:</t>
  </si>
  <si>
    <t>2Mo</t>
  </si>
  <si>
    <t>1Mo</t>
  </si>
  <si>
    <t>3Mo</t>
  </si>
  <si>
    <t>4Mo</t>
  </si>
  <si>
    <t>6Mo</t>
  </si>
  <si>
    <t>FinViz Dividend Screen 6/15/23</t>
  </si>
  <si>
    <t>Parameters:</t>
  </si>
  <si>
    <t>Dividend Yield</t>
  </si>
  <si>
    <t>Avg. Volume</t>
  </si>
  <si>
    <t>&gt;500k</t>
  </si>
  <si>
    <t>P/E</t>
  </si>
  <si>
    <t>profitable</t>
  </si>
  <si>
    <t>D/E</t>
  </si>
  <si>
    <t>under 1</t>
  </si>
  <si>
    <t>positive low</t>
  </si>
  <si>
    <t>Sales Growth Last 5 Years</t>
  </si>
  <si>
    <t>LT D/E</t>
  </si>
  <si>
    <t>BBY</t>
  </si>
  <si>
    <t>Results to Model</t>
  </si>
  <si>
    <t>BKU</t>
  </si>
  <si>
    <t>BNS</t>
  </si>
  <si>
    <t>over 4%</t>
  </si>
  <si>
    <t>Market Cap.</t>
  </si>
  <si>
    <t>+ Mid</t>
  </si>
  <si>
    <t>APLE</t>
  </si>
  <si>
    <t>BTI</t>
  </si>
  <si>
    <t>CBRL</t>
  </si>
  <si>
    <t>CFG</t>
  </si>
  <si>
    <t>CIG</t>
  </si>
  <si>
    <t>FL</t>
  </si>
  <si>
    <t>KHC</t>
  </si>
  <si>
    <t>Dividend ($)</t>
  </si>
  <si>
    <t>Laxman Narasimhan</t>
  </si>
  <si>
    <t>Canonsburg, PA</t>
  </si>
  <si>
    <t>New York, NY</t>
  </si>
  <si>
    <t>Santa Clara, CA</t>
  </si>
  <si>
    <t>Los Gatos, CA</t>
  </si>
  <si>
    <t>Communication Services</t>
  </si>
  <si>
    <t>Jen-Hsun Huang</t>
  </si>
  <si>
    <t>Dr. Albert Bourla</t>
  </si>
  <si>
    <t>Health Care</t>
  </si>
  <si>
    <t>Scott Smith</t>
  </si>
  <si>
    <t>Richfield, Minnesota</t>
  </si>
  <si>
    <t>Corie Barry</t>
  </si>
  <si>
    <t>Founded</t>
  </si>
  <si>
    <t>Mary Dillon</t>
  </si>
  <si>
    <t>2007</t>
  </si>
  <si>
    <t>1945</t>
  </si>
  <si>
    <t>1902</t>
  </si>
  <si>
    <t>Columbus, OH</t>
  </si>
  <si>
    <t>Andrew Jassy</t>
  </si>
  <si>
    <t>Bruce Thorn</t>
  </si>
  <si>
    <t>Michelle Gass</t>
  </si>
  <si>
    <t>Ted Sarandos &amp; Greg Peters</t>
  </si>
  <si>
    <t>Cupertino, CA</t>
  </si>
  <si>
    <t>Tim Cook</t>
  </si>
  <si>
    <t>Pittsburgh, PA</t>
  </si>
  <si>
    <t>Dr. Luis Alfonso von Ahn</t>
  </si>
  <si>
    <t>Sue Nabi</t>
  </si>
  <si>
    <t>Consumer Staples Distribution &amp; Retail</t>
  </si>
  <si>
    <t>Textiles, Apparel and Luxury Goods</t>
  </si>
  <si>
    <t>Software</t>
  </si>
  <si>
    <t>Leisure Products</t>
  </si>
  <si>
    <t>Hotels, Restaurants and Leisure</t>
  </si>
  <si>
    <t>Entertainment</t>
  </si>
  <si>
    <t>Semiconductors and Semiconductor Equipment</t>
  </si>
  <si>
    <t>Pharmaceuticals</t>
  </si>
  <si>
    <t>Specialty Retail</t>
  </si>
  <si>
    <t>Broadline Retail</t>
  </si>
  <si>
    <t>Technology, Hardware, Storage and Peripherals</t>
  </si>
  <si>
    <t>Diversified Consumer Services</t>
  </si>
  <si>
    <t>Personal Care Products</t>
  </si>
  <si>
    <t>FinViz Tech 3/4/24</t>
  </si>
  <si>
    <t>parameters:</t>
  </si>
  <si>
    <t>market cap</t>
  </si>
  <si>
    <t>sector</t>
  </si>
  <si>
    <t>technology</t>
  </si>
  <si>
    <t>Forward P/E</t>
  </si>
  <si>
    <t>LT Debt/Equity</t>
  </si>
  <si>
    <t>Performance</t>
  </si>
  <si>
    <t>YTD down</t>
  </si>
  <si>
    <t>under 25</t>
  </si>
  <si>
    <t>under 0.5</t>
  </si>
  <si>
    <t>results</t>
  </si>
  <si>
    <t>Sales growth over past 5yrs</t>
  </si>
  <si>
    <t>over 10%</t>
  </si>
  <si>
    <t>ACLS</t>
  </si>
  <si>
    <t>IDCC</t>
  </si>
  <si>
    <t>SNX</t>
  </si>
  <si>
    <t>STM</t>
  </si>
  <si>
    <t>TDY</t>
  </si>
  <si>
    <t>WNS</t>
  </si>
  <si>
    <t>https://x.com/Beth_Kindig/status/1723877664539250931?s=20</t>
  </si>
  <si>
    <t xml:space="preserve"> </t>
  </si>
  <si>
    <t>Toyota, Japan</t>
  </si>
  <si>
    <t>Koji Sato</t>
  </si>
  <si>
    <t>Automobiles</t>
  </si>
  <si>
    <t>Mountain View, California</t>
  </si>
  <si>
    <t>Sundar Pichai</t>
  </si>
  <si>
    <t>Interactive Media and Services</t>
  </si>
  <si>
    <t>Dallas, TX</t>
  </si>
  <si>
    <t>Haviv Ilan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</si>
</sst>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0" x14ac:knownFonts="1">
    <font>
      <sz val="11"/>
      <color theme="1"/>
      <name val="Arial"/>
      <family val="2"/>
    </font>
    <font>
      <sz val="11"/>
      <color theme="1"/>
      <name val="Arial"/>
      <family val="2"/>
    </font>
    <font>
      <u/>
      <sz val="11"/>
      <color theme="10"/>
      <name val="Arial"/>
      <family val="2"/>
    </font>
    <font>
      <sz val="11"/>
      <color theme="1"/>
      <name val="Calibri"/>
      <family val="2"/>
      <scheme val="minor"/>
    </font>
    <font>
      <u/>
      <sz val="11"/>
      <color theme="1"/>
      <name val="Arial"/>
      <family val="2"/>
    </font>
    <font>
      <i/>
      <sz val="11"/>
      <color theme="1"/>
      <name val="Arial"/>
      <family val="2"/>
    </font>
    <font>
      <u/>
      <sz val="11"/>
      <color theme="10"/>
      <name val="Calibri"/>
      <family val="2"/>
      <scheme val="minor"/>
    </font>
    <font>
      <b/>
      <u/>
      <sz val="11"/>
      <color theme="1"/>
      <name val="Arial"/>
      <family val="2"/>
    </font>
    <font>
      <sz val="11"/>
      <name val="Arial"/>
      <family val="2"/>
    </font>
    <font>
      <i/>
      <u/>
      <sz val="11"/>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6">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0"/>
    <xf numFmtId="0" fontId="6" fillId="0" borderId="0" applyNumberFormat="0" applyFill="0" applyBorder="0" applyAlignment="0" applyProtection="0"/>
  </cellStyleXfs>
  <cellXfs count="43">
    <xf numFmtId="0" fontId="0" fillId="0" borderId="0" xfId="0"/>
    <xf numFmtId="0" fontId="4" fillId="0" borderId="0" xfId="4" applyFont="1" applyAlignment="1">
      <alignment horizontal="center"/>
    </xf>
    <xf numFmtId="0" fontId="1" fillId="0" borderId="0" xfId="4" applyFont="1"/>
    <xf numFmtId="0" fontId="1" fillId="0" borderId="0" xfId="4" applyFont="1" applyAlignment="1">
      <alignment horizontal="center"/>
    </xf>
    <xf numFmtId="9" fontId="1" fillId="0" borderId="0" xfId="4" applyNumberFormat="1" applyFont="1"/>
    <xf numFmtId="14" fontId="5" fillId="0" borderId="0" xfId="4" applyNumberFormat="1" applyFont="1" applyAlignment="1">
      <alignment horizontal="center"/>
    </xf>
    <xf numFmtId="0" fontId="2" fillId="0" borderId="0" xfId="5" applyFont="1" applyAlignment="1">
      <alignment horizontal="center" vertical="center"/>
    </xf>
    <xf numFmtId="14" fontId="5" fillId="0" borderId="0" xfId="4" applyNumberFormat="1" applyFont="1"/>
    <xf numFmtId="0" fontId="7" fillId="0" borderId="0" xfId="0" applyFont="1" applyAlignment="1">
      <alignment horizontal="left" vertical="center"/>
    </xf>
    <xf numFmtId="0" fontId="1" fillId="0" borderId="0" xfId="0" applyFont="1" applyAlignment="1">
      <alignment horizontal="center" vertical="center"/>
    </xf>
    <xf numFmtId="49" fontId="8" fillId="0" borderId="0" xfId="5" applyNumberFormat="1" applyFont="1" applyAlignment="1">
      <alignment horizontal="center" vertical="center"/>
    </xf>
    <xf numFmtId="3" fontId="1" fillId="0" borderId="0" xfId="0" applyNumberFormat="1" applyFont="1" applyAlignment="1">
      <alignment horizontal="center" vertical="center"/>
    </xf>
    <xf numFmtId="9" fontId="1" fillId="0" borderId="0" xfId="2" applyFont="1" applyAlignment="1">
      <alignment horizontal="center" vertical="center"/>
    </xf>
    <xf numFmtId="9" fontId="1" fillId="0" borderId="0" xfId="0" applyNumberFormat="1" applyFont="1" applyAlignment="1">
      <alignment horizontal="center" vertical="center"/>
    </xf>
    <xf numFmtId="4" fontId="1" fillId="0" borderId="0" xfId="1" applyNumberFormat="1" applyFont="1" applyAlignment="1">
      <alignment horizontal="center"/>
    </xf>
    <xf numFmtId="49" fontId="1" fillId="0" borderId="0" xfId="0" applyNumberFormat="1" applyFont="1" applyAlignment="1">
      <alignment horizontal="center" vertical="center"/>
    </xf>
    <xf numFmtId="2" fontId="1" fillId="0" borderId="0" xfId="0" applyNumberFormat="1" applyFont="1" applyAlignment="1">
      <alignment horizontal="center"/>
    </xf>
    <xf numFmtId="4" fontId="1" fillId="0" borderId="0" xfId="0" applyNumberFormat="1" applyFont="1" applyAlignment="1">
      <alignment horizontal="center" vertical="center"/>
    </xf>
    <xf numFmtId="3" fontId="0" fillId="0" borderId="0" xfId="0" applyNumberFormat="1" applyAlignment="1">
      <alignment horizontal="center"/>
    </xf>
    <xf numFmtId="0" fontId="2" fillId="0" borderId="0" xfId="3" applyAlignment="1">
      <alignment horizontal="left" vertical="center"/>
    </xf>
    <xf numFmtId="49" fontId="2" fillId="0" borderId="0" xfId="3" applyNumberFormat="1" applyAlignment="1">
      <alignment horizontal="left" vertical="center"/>
    </xf>
    <xf numFmtId="0" fontId="2" fillId="0" borderId="0" xfId="3"/>
    <xf numFmtId="0" fontId="8" fillId="0" borderId="0" xfId="5" applyFont="1" applyAlignment="1">
      <alignment horizontal="center" vertical="center"/>
    </xf>
    <xf numFmtId="10" fontId="1" fillId="0" borderId="0" xfId="4" applyNumberFormat="1" applyFont="1" applyAlignment="1">
      <alignment horizontal="center"/>
    </xf>
    <xf numFmtId="9" fontId="1" fillId="0" borderId="0" xfId="4" applyNumberFormat="1" applyFont="1" applyAlignment="1">
      <alignment horizontal="center"/>
    </xf>
    <xf numFmtId="14" fontId="9" fillId="0" borderId="0" xfId="4" applyNumberFormat="1" applyFont="1" applyAlignment="1">
      <alignment horizontal="center"/>
    </xf>
    <xf numFmtId="0" fontId="0" fillId="0" borderId="0" xfId="0" applyAlignment="1">
      <alignment horizontal="center"/>
    </xf>
    <xf numFmtId="39" fontId="0" fillId="0" borderId="0" xfId="0" applyNumberFormat="1" applyAlignment="1">
      <alignment horizontal="center"/>
    </xf>
    <xf numFmtId="4" fontId="0" fillId="0" borderId="0" xfId="0" applyNumberFormat="1" applyAlignment="1">
      <alignment horizontal="center"/>
    </xf>
    <xf numFmtId="10" fontId="5" fillId="0" borderId="0" xfId="2" applyNumberFormat="1" applyFont="1" applyAlignment="1">
      <alignment horizontal="center"/>
    </xf>
    <xf numFmtId="49" fontId="0" fillId="0" borderId="0" xfId="0" applyNumberFormat="1"/>
    <xf numFmtId="0" fontId="0" fillId="2" borderId="0" xfId="0" applyFill="1"/>
    <xf numFmtId="0" fontId="7" fillId="0" borderId="0" xfId="0" applyFont="1" applyAlignment="1">
      <alignment horizontal="center" vertical="center"/>
    </xf>
    <xf numFmtId="3" fontId="7" fillId="0" borderId="0" xfId="0" applyNumberFormat="1" applyFont="1" applyAlignment="1">
      <alignment horizontal="center" vertical="center"/>
    </xf>
    <xf numFmtId="9" fontId="0" fillId="0" borderId="0" xfId="0" applyNumberFormat="1" applyAlignment="1">
      <alignment horizontal="center"/>
    </xf>
    <xf numFmtId="10" fontId="1" fillId="0" borderId="0" xfId="0" applyNumberFormat="1" applyFont="1" applyAlignment="1">
      <alignment horizontal="center"/>
    </xf>
    <xf numFmtId="0" fontId="0" fillId="0" borderId="1" xfId="0" applyBorder="1"/>
    <xf numFmtId="1" fontId="1" fillId="0" borderId="0" xfId="0" applyNumberFormat="1" applyFont="1" applyAlignment="1">
      <alignment horizontal="center" vertical="center"/>
    </xf>
    <xf numFmtId="1" fontId="0" fillId="0" borderId="0" xfId="0" applyNumberFormat="1" applyAlignment="1">
      <alignment horizontal="center"/>
    </xf>
    <xf numFmtId="3" fontId="0" fillId="0" borderId="0" xfId="0" applyNumberFormat="1"/>
    <xf numFmtId="3" fontId="0" fillId="0" borderId="0" xfId="0" applyNumberFormat="1" applyAlignment="1">
      <alignment horizontal="center" vertical="center"/>
    </xf>
    <xf numFmtId="3" fontId="8" fillId="0" borderId="0" xfId="5" applyNumberFormat="1" applyFont="1" applyAlignment="1">
      <alignment horizontal="center" vertical="center"/>
    </xf>
    <xf numFmtId="2" fontId="0" fillId="0" borderId="0" xfId="0" applyNumberFormat="1" applyAlignment="1">
      <alignment horizontal="center"/>
    </xf>
  </cellXfs>
  <cellStyles count="6">
    <cellStyle name="Currency" xfId="1" builtinId="4"/>
    <cellStyle name="Hyperlink" xfId="3" builtinId="8"/>
    <cellStyle name="Hyperlink 2" xfId="5" xr:uid="{A7B20633-D8C0-4BA6-B794-18B301111BAF}"/>
    <cellStyle name="Normal" xfId="0" builtinId="0"/>
    <cellStyle name="Normal 2" xfId="4" xr:uid="{8DB66348-1D6F-4E58-A830-A34256D0289C}"/>
    <cellStyle name="Percent" xfId="2" builtinId="5"/>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externalLink" Target="externalLinks/externalLink12.xml"/><Relationship Id="rId39" Type="http://schemas.openxmlformats.org/officeDocument/2006/relationships/sharedStrings" Target="sharedStrings.xml"/><Relationship Id="rId21" Type="http://schemas.openxmlformats.org/officeDocument/2006/relationships/externalLink" Target="externalLinks/externalLink7.xml"/><Relationship Id="rId34" Type="http://schemas.openxmlformats.org/officeDocument/2006/relationships/externalLink" Target="externalLinks/externalLink20.xml"/><Relationship Id="rId42" Type="http://schemas.microsoft.com/office/2017/06/relationships/rdRichValueStructure" Target="richData/rdrichvaluestructure.xml"/><Relationship Id="rId47"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externalLink" Target="externalLinks/externalLink2.xml"/><Relationship Id="rId29"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0.xml"/><Relationship Id="rId32" Type="http://schemas.openxmlformats.org/officeDocument/2006/relationships/externalLink" Target="externalLinks/externalLink18.xml"/><Relationship Id="rId37" Type="http://schemas.openxmlformats.org/officeDocument/2006/relationships/theme" Target="theme/theme1.xml"/><Relationship Id="rId40" Type="http://schemas.openxmlformats.org/officeDocument/2006/relationships/sheetMetadata" Target="metadata.xml"/><Relationship Id="rId45" Type="http://schemas.microsoft.com/office/2017/06/relationships/rdSupportingPropertyBag" Target="richData/rdsupportingpropertybag.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externalLink" Target="externalLinks/externalLink9.xml"/><Relationship Id="rId28" Type="http://schemas.openxmlformats.org/officeDocument/2006/relationships/externalLink" Target="externalLinks/externalLink14.xml"/><Relationship Id="rId36" Type="http://schemas.openxmlformats.org/officeDocument/2006/relationships/externalLink" Target="externalLinks/externalLink22.xml"/><Relationship Id="rId10" Type="http://schemas.openxmlformats.org/officeDocument/2006/relationships/worksheet" Target="worksheets/sheet10.xml"/><Relationship Id="rId19" Type="http://schemas.openxmlformats.org/officeDocument/2006/relationships/externalLink" Target="externalLinks/externalLink5.xml"/><Relationship Id="rId31" Type="http://schemas.openxmlformats.org/officeDocument/2006/relationships/externalLink" Target="externalLinks/externalLink17.xml"/><Relationship Id="rId44"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8.xml"/><Relationship Id="rId27" Type="http://schemas.openxmlformats.org/officeDocument/2006/relationships/externalLink" Target="externalLinks/externalLink13.xml"/><Relationship Id="rId30" Type="http://schemas.openxmlformats.org/officeDocument/2006/relationships/externalLink" Target="externalLinks/externalLink16.xml"/><Relationship Id="rId35" Type="http://schemas.openxmlformats.org/officeDocument/2006/relationships/externalLink" Target="externalLinks/externalLink21.xml"/><Relationship Id="rId43" Type="http://schemas.microsoft.com/office/2017/06/relationships/richStyles" Target="richData/richStyles.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externalLink" Target="externalLinks/externalLink11.xml"/><Relationship Id="rId33" Type="http://schemas.openxmlformats.org/officeDocument/2006/relationships/externalLink" Target="externalLinks/externalLink19.xml"/><Relationship Id="rId38" Type="http://schemas.openxmlformats.org/officeDocument/2006/relationships/styles" Target="styles.xml"/><Relationship Id="rId46" Type="http://schemas.microsoft.com/office/2017/06/relationships/rdRichValueTypes" Target="richData/rdRichValueTypes.xml"/><Relationship Id="rId20" Type="http://schemas.openxmlformats.org/officeDocument/2006/relationships/externalLink" Target="externalLinks/externalLink6.xml"/><Relationship Id="rId41"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a:t>
            </a:r>
            <a:r>
              <a:rPr lang="en-US" baseline="0"/>
              <a:t> Yield Curve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'T-Bond Yields'!$C$3</c:f>
              <c:strCache>
                <c:ptCount val="1"/>
                <c:pt idx="0">
                  <c:v>3/15/2024</c:v>
                </c:pt>
              </c:strCache>
            </c:strRef>
          </c:tx>
          <c:spPr>
            <a:ln w="28575" cap="rnd">
              <a:solidFill>
                <a:schemeClr val="accent1"/>
              </a:solidFill>
              <a:round/>
            </a:ln>
            <a:effectLst/>
          </c:spPr>
          <c:marker>
            <c:symbol val="none"/>
          </c:marker>
          <c:cat>
            <c:strRef>
              <c:f>'T-Bond Yields'!$B$9:$B$16</c:f>
              <c:strCache>
                <c:ptCount val="8"/>
                <c:pt idx="0">
                  <c:v>1Y</c:v>
                </c:pt>
                <c:pt idx="1">
                  <c:v>2Y</c:v>
                </c:pt>
                <c:pt idx="2">
                  <c:v>3Y</c:v>
                </c:pt>
                <c:pt idx="3">
                  <c:v>5Y</c:v>
                </c:pt>
                <c:pt idx="4">
                  <c:v>7Y</c:v>
                </c:pt>
                <c:pt idx="5">
                  <c:v>10Y</c:v>
                </c:pt>
                <c:pt idx="6">
                  <c:v>20Y</c:v>
                </c:pt>
                <c:pt idx="7">
                  <c:v>30Y</c:v>
                </c:pt>
              </c:strCache>
            </c:strRef>
          </c:cat>
          <c:val>
            <c:numRef>
              <c:f>'T-Bond Yields'!$C$9:$C$16</c:f>
              <c:numCache>
                <c:formatCode>0.00%</c:formatCode>
                <c:ptCount val="8"/>
                <c:pt idx="0">
                  <c:v>5.0500000000000003E-2</c:v>
                </c:pt>
                <c:pt idx="1">
                  <c:v>4.7199999999999999E-2</c:v>
                </c:pt>
                <c:pt idx="2">
                  <c:v>4.5100000000000001E-2</c:v>
                </c:pt>
                <c:pt idx="3">
                  <c:v>4.3299999999999998E-2</c:v>
                </c:pt>
                <c:pt idx="4">
                  <c:v>4.3299999999999998E-2</c:v>
                </c:pt>
                <c:pt idx="5">
                  <c:v>4.3099999999999999E-2</c:v>
                </c:pt>
                <c:pt idx="6">
                  <c:v>4.5499999999999999E-2</c:v>
                </c:pt>
                <c:pt idx="7">
                  <c:v>4.4299999999999999E-2</c:v>
                </c:pt>
              </c:numCache>
            </c:numRef>
          </c:val>
          <c:smooth val="0"/>
          <c:extLst>
            <c:ext xmlns:c16="http://schemas.microsoft.com/office/drawing/2014/chart" uri="{C3380CC4-5D6E-409C-BE32-E72D297353CC}">
              <c16:uniqueId val="{00000000-0B96-450A-AC1A-A6292810A5CF}"/>
            </c:ext>
          </c:extLst>
        </c:ser>
        <c:ser>
          <c:idx val="1"/>
          <c:order val="1"/>
          <c:tx>
            <c:strRef>
              <c:f>'T-Bond Yields'!$D$3</c:f>
              <c:strCache>
                <c:ptCount val="1"/>
                <c:pt idx="0">
                  <c:v>3/15/2023</c:v>
                </c:pt>
              </c:strCache>
            </c:strRef>
          </c:tx>
          <c:spPr>
            <a:ln w="28575" cap="rnd">
              <a:solidFill>
                <a:schemeClr val="accent2"/>
              </a:solidFill>
              <a:round/>
            </a:ln>
            <a:effectLst/>
          </c:spPr>
          <c:marker>
            <c:symbol val="none"/>
          </c:marker>
          <c:cat>
            <c:strRef>
              <c:f>'T-Bond Yields'!$B$9:$B$16</c:f>
              <c:strCache>
                <c:ptCount val="8"/>
                <c:pt idx="0">
                  <c:v>1Y</c:v>
                </c:pt>
                <c:pt idx="1">
                  <c:v>2Y</c:v>
                </c:pt>
                <c:pt idx="2">
                  <c:v>3Y</c:v>
                </c:pt>
                <c:pt idx="3">
                  <c:v>5Y</c:v>
                </c:pt>
                <c:pt idx="4">
                  <c:v>7Y</c:v>
                </c:pt>
                <c:pt idx="5">
                  <c:v>10Y</c:v>
                </c:pt>
                <c:pt idx="6">
                  <c:v>20Y</c:v>
                </c:pt>
                <c:pt idx="7">
                  <c:v>30Y</c:v>
                </c:pt>
              </c:strCache>
            </c:strRef>
          </c:cat>
          <c:val>
            <c:numRef>
              <c:f>'T-Bond Yields'!$D$9:$D$16</c:f>
              <c:numCache>
                <c:formatCode>0.00%</c:formatCode>
                <c:ptCount val="8"/>
                <c:pt idx="0">
                  <c:v>4.19E-2</c:v>
                </c:pt>
                <c:pt idx="1">
                  <c:v>3.9300000000000002E-2</c:v>
                </c:pt>
                <c:pt idx="2">
                  <c:v>3.8300000000000001E-2</c:v>
                </c:pt>
                <c:pt idx="3">
                  <c:v>3.5900000000000001E-2</c:v>
                </c:pt>
                <c:pt idx="4">
                  <c:v>3.5700000000000003E-2</c:v>
                </c:pt>
                <c:pt idx="5">
                  <c:v>3.5099999999999999E-2</c:v>
                </c:pt>
                <c:pt idx="6">
                  <c:v>3.8199999999999998E-2</c:v>
                </c:pt>
                <c:pt idx="7">
                  <c:v>3.6999999999999998E-2</c:v>
                </c:pt>
              </c:numCache>
            </c:numRef>
          </c:val>
          <c:smooth val="0"/>
          <c:extLst>
            <c:ext xmlns:c16="http://schemas.microsoft.com/office/drawing/2014/chart" uri="{C3380CC4-5D6E-409C-BE32-E72D297353CC}">
              <c16:uniqueId val="{00000001-0B96-450A-AC1A-A6292810A5CF}"/>
            </c:ext>
          </c:extLst>
        </c:ser>
        <c:dLbls>
          <c:showLegendKey val="0"/>
          <c:showVal val="0"/>
          <c:showCatName val="0"/>
          <c:showSerName val="0"/>
          <c:showPercent val="0"/>
          <c:showBubbleSize val="0"/>
        </c:dLbls>
        <c:smooth val="0"/>
        <c:axId val="89457176"/>
        <c:axId val="89454552"/>
      </c:lineChart>
      <c:catAx>
        <c:axId val="89457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54552"/>
        <c:crosses val="autoZero"/>
        <c:auto val="1"/>
        <c:lblAlgn val="ctr"/>
        <c:lblOffset val="100"/>
        <c:noMultiLvlLbl val="0"/>
      </c:catAx>
      <c:valAx>
        <c:axId val="894545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57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647700</xdr:colOff>
      <xdr:row>2</xdr:row>
      <xdr:rowOff>9524</xdr:rowOff>
    </xdr:from>
    <xdr:to>
      <xdr:col>17</xdr:col>
      <xdr:colOff>666750</xdr:colOff>
      <xdr:row>31</xdr:row>
      <xdr:rowOff>171449</xdr:rowOff>
    </xdr:to>
    <xdr:graphicFrame macro="">
      <xdr:nvGraphicFramePr>
        <xdr:cNvPr id="5" name="Chart 4">
          <a:extLst>
            <a:ext uri="{FF2B5EF4-FFF2-40B4-BE49-F238E27FC236}">
              <a16:creationId xmlns:a16="http://schemas.microsoft.com/office/drawing/2014/main" id="{2339EA6C-B856-9E49-2F32-D6ECD4FDB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NKE.xlsx" TargetMode="External"/><Relationship Id="rId1" Type="http://schemas.openxmlformats.org/officeDocument/2006/relationships/externalLinkPath" Target="NK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lshe\Documents\Models\LEVI.xlsx" TargetMode="External"/><Relationship Id="rId1" Type="http://schemas.openxmlformats.org/officeDocument/2006/relationships/externalLinkPath" Target="LEVI.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wlshe\Documents\Models\DBX.xlsx" TargetMode="External"/><Relationship Id="rId1" Type="http://schemas.openxmlformats.org/officeDocument/2006/relationships/externalLinkPath" Target="DBX.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wlshe\Documents\Models\ELY.xlsx" TargetMode="External"/><Relationship Id="rId1" Type="http://schemas.openxmlformats.org/officeDocument/2006/relationships/externalLinkPath" Target="ELY.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C:\Users\wlshe\Documents\Models\WMT.xlsx" TargetMode="External"/><Relationship Id="rId1" Type="http://schemas.openxmlformats.org/officeDocument/2006/relationships/externalLinkPath" Target="WMT.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wlshe\Documents\Models\TGT.xlsx" TargetMode="External"/><Relationship Id="rId1" Type="http://schemas.openxmlformats.org/officeDocument/2006/relationships/externalLinkPath" Target="TGT.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wlshe\Documents\Models\SBUX.xlsx" TargetMode="External"/><Relationship Id="rId1" Type="http://schemas.openxmlformats.org/officeDocument/2006/relationships/externalLinkPath" Target="SBUX.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wlshe\Documents\Models\NFLX.xlsx" TargetMode="External"/><Relationship Id="rId1" Type="http://schemas.openxmlformats.org/officeDocument/2006/relationships/externalLinkPath" Target="NFLX.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C:\Users\wlshe\Documents\Models\NVDA.xlsx" TargetMode="External"/><Relationship Id="rId1" Type="http://schemas.openxmlformats.org/officeDocument/2006/relationships/externalLinkPath" Target="NVDA.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file:///C:\Users\wlshe\Documents\Models\PFE.xlsx" TargetMode="External"/><Relationship Id="rId1" Type="http://schemas.openxmlformats.org/officeDocument/2006/relationships/externalLinkPath" Target="PFE.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file:///C:\Users\wlshe\Documents\Models\FL.xlsx" TargetMode="External"/><Relationship Id="rId1" Type="http://schemas.openxmlformats.org/officeDocument/2006/relationships/externalLinkPath" Target="FL.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file:///C:\Users\wlshe\Documents\Models\VTRS.xlsx" TargetMode="External"/><Relationship Id="rId1" Type="http://schemas.openxmlformats.org/officeDocument/2006/relationships/externalLinkPath" Target="VTRS.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file:///C:\Users\wlshe\Documents\Models\BBY.xlsx" TargetMode="External"/><Relationship Id="rId1" Type="http://schemas.openxmlformats.org/officeDocument/2006/relationships/externalLinkPath" Target="BBY.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file:///C:\Users\wlshe\Documents\Models\BIG.xlsx" TargetMode="External"/><Relationship Id="rId1" Type="http://schemas.openxmlformats.org/officeDocument/2006/relationships/externalLinkPath" Target="BIG.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file:///C:\Users\wlshe\Documents\Models\STM.xlsx" TargetMode="External"/><Relationship Id="rId1" Type="http://schemas.openxmlformats.org/officeDocument/2006/relationships/externalLinkPath" Target="STM.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file:///C:\Users\wlshe\Documents\Models\AMZN.xlsx" TargetMode="External"/><Relationship Id="rId1" Type="http://schemas.openxmlformats.org/officeDocument/2006/relationships/externalLinkPath" Target="AMZN.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file:///C:\Users\wlshe\Documents\Models\AAPL.xlsx" TargetMode="External"/><Relationship Id="rId1" Type="http://schemas.openxmlformats.org/officeDocument/2006/relationships/externalLinkPath" Target="AAPL.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file:///C:\Users\wlshe\Documents\Models\DUOL.xlsx" TargetMode="External"/><Relationship Id="rId1" Type="http://schemas.openxmlformats.org/officeDocument/2006/relationships/externalLinkPath" Target="DUOL.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file:///C:\Users\wlshe\Documents\Models\COTY.xlsx" TargetMode="External"/><Relationship Id="rId1" Type="http://schemas.openxmlformats.org/officeDocument/2006/relationships/externalLinkPath" Target="COTY.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file:///C:\Users\wlshe\Documents\Models\TM.xlsx" TargetMode="External"/><Relationship Id="rId1" Type="http://schemas.openxmlformats.org/officeDocument/2006/relationships/externalLinkPath" Target="TM.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file:///C:\Users\wlshe\Documents\Models\GOOGL.xlsx" TargetMode="External"/><Relationship Id="rId1" Type="http://schemas.openxmlformats.org/officeDocument/2006/relationships/externalLinkPath" Target="GOOGL.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file:///C:\Users\wlshe\Documents\Models\txn.xlsx" TargetMode="External"/><Relationship Id="rId1" Type="http://schemas.openxmlformats.org/officeDocument/2006/relationships/externalLinkPath" Target="tx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C5">
            <v>1532.1</v>
          </cell>
        </row>
        <row r="7">
          <cell r="C7">
            <v>9927</v>
          </cell>
        </row>
        <row r="8">
          <cell r="C8">
            <v>8936</v>
          </cell>
        </row>
      </sheetData>
      <sheetData sheetId="1">
        <row r="59">
          <cell r="AT59">
            <v>9.6488974523656568E-2</v>
          </cell>
        </row>
        <row r="65">
          <cell r="BB65">
            <v>65.754155843270169</v>
          </cell>
        </row>
        <row r="66">
          <cell r="AT66">
            <v>0.43524610969014194</v>
          </cell>
        </row>
        <row r="67">
          <cell r="AT67">
            <v>0.11548899779370131</v>
          </cell>
        </row>
        <row r="68">
          <cell r="AT68">
            <v>0.18238993710691823</v>
          </cell>
        </row>
      </sheetData>
      <sheetData sheetId="2">
        <row r="18">
          <cell r="C18">
            <v>7.9122001050125471E-2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5">
          <cell r="C5">
            <v>401.58329700000002</v>
          </cell>
        </row>
        <row r="7">
          <cell r="C7">
            <v>398.8</v>
          </cell>
        </row>
        <row r="8">
          <cell r="C8">
            <v>2168</v>
          </cell>
        </row>
      </sheetData>
      <sheetData sheetId="1">
        <row r="45">
          <cell r="AL45">
            <v>1.685957915896541E-3</v>
          </cell>
        </row>
        <row r="50">
          <cell r="AV50">
            <v>17.530246384279053</v>
          </cell>
        </row>
        <row r="52">
          <cell r="AL52">
            <v>0.56897556238873603</v>
          </cell>
        </row>
        <row r="53">
          <cell r="AL53">
            <v>7.1775368182553811E-2</v>
          </cell>
        </row>
        <row r="54">
          <cell r="AL54">
            <v>4.4175576814856496E-2</v>
          </cell>
        </row>
      </sheetData>
      <sheetData sheetId="2">
        <row r="18">
          <cell r="C18">
            <v>6.2908523021171267E-2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 val="Ratios"/>
    </sheetNames>
    <sheetDataSet>
      <sheetData sheetId="0">
        <row r="3">
          <cell r="M3">
            <v>22.91548481095889</v>
          </cell>
        </row>
        <row r="5">
          <cell r="C5">
            <v>348.8</v>
          </cell>
        </row>
        <row r="7">
          <cell r="C7">
            <v>1253.0999999999999</v>
          </cell>
        </row>
        <row r="8">
          <cell r="C8">
            <v>2278.4</v>
          </cell>
        </row>
      </sheetData>
      <sheetData sheetId="1">
        <row r="30">
          <cell r="AO30">
            <v>7.7390055146206782E-2</v>
          </cell>
        </row>
        <row r="33">
          <cell r="AO33">
            <v>0.80893801883951988</v>
          </cell>
        </row>
        <row r="34">
          <cell r="AO34">
            <v>0.15333992859907947</v>
          </cell>
        </row>
        <row r="35">
          <cell r="AO35">
            <v>-0.97988583854308287</v>
          </cell>
        </row>
      </sheetData>
      <sheetData sheetId="2">
        <row r="18">
          <cell r="C18">
            <v>5.1466680590457232E-2</v>
          </cell>
        </row>
      </sheetData>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5">
          <cell r="C5">
            <v>201.5</v>
          </cell>
        </row>
        <row r="7">
          <cell r="C7">
            <v>180.6</v>
          </cell>
        </row>
        <row r="8">
          <cell r="C8">
            <v>1639.8</v>
          </cell>
        </row>
      </sheetData>
      <sheetData sheetId="1">
        <row r="28">
          <cell r="AR28">
            <v>0.2752023769820815</v>
          </cell>
        </row>
        <row r="33">
          <cell r="AY33">
            <v>5.8416428061448409</v>
          </cell>
        </row>
        <row r="36">
          <cell r="AR36">
            <v>0.60342368045649075</v>
          </cell>
        </row>
        <row r="37">
          <cell r="AR37">
            <v>6.4269089270966223E-2</v>
          </cell>
        </row>
        <row r="38">
          <cell r="AR38">
            <v>-0.11275546159267111</v>
          </cell>
        </row>
      </sheetData>
      <sheetData sheetId="2">
        <row r="18">
          <cell r="C18">
            <v>7.3356889927392671E-2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 val="Ratios"/>
    </sheetNames>
    <sheetDataSet>
      <sheetData sheetId="0">
        <row r="3">
          <cell r="M3">
            <v>204.31700834081138</v>
          </cell>
        </row>
        <row r="5">
          <cell r="C5">
            <v>2701</v>
          </cell>
        </row>
        <row r="7">
          <cell r="C7">
            <v>9867</v>
          </cell>
        </row>
        <row r="8">
          <cell r="C8">
            <v>40457</v>
          </cell>
        </row>
      </sheetData>
      <sheetData sheetId="1">
        <row r="54">
          <cell r="AT54">
            <v>6.7280193590965709E-2</v>
          </cell>
        </row>
        <row r="62">
          <cell r="AT62">
            <v>0.24140463839525986</v>
          </cell>
        </row>
        <row r="63">
          <cell r="AT63">
            <v>3.3417908714208827E-2</v>
          </cell>
        </row>
        <row r="64">
          <cell r="AT64">
            <v>0.33638928067700985</v>
          </cell>
        </row>
      </sheetData>
      <sheetData sheetId="2">
        <row r="18">
          <cell r="C18">
            <v>4.7269084447106452E-2</v>
          </cell>
        </row>
      </sheetData>
      <sheetData sheetId="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3">
          <cell r="M3">
            <v>256.04483672436879</v>
          </cell>
        </row>
        <row r="5">
          <cell r="C5">
            <v>462.5</v>
          </cell>
        </row>
        <row r="7">
          <cell r="C7">
            <v>954</v>
          </cell>
        </row>
        <row r="8">
          <cell r="C8">
            <v>16444</v>
          </cell>
        </row>
      </sheetData>
      <sheetData sheetId="1">
        <row r="32">
          <cell r="AN32">
            <v>2.9385406348757082E-2</v>
          </cell>
        </row>
        <row r="38">
          <cell r="AN38">
            <v>0.24643511730205278</v>
          </cell>
        </row>
        <row r="39">
          <cell r="AN39">
            <v>5.7120601173020528E-2</v>
          </cell>
        </row>
        <row r="40">
          <cell r="AN40">
            <v>0.1099431328623126</v>
          </cell>
        </row>
      </sheetData>
      <sheetData sheetId="2">
        <row r="18">
          <cell r="C18">
            <v>5.2633868912505821E-2</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C5">
            <v>1140.5999999999999</v>
          </cell>
        </row>
        <row r="7">
          <cell r="C7">
            <v>3383.4</v>
          </cell>
        </row>
        <row r="8">
          <cell r="C8">
            <v>13914.3</v>
          </cell>
        </row>
      </sheetData>
      <sheetData sheetId="1">
        <row r="29">
          <cell r="AU29">
            <v>0.11551210376337573</v>
          </cell>
        </row>
        <row r="34">
          <cell r="BG34">
            <v>77.425202139684458</v>
          </cell>
        </row>
        <row r="35">
          <cell r="AU35">
            <v>0.68286282925093678</v>
          </cell>
        </row>
        <row r="36">
          <cell r="AU36">
            <v>0.19912663027162861</v>
          </cell>
        </row>
        <row r="37">
          <cell r="AU37">
            <v>0.19078416728902159</v>
          </cell>
        </row>
      </sheetData>
      <sheetData sheetId="2">
        <row r="18">
          <cell r="C18">
            <v>7.3566822435085402E-2</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 val="Graphics"/>
    </sheetNames>
    <sheetDataSet>
      <sheetData sheetId="0">
        <row r="5">
          <cell r="C5">
            <v>444.29199999999997</v>
          </cell>
        </row>
        <row r="7">
          <cell r="C7">
            <v>7137.8859999999995</v>
          </cell>
        </row>
        <row r="8">
          <cell r="C8">
            <v>14543.260999999999</v>
          </cell>
        </row>
      </sheetData>
      <sheetData sheetId="1">
        <row r="34">
          <cell r="AR34">
            <v>6.45739131769969E-2</v>
          </cell>
        </row>
        <row r="40">
          <cell r="BF40">
            <v>210.62723063462789</v>
          </cell>
        </row>
        <row r="42">
          <cell r="AR42">
            <v>0.39370705238403253</v>
          </cell>
        </row>
        <row r="43">
          <cell r="AR43">
            <v>0.17816647187855345</v>
          </cell>
        </row>
        <row r="44">
          <cell r="AR44">
            <v>0.14665946292208726</v>
          </cell>
        </row>
      </sheetData>
      <sheetData sheetId="2">
        <row r="18">
          <cell r="C18">
            <v>8.5485106254227783E-2</v>
          </cell>
        </row>
      </sheetData>
      <sheetData sheetId="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2477</v>
          </cell>
        </row>
        <row r="8">
          <cell r="C8">
            <v>13296</v>
          </cell>
        </row>
        <row r="9">
          <cell r="C9">
            <v>10953</v>
          </cell>
        </row>
      </sheetData>
      <sheetData sheetId="1">
        <row r="19">
          <cell r="AQ19">
            <v>2.2293230289069932E-3</v>
          </cell>
        </row>
        <row r="25">
          <cell r="AQ25">
            <v>0.56928894490991322</v>
          </cell>
          <cell r="AZ25">
            <v>81.506807987771182</v>
          </cell>
        </row>
        <row r="26">
          <cell r="AQ26">
            <v>0.20679172536516646</v>
          </cell>
        </row>
        <row r="27">
          <cell r="AQ27">
            <v>-3.3604336043360432E-2</v>
          </cell>
        </row>
      </sheetData>
      <sheetData sheetId="2">
        <row r="18">
          <cell r="C18">
            <v>7.4473901113322444E-2</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5727</v>
          </cell>
        </row>
        <row r="8">
          <cell r="C8">
            <v>19972</v>
          </cell>
        </row>
        <row r="9">
          <cell r="C9">
            <v>35892</v>
          </cell>
        </row>
      </sheetData>
      <sheetData sheetId="1">
        <row r="20">
          <cell r="AJ20">
            <v>0.23426582029327814</v>
          </cell>
        </row>
        <row r="27">
          <cell r="AJ27">
            <v>0.65770300305987184</v>
          </cell>
          <cell r="AS27">
            <v>98.220736355377696</v>
          </cell>
        </row>
        <row r="28">
          <cell r="AJ28">
            <v>0.3980026113564103</v>
          </cell>
        </row>
        <row r="29">
          <cell r="AJ29">
            <v>8.3797054009819974E-2</v>
          </cell>
        </row>
      </sheetData>
      <sheetData sheetId="2">
        <row r="18">
          <cell r="C18">
            <v>4.6045983502813831E-2</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94.4</v>
          </cell>
        </row>
        <row r="8">
          <cell r="C8">
            <v>297</v>
          </cell>
        </row>
        <row r="9">
          <cell r="C9">
            <v>447</v>
          </cell>
        </row>
      </sheetData>
      <sheetData sheetId="1">
        <row r="19">
          <cell r="AM19">
            <v>-2.3211695123312115E-2</v>
          </cell>
        </row>
        <row r="26">
          <cell r="AM26">
            <v>0.31966183022963557</v>
          </cell>
          <cell r="AV26">
            <v>99.79887531818369</v>
          </cell>
        </row>
        <row r="27">
          <cell r="AM27">
            <v>0.10225065691762825</v>
          </cell>
        </row>
        <row r="28">
          <cell r="AM28">
            <v>0.1965065502183406</v>
          </cell>
        </row>
      </sheetData>
      <sheetData sheetId="2">
        <row r="18">
          <cell r="C18">
            <v>4.1769407639219235E-2</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sheetData sheetId="1">
        <row r="28">
          <cell r="AH28">
            <v>7.0498590471111235</v>
          </cell>
        </row>
      </sheetData>
      <sheetData sheetId="2"/>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8">
          <cell r="C8">
            <v>636</v>
          </cell>
        </row>
        <row r="9">
          <cell r="C9">
            <v>4029</v>
          </cell>
        </row>
      </sheetData>
      <sheetData sheetId="1">
        <row r="14">
          <cell r="AC14">
            <v>218.3</v>
          </cell>
        </row>
        <row r="17">
          <cell r="AO17">
            <v>-0.10554278317652288</v>
          </cell>
        </row>
        <row r="24">
          <cell r="AO24">
            <v>0.21409132143937104</v>
          </cell>
          <cell r="BA24">
            <v>77.398062391903039</v>
          </cell>
        </row>
        <row r="25">
          <cell r="AO25">
            <v>4.1945656399844489E-2</v>
          </cell>
        </row>
        <row r="26">
          <cell r="AO26">
            <v>0.19691325172964344</v>
          </cell>
        </row>
      </sheetData>
      <sheetData sheetId="2">
        <row r="18">
          <cell r="C18">
            <v>6.0884162938071605E-2</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C5">
            <v>29.3</v>
          </cell>
        </row>
      </sheetData>
      <sheetData sheetId="1">
        <row r="19">
          <cell r="AK19">
            <v>-0.1109279854349241</v>
          </cell>
        </row>
        <row r="25">
          <cell r="AT25">
            <v>-119.74897291383805</v>
          </cell>
        </row>
        <row r="26">
          <cell r="AK26">
            <v>0.34992408101268224</v>
          </cell>
        </row>
        <row r="27">
          <cell r="AK27">
            <v>-1.9502118471657514E-2</v>
          </cell>
        </row>
        <row r="28">
          <cell r="AK28">
            <v>0.36638617478095792</v>
          </cell>
        </row>
      </sheetData>
      <sheetData sheetId="2">
        <row r="18">
          <cell r="C18">
            <v>6.1315001319892676E-2</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7">
          <cell r="C7">
            <v>6083</v>
          </cell>
        </row>
        <row r="8">
          <cell r="C8">
            <v>2927</v>
          </cell>
        </row>
      </sheetData>
      <sheetData sheetId="1"/>
      <sheetData sheetId="2"/>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WACC"/>
      <sheetName val="Model"/>
    </sheetNames>
    <sheetDataSet>
      <sheetData sheetId="0">
        <row r="5">
          <cell r="C5">
            <v>10308</v>
          </cell>
        </row>
        <row r="7">
          <cell r="C7">
            <v>53888</v>
          </cell>
        </row>
        <row r="8">
          <cell r="C8">
            <v>16138</v>
          </cell>
        </row>
      </sheetData>
      <sheetData sheetId="1">
        <row r="18">
          <cell r="C18">
            <v>6.9881909557268029E-2</v>
          </cell>
        </row>
      </sheetData>
      <sheetData sheetId="2">
        <row r="27">
          <cell r="AU27">
            <v>0.1182957412988368</v>
          </cell>
        </row>
        <row r="30">
          <cell r="BF30">
            <v>111.83755001316251</v>
          </cell>
        </row>
        <row r="34">
          <cell r="AU34">
            <v>0.46982088955000567</v>
          </cell>
        </row>
        <row r="35">
          <cell r="AU35">
            <v>6.4114407996033296E-2</v>
          </cell>
        </row>
        <row r="36">
          <cell r="AU36">
            <v>0.18989802167372261</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C5">
            <v>15576.641</v>
          </cell>
        </row>
        <row r="7">
          <cell r="C7">
            <v>73100</v>
          </cell>
        </row>
        <row r="8">
          <cell r="C8">
            <v>108040</v>
          </cell>
        </row>
      </sheetData>
      <sheetData sheetId="1">
        <row r="51">
          <cell r="AO51">
            <v>0.44131129577207562</v>
          </cell>
        </row>
        <row r="52">
          <cell r="AO52">
            <v>0.29821412265024722</v>
          </cell>
        </row>
        <row r="54">
          <cell r="AO54">
            <v>0.14719174228036858</v>
          </cell>
        </row>
        <row r="56">
          <cell r="AZ56">
            <v>82.423427496181077</v>
          </cell>
        </row>
        <row r="60">
          <cell r="AO60">
            <v>-2.800460530319937E-2</v>
          </cell>
        </row>
      </sheetData>
      <sheetData sheetId="2">
        <row r="18">
          <cell r="C18">
            <v>8.8789900307742461E-2</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49</v>
          </cell>
        </row>
        <row r="8">
          <cell r="C8">
            <v>747.61</v>
          </cell>
        </row>
        <row r="9">
          <cell r="C9">
            <v>0</v>
          </cell>
        </row>
      </sheetData>
      <sheetData sheetId="1">
        <row r="37">
          <cell r="X37">
            <v>0.43739157498748304</v>
          </cell>
        </row>
        <row r="42">
          <cell r="AJ42">
            <v>179.69406171187131</v>
          </cell>
        </row>
        <row r="44">
          <cell r="X44">
            <v>0.7324372209847696</v>
          </cell>
        </row>
        <row r="45">
          <cell r="X45">
            <v>-2.4964743583708725E-2</v>
          </cell>
        </row>
        <row r="46">
          <cell r="X46">
            <v>9.6191708387241698E-2</v>
          </cell>
        </row>
      </sheetData>
      <sheetData sheetId="2">
        <row r="18">
          <cell r="C18">
            <v>6.2941209427912495E-2</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922.8</v>
          </cell>
        </row>
        <row r="8">
          <cell r="C8">
            <v>450</v>
          </cell>
        </row>
        <row r="9">
          <cell r="C9">
            <v>3691.8</v>
          </cell>
        </row>
      </sheetData>
      <sheetData sheetId="1">
        <row r="17">
          <cell r="AQ17">
            <v>4.7074127139733024E-2</v>
          </cell>
        </row>
        <row r="24">
          <cell r="AQ24">
            <v>0.6386813345096416</v>
          </cell>
          <cell r="AZ24">
            <v>9.4495128429675077</v>
          </cell>
        </row>
        <row r="25">
          <cell r="AQ25">
            <v>0.13125438864982633</v>
          </cell>
        </row>
        <row r="26">
          <cell r="AQ26">
            <v>0.20402201999775299</v>
          </cell>
        </row>
      </sheetData>
      <sheetData sheetId="2">
        <row r="18">
          <cell r="C18">
            <v>8.3341765758214809E-2</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DDM"/>
      <sheetName val="WACC"/>
      <sheetName val="Historical Divs."/>
    </sheetNames>
    <sheetDataSet>
      <sheetData sheetId="0">
        <row r="19">
          <cell r="C19">
            <v>1375.573444643212</v>
          </cell>
        </row>
        <row r="21">
          <cell r="C21">
            <v>51565.447199999995</v>
          </cell>
        </row>
        <row r="22">
          <cell r="C22">
            <v>230927.34039999999</v>
          </cell>
        </row>
      </sheetData>
      <sheetData sheetId="1">
        <row r="28">
          <cell r="AP28">
            <v>0.18403064777276446</v>
          </cell>
        </row>
        <row r="34">
          <cell r="AP34">
            <v>0.16991347811227653</v>
          </cell>
        </row>
        <row r="35">
          <cell r="AP35">
            <v>7.3343493126959369E-2</v>
          </cell>
        </row>
        <row r="36">
          <cell r="AP36">
            <v>0.32048257531959945</v>
          </cell>
        </row>
        <row r="43">
          <cell r="BE43">
            <v>586.48012737999534</v>
          </cell>
        </row>
      </sheetData>
      <sheetData sheetId="2"/>
      <sheetData sheetId="3">
        <row r="18">
          <cell r="C18">
            <v>3.9276503997873018E-2</v>
          </cell>
        </row>
      </sheetData>
      <sheetData sheetId="4"/>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D5">
            <v>12602</v>
          </cell>
        </row>
        <row r="7">
          <cell r="D7">
            <v>141924</v>
          </cell>
        </row>
        <row r="8">
          <cell r="D8">
            <v>13253</v>
          </cell>
        </row>
      </sheetData>
      <sheetData sheetId="1">
        <row r="19">
          <cell r="AU19">
            <v>8.6827702272695095E-2</v>
          </cell>
        </row>
        <row r="24">
          <cell r="BH24">
            <v>87.041639870124285</v>
          </cell>
        </row>
        <row r="26">
          <cell r="AU26">
            <v>0.56625047984020505</v>
          </cell>
        </row>
        <row r="27">
          <cell r="AU27">
            <v>0.27421810445226646</v>
          </cell>
        </row>
        <row r="28">
          <cell r="AU28">
            <v>0.13908559562280529</v>
          </cell>
        </row>
      </sheetData>
      <sheetData sheetId="2">
        <row r="18">
          <cell r="C18">
            <v>8.1008901743441414E-2</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5">
          <cell r="C5">
            <v>915</v>
          </cell>
        </row>
        <row r="7">
          <cell r="C7">
            <v>8575</v>
          </cell>
        </row>
        <row r="8">
          <cell r="C8">
            <v>11223</v>
          </cell>
        </row>
      </sheetData>
      <sheetData sheetId="1">
        <row r="19">
          <cell r="AV19">
            <v>5.0199999999999996</v>
          </cell>
        </row>
        <row r="23">
          <cell r="AV23">
            <v>-0.12527461553824648</v>
          </cell>
        </row>
        <row r="28">
          <cell r="BH28">
            <v>126.13627883623619</v>
          </cell>
        </row>
        <row r="31">
          <cell r="AV31">
            <v>0.62897425652149097</v>
          </cell>
        </row>
        <row r="32">
          <cell r="AV32">
            <v>0.41845995776014611</v>
          </cell>
        </row>
        <row r="33">
          <cell r="AV33">
            <v>0.12240496090590455</v>
          </cell>
        </row>
      </sheetData>
      <sheetData sheetId="2">
        <row r="18">
          <cell r="C18">
            <v>7.7239621578546455E-2</v>
          </cell>
        </row>
      </sheetData>
    </sheetDataSet>
  </externalBook>
</externalLink>
</file>

<file path=xl/persons/person.xml><?xml version="1.0" encoding="utf-8"?>
<personList xmlns="http://schemas.microsoft.com/office/spreadsheetml/2018/threadedcomments" xmlns:x="http://schemas.openxmlformats.org/spreadsheetml/2006/main">
  <person displayName="Bill Sheldon" id="{0B70E71E-C7EA-4D07-A18F-818B0AC5AD56}" userId="667679d5bb2810d2" providerId="Windows Live"/>
  <person displayName="Sheldon, William L" id="{36482EE5-E3AA-4764-BC1F-232FF95AD7AD}" userId="S::wls03561@sjfc.edu::8d48f2f3-f221-4d4a-a809-96e2f0718e23"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4">
  <rv s="0">
    <v>https://www.bing.com/financeapi/forcetrigger?t=a1yjxm&amp;q=XNYS%3aNKE&amp;form=skydnc</v>
    <v>Learn more on Bing</v>
  </rv>
  <rv s="1">
    <v>en-US</v>
    <v>a1yjxm</v>
    <v>268435456</v>
    <v>1</v>
    <v>Powered by Refinitiv</v>
    <v>0</v>
    <v>NIKE, INC. (XNYS:NKE)</v>
    <v>2</v>
    <v>3</v>
    <v>Finance</v>
    <v>4</v>
    <v>128.68</v>
    <v>88.66</v>
    <v>1.0904</v>
    <v>-1.17</v>
    <v>1.2959999999999998E-3</v>
    <v>-1.248E-2</v>
    <v>0.12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93.86</v>
    <v>Textiles &amp; Apparel</v>
    <v>Stock</v>
    <v>45377.999682221875</v>
    <v>0</v>
    <v>92.41</v>
    <v>140269994760</v>
    <v>NIKE, INC.</v>
    <v>NIKE, INC.</v>
    <v>93.74</v>
    <v>27.570900000000002</v>
    <v>93.75</v>
    <v>92.58</v>
    <v>92.7</v>
    <v>1515122000</v>
    <v>NKE</v>
    <v>NIKE, INC. (XNYS:NKE)</v>
    <v>10816947</v>
    <v>10118137</v>
    <v>1969</v>
  </rv>
  <rv s="2">
    <v>1</v>
  </rv>
  <rv s="0">
    <v>https://www.bing.com/financeapi/forcetrigger?t=bpipfr&amp;q=XNYS%3aLEVI&amp;form=skydnc</v>
    <v>Learn more on Bing</v>
  </rv>
  <rv s="1">
    <v>en-US</v>
    <v>bpipfr</v>
    <v>268435456</v>
    <v>1</v>
    <v>Powered by Refinitiv</v>
    <v>0</v>
    <v>LEVI STRAUSS &amp; CO. (XNYS:LEVI)</v>
    <v>2</v>
    <v>3</v>
    <v>Finance</v>
    <v>4</v>
    <v>19.02</v>
    <v>12.414999999999999</v>
    <v>1.2051000000000001</v>
    <v>0.16</v>
    <v>5.3189999999999997E-4</v>
    <v>8.5840000000000014E-3</v>
    <v>0.01</v>
    <v>USD</v>
    <v>Levi Strauss &amp; Co. is an apparel company. The Company designs and markets jeans, casual wear and related accessories for men, women and children under the Levi's, Signatureby Levi Strauss &amp; Co., Denizen, Dockers and Beyond Yoga brands. The Company operates through three geographical segments: Americas, Europe, and Asia. It designs, markets and sells directly or through third parties and licensee's products that include jeans, casual and dress pants, tops, shorts, skirts, dresses, jackets, footwear, and related accessories for men, women and children around the world. The Company’s products are sold in more than 110 countries worldwide through a combination of chain retailers, department stores, online sites, and a global footprint of approximately 3,200 retail stores and shop-in-shops. Outside the United States, department stores, specialty retailers, franchised or other brand-dedicated stores and shop-in-shops are its primary distribution channels.</v>
    <v>19100</v>
    <v>New York Stock Exchange</v>
    <v>XNYS</v>
    <v>XNYS</v>
    <v>1155 Battery St, SAN FRANCISCO, CA, 94111 US</v>
    <v>18.989999999999998</v>
    <v>Textiles &amp; Apparel</v>
    <v>Stock</v>
    <v>45377.973049860935</v>
    <v>3</v>
    <v>18.73</v>
    <v>7482948960</v>
    <v>LEVI STRAUSS &amp; CO.</v>
    <v>LEVI STRAUSS &amp; CO.</v>
    <v>18.82</v>
    <v>29.815899999999999</v>
    <v>18.64</v>
    <v>18.8</v>
    <v>18.809999999999999</v>
    <v>398029200</v>
    <v>LEVI</v>
    <v>LEVI STRAUSS &amp; CO. (XNYS:LEVI)</v>
    <v>1229937</v>
    <v>1457211</v>
    <v>1970</v>
  </rv>
  <rv s="2">
    <v>4</v>
  </rv>
  <rv s="0">
    <v>https://www.bing.com/financeapi/forcetrigger?t=azcrur&amp;q=XNAS%3aDBX&amp;form=skydnc</v>
    <v>Learn more on Bing</v>
  </rv>
  <rv s="1">
    <v>en-US</v>
    <v>azcrur</v>
    <v>268435456</v>
    <v>1</v>
    <v>Powered by Refinitiv</v>
    <v>0</v>
    <v>DROPBOX, INC. (XNAS:DBX)</v>
    <v>2</v>
    <v>3</v>
    <v>Finance</v>
    <v>4</v>
    <v>33.43</v>
    <v>19.545000000000002</v>
    <v>0.71519999999999995</v>
    <v>0.18</v>
    <v>-1.1452E-2</v>
    <v>7.417E-3</v>
    <v>-0.28000000000000003</v>
    <v>USD</v>
    <v>Dropbox, Inc. provides tools to help distributed teams prioritize, get organized, and keep work moving securely from anywhere. Its products include Dropbox Passwords, Vault, Computer Backup, Dropbox Sign, DocSend, Dropbox Capture and FormSwift, among others. Dropbox Passwords allows users to sign into Websites and apps by creating and storing usernames and passwords across devices. Dropbox Vault helps secure and organize sensitive information in the cloud. Computer backup automatically syncs folders on a user's computer to the cloud. Dropbox Sign is an e-signature and document workflow platform that enables customers to easily sign, send and receive documents through its intuitive Web and mobile-based interfaces. DocSend is a secure document sharing and analytics platform. Dropbox Capture is an all-in-one visual communication tool that helps team members share their work and ideas asynchronously. Its customers include individuals, families, teams, and organizations of all sizes.</v>
    <v>2693</v>
    <v>Nasdaq Stock Market</v>
    <v>XNAS</v>
    <v>XNAS</v>
    <v>1800 Owens Street, Suite 200, SAN FRANCISCO, CA, 94158 US</v>
    <v>24.664999999999999</v>
    <v>Software &amp; IT Services</v>
    <v>Stock</v>
    <v>45377.935575960153</v>
    <v>6</v>
    <v>24.27</v>
    <v>8376015000</v>
    <v>DROPBOX, INC.</v>
    <v>DROPBOX, INC.</v>
    <v>24.27</v>
    <v>18.196400000000001</v>
    <v>24.27</v>
    <v>24.45</v>
    <v>24.17</v>
    <v>343984200</v>
    <v>DBX</v>
    <v>DROPBOX, INC. (XNAS:DBX)</v>
    <v>3046664</v>
    <v>5252153</v>
    <v>2007</v>
  </rv>
  <rv s="2">
    <v>7</v>
  </rv>
  <rv s="0">
    <v>https://www.bing.com/financeapi/forcetrigger?t=a1rvk2&amp;q=XNYS%3aELY&amp;form=skydnc</v>
    <v>Learn more on Bing</v>
  </rv>
  <rv s="1">
    <v>en-US</v>
    <v>a1rvk2</v>
    <v>268435456</v>
    <v>1</v>
    <v>Powered by Refinitiv</v>
    <v>0</v>
    <v>TOPGOLF CALLAWAY BRANDS CORP. (XNYS:MODG)</v>
    <v>2</v>
    <v>3</v>
    <v>Finance</v>
    <v>4</v>
    <v>23.01</v>
    <v>9.84</v>
    <v>1.8674999999999999</v>
    <v>0</v>
    <v>3.7131999999999998E-2</v>
    <v>0</v>
    <v>0.57999999999999996</v>
    <v>USD</v>
    <v>Topgolf Callaway Brands Corp. is a golf and active lifestyle company. The Company provides golf entertainment experiences, designs, and manufactures golf equipment, and sells golf and active lifestyle apparel and other accessories through its family of brand names, which include Topgolf, Callaway Golf, Odyssey, TravisMathew, Jack Wolfskin, OGIO, Toptracer and World Golf Tour. Its segments include Topgolf, Golf Equipment, and Active Lifestyle. The Topgolf is a technology-enabled golf entertainment business. Its platform offers open-air golf and entertainment venues as well as its Toptracer ball-tracking technology and digital media platform. The Golf Equipment segment is engaged in designing, manufacturing, and selling a full line of golf equipment, which is comprised of the golf clubs and golf balls product groups. Under Active Lifestyle segment, the Company designs, develops and sells soft good products under the Callaway, TravisMathew, OGIO, and Jack Wolfskin brands.</v>
    <v>32000</v>
    <v>New York Stock Exchange</v>
    <v>XNYS</v>
    <v>XNYS</v>
    <v>2180 RUTHERFORD RD, CARLSBAD, CA, 92008-8815 US</v>
    <v>16.04</v>
    <v>Leisure Products</v>
    <v>Stock</v>
    <v>45377.993036214844</v>
    <v>9</v>
    <v>15.58</v>
    <v>2867800760</v>
    <v>TOPGOLF CALLAWAY BRANDS CORP.</v>
    <v>TOPGOLF CALLAWAY BRANDS CORP.</v>
    <v>15.85</v>
    <v>33.9101</v>
    <v>15.62</v>
    <v>15.62</v>
    <v>16.2</v>
    <v>183598000</v>
    <v>MODG</v>
    <v>TOPGOLF CALLAWAY BRANDS CORP. (XNYS:MODG)</v>
    <v>1368624</v>
    <v>2736406</v>
    <v>1999</v>
  </rv>
  <rv s="2">
    <v>10</v>
  </rv>
  <rv s="0">
    <v>https://www.bing.com/financeapi/forcetrigger?t=a25ya2&amp;q=XNYS%3aWMT&amp;form=skydnc</v>
    <v>Learn more on Bing</v>
  </rv>
  <rv s="1">
    <v>en-US</v>
    <v>a25ya2</v>
    <v>268435456</v>
    <v>1</v>
    <v>Powered by Refinitiv</v>
    <v>0</v>
    <v>WALMART INC. (XNYS:WMT)</v>
    <v>2</v>
    <v>3</v>
    <v>Finance</v>
    <v>4</v>
    <v>61.655000000000001</v>
    <v>47.593299999999999</v>
    <v>0.49969999999999998</v>
    <v>-0.06</v>
    <v>3.3050000000000001E-4</v>
    <v>-9.905999999999999E-4</v>
    <v>0.02</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60.83</v>
    <v>Food &amp; Drug Retailing</v>
    <v>Stock</v>
    <v>45377.999685937502</v>
    <v>12</v>
    <v>60.23</v>
    <v>487592544990</v>
    <v>WALMART INC.</v>
    <v>WALMART INC.</v>
    <v>60.46</v>
    <v>41.453000000000003</v>
    <v>60.57</v>
    <v>60.51</v>
    <v>60.53</v>
    <v>8058049000</v>
    <v>WMT</v>
    <v>WALMART INC. (XNYS:WMT)</v>
    <v>13738342</v>
    <v>24163672</v>
    <v>1969</v>
  </rv>
  <rv s="2">
    <v>13</v>
  </rv>
  <rv s="0">
    <v>https://www.bing.com/financeapi/forcetrigger?t=a246z2&amp;q=XNYS%3aTGT&amp;form=skydnc</v>
    <v>Learn more on Bing</v>
  </rv>
  <rv s="1">
    <v>en-US</v>
    <v>a246z2</v>
    <v>268435456</v>
    <v>1</v>
    <v>Powered by Refinitiv</v>
    <v>0</v>
    <v>TARGET CORPORATION (XNYS:TGT)</v>
    <v>2</v>
    <v>3</v>
    <v>Finance</v>
    <v>4</v>
    <v>175.5299</v>
    <v>102.93</v>
    <v>1.131</v>
    <v>-0.02</v>
    <v>-2.8379999999999998E-3</v>
    <v>-1.158E-4</v>
    <v>-0.49</v>
    <v>USD</v>
    <v>Target Corporation is a general merchandise retailer selling products to its guests through its stores and digital channels. The Company serves guests at nearly 2,000 stores and at Target.com. It offers to its customers, referred to as guests, everyday essentials and fashionable, differentiated merchandise at discounted prices. The majority of its stores offer a wide assortment of general merchandise and food. Its merchandise categories include apparel and accessories, beauty and household essentials, food and beverage, hardlines, and home furnishings and decor. Most of its stores larger than 170,000 square feet offer a variety of general merchandise and a full line of food items comparable to traditional supermarkets. Its digital channels include a wide merchandise and food assortment, including many items found in its stores, along with a complementary assortment sold by the Company and third parties. Its brands include A New Day, Ava &amp; Viv, Cloud Island, Favorite Day, and others.</v>
    <v>415000</v>
    <v>New York Stock Exchange</v>
    <v>XNYS</v>
    <v>XNYS</v>
    <v>1000 Nicollet Mall, MINNEAPOLIS, MN, 55403 US</v>
    <v>174.2</v>
    <v>Diversified Retail</v>
    <v>Stock</v>
    <v>45377.99993255781</v>
    <v>15</v>
    <v>172.16</v>
    <v>79706196128</v>
    <v>TARGET CORPORATION</v>
    <v>TARGET CORPORATION</v>
    <v>172.63</v>
    <v>19.310500000000001</v>
    <v>172.66</v>
    <v>172.64</v>
    <v>172.15</v>
    <v>461690200</v>
    <v>TGT</v>
    <v>TARGET CORPORATION (XNYS:TGT)</v>
    <v>3513108</v>
    <v>4591102</v>
    <v>1902</v>
  </rv>
  <rv s="2">
    <v>16</v>
  </rv>
  <rv s="0">
    <v>https://www.bing.com/financeapi/forcetrigger?t=a22k9c&amp;q=XNAS%3aSBUX&amp;form=skydnc</v>
    <v>Learn more on Bing</v>
  </rv>
  <rv s="1">
    <v>en-US</v>
    <v>a22k9c</v>
    <v>268435456</v>
    <v>1</v>
    <v>Powered by Refinitiv</v>
    <v>0</v>
    <v>STARBUCKS CORPORATION (XNAS:SBUX)</v>
    <v>2</v>
    <v>3</v>
    <v>Finance</v>
    <v>4</v>
    <v>115.48</v>
    <v>89.21</v>
    <v>0.97389999999999999</v>
    <v>-0.31</v>
    <v>1.549E-3</v>
    <v>-3.4189999999999997E-3</v>
    <v>0.14000000000000001</v>
    <v>USD</v>
    <v>Starbucks Corporations is a coffee company, which roasts, markets and retails specialty coffee in the world. The Company operates in 86 markets and has approximately 38,000 stores worldwide. It has three segments: North America, International and Channel Development. North America segment includes the United States and Canada. International segment includes China, Japan, Asia Pacific, Europe, Middle East and Africa, Latin America and Caribbean. North America and International segments include both the Company-operated and licensed stores. Channel Development segment includes roasted whole bean and ground coffees, Starbucks- and Teavana-branded single-serve products, a variety of ready-to-drink beverages, such as Frappuccino and Starbucks Doubleshot, foodservice products and other branded products sold worldwide outside the Company-operated and licensed stores. A large portion of its Channel Development business operates under a licensed model of the Global Coffee Alliance with Nestle.</v>
    <v>381000</v>
    <v>Nasdaq Stock Market</v>
    <v>XNAS</v>
    <v>XNAS</v>
    <v>P O Box 34067, SEATTLE, WA, 98124-1067 US</v>
    <v>91</v>
    <v>Hotels &amp; Entertainment Services</v>
    <v>Stock</v>
    <v>45377.998570185155</v>
    <v>18</v>
    <v>90.23</v>
    <v>102701900000</v>
    <v>STARBUCKS CORPORATION</v>
    <v>STARBUCKS CORPORATION</v>
    <v>90.98</v>
    <v>27.6678</v>
    <v>90.67</v>
    <v>90.36</v>
    <v>90.5</v>
    <v>1132200000</v>
    <v>SBUX</v>
    <v>STARBUCKS CORPORATION (XNAS:SBUX)</v>
    <v>6216108</v>
    <v>7790142</v>
    <v>1985</v>
  </rv>
  <rv s="2">
    <v>19</v>
  </rv>
  <rv s="0">
    <v>https://www.bing.com/financeapi/forcetrigger?t=a1ygoc&amp;q=XNAS%3aNFLX&amp;form=skydnc</v>
    <v>Learn more on Bing</v>
  </rv>
  <rv s="1">
    <v>en-US</v>
    <v>a1ygoc</v>
    <v>268435456</v>
    <v>1</v>
    <v>Powered by Refinitiv</v>
    <v>0</v>
    <v>NETFLIX, INC. (XNAS:NFLX)</v>
    <v>2</v>
    <v>3</v>
    <v>Finance</v>
    <v>4</v>
    <v>634.38990000000001</v>
    <v>315.62</v>
    <v>1.2202</v>
    <v>1.78</v>
    <v>3.4329999999999999E-3</v>
    <v>2.8370000000000001E-3</v>
    <v>2.16</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634.38990000000001</v>
    <v>Software &amp; IT Services</v>
    <v>Stock</v>
    <v>45377.999554664064</v>
    <v>21</v>
    <v>619.18359999999996</v>
    <v>271777300000</v>
    <v>NETFLIX, INC.</v>
    <v>NETFLIX, INC.</v>
    <v>625.20000000000005</v>
    <v>52.2072</v>
    <v>627.46</v>
    <v>629.24</v>
    <v>631.4</v>
    <v>432759600</v>
    <v>NFLX</v>
    <v>NETFLIX, INC. (XNAS:NFLX)</v>
    <v>2804453</v>
    <v>3022831</v>
    <v>1997</v>
  </rv>
  <rv s="2">
    <v>22</v>
  </rv>
  <rv s="0">
    <v>https://www.bing.com/financeapi/forcetrigger?t=a1yv52&amp;q=XNAS%3aNVDA&amp;form=skydnc</v>
    <v>Learn more on Bing</v>
  </rv>
  <rv s="1">
    <v>en-US</v>
    <v>a1yv52</v>
    <v>268435456</v>
    <v>1</v>
    <v>Powered by Refinitiv</v>
    <v>0</v>
    <v>NVIDIA CORPORATION (XNAS:NVDA)</v>
    <v>2</v>
    <v>3</v>
    <v>Finance</v>
    <v>4</v>
    <v>974</v>
    <v>258.5</v>
    <v>1.7306999999999999</v>
    <v>-24.41</v>
    <v>9.6150000000000001E-4</v>
    <v>-2.5693999999999998E-2</v>
    <v>0.89</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963.75</v>
    <v>Semiconductors &amp; Semiconductor Equipment</v>
    <v>Stock</v>
    <v>45377.999999154687</v>
    <v>24</v>
    <v>925.02</v>
    <v>2357225000000</v>
    <v>NVIDIA CORPORATION</v>
    <v>NVIDIA CORPORATION</v>
    <v>958.51</v>
    <v>79.642300000000006</v>
    <v>950.02</v>
    <v>925.61</v>
    <v>926.5</v>
    <v>2500000000</v>
    <v>NVDA</v>
    <v>NVIDIA CORPORATION (XNAS:NVDA)</v>
    <v>51364758</v>
    <v>61999961</v>
    <v>1998</v>
  </rv>
  <rv s="2">
    <v>25</v>
  </rv>
  <rv s="0">
    <v>https://www.bing.com/financeapi/forcetrigger?t=a1zqnm&amp;q=XNYS%3aPFE&amp;form=skydnc</v>
    <v>Learn more on Bing</v>
  </rv>
  <rv s="1">
    <v>en-US</v>
    <v>a1zqnm</v>
    <v>268435456</v>
    <v>1</v>
    <v>Powered by Refinitiv</v>
    <v>0</v>
    <v>PFIZER INC. (XNYS:PFE)</v>
    <v>2</v>
    <v>3</v>
    <v>Finance</v>
    <v>4</v>
    <v>42.22</v>
    <v>25.61</v>
    <v>0.59470000000000001</v>
    <v>0.16</v>
    <v>2.1749999999999999E-3</v>
    <v>5.8330000000000005E-3</v>
    <v>0.06</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88000</v>
    <v>New York Stock Exchange</v>
    <v>XNYS</v>
    <v>XNYS</v>
    <v>66 HUDSON BOULEVARD EAST, NEW YORK, NY, 10001-2192 US</v>
    <v>27.63</v>
    <v>Pharmaceuticals</v>
    <v>Stock</v>
    <v>45377.999672476566</v>
    <v>27</v>
    <v>27.31</v>
    <v>156229533780</v>
    <v>PFIZER INC.</v>
    <v>PFIZER INC.</v>
    <v>27.45</v>
    <v>76.353499999999997</v>
    <v>27.43</v>
    <v>27.59</v>
    <v>27.65</v>
    <v>5662542000</v>
    <v>PFE</v>
    <v>PFIZER INC. (XNYS:PFE)</v>
    <v>38220263</v>
    <v>44913136</v>
    <v>1942</v>
  </rv>
  <rv s="2">
    <v>28</v>
  </rv>
  <rv s="0">
    <v>https://www.bing.com/financeapi/forcetrigger?t=a1y7rw&amp;q=XNAS%3aVTRS&amp;form=skydnc</v>
    <v>Learn more on Bing</v>
  </rv>
  <rv s="1">
    <v>en-US</v>
    <v>a1y7rw</v>
    <v>268435456</v>
    <v>1</v>
    <v>Powered by Refinitiv</v>
    <v>0</v>
    <v>VIATRIS INC. (XNAS:VTRS)</v>
    <v>2</v>
    <v>3</v>
    <v>Finance</v>
    <v>4</v>
    <v>13.6175</v>
    <v>8.74</v>
    <v>1.1341000000000001</v>
    <v>-0.23</v>
    <v>8.6210000000000002E-3</v>
    <v>-1.9442000000000001E-2</v>
    <v>0.1</v>
    <v>USD</v>
    <v>Viatris Inc. (Viatris) is a global healthcare company. The Company's segments include Developed Markets, Greater China, JANZ, and Emerging Markets. Its Developed Markets segment comprises its operations primarily in North America and Europe. The Greater China segment includes its operations in mainland China, Taiwan and Hong Kong. The JANZ segment consists of its operations in Japan, Australia and New Zealand. The Emerging Markets segment encompasses its presence in more than 125 countries with developing markets and emerging economies, as well as the Company’s ARV franchise. Its portfolio comprises over 1,400 approved molecules across a range of key therapeutic areas, including key brands and complex generics. It operates around 40 manufacturing sites worldwide, which produce oral solid doses, injectables, complex dosage forms and active pharmaceutical ingredients. Its products include Lyrica, Lipitor, Creon, Influvac, Wixela Inhub, EpiPen Auto Injector, Fraxiparine and Yupelri.</v>
    <v>38000</v>
    <v>Nasdaq Stock Market</v>
    <v>XNAS</v>
    <v>XNAS</v>
    <v>1000 Mylan Boulevard, CANONSBURG, PA, 15317 US</v>
    <v>11.945</v>
    <v>Pharmaceuticals</v>
    <v>Stock</v>
    <v>45377.963596168753</v>
    <v>30</v>
    <v>11.58</v>
    <v>14060820000</v>
    <v>VIATRIS INC.</v>
    <v>VIATRIS INC.</v>
    <v>11.88</v>
    <v>279.4708</v>
    <v>11.83</v>
    <v>11.6</v>
    <v>11.7</v>
    <v>1187569000</v>
    <v>VTRS</v>
    <v>VIATRIS INC. (XNAS:VTRS)</v>
    <v>8223459</v>
    <v>10994079</v>
    <v>2019</v>
  </rv>
  <rv s="2">
    <v>31</v>
  </rv>
  <rv s="0">
    <v>https://www.bing.com/financeapi/forcetrigger?t=a1sy77&amp;q=XNYS%3aFL&amp;form=skydnc</v>
    <v>Learn more on Bing</v>
  </rv>
  <rv s="3">
    <v>en-US</v>
    <v>a1sy77</v>
    <v>268435456</v>
    <v>1</v>
    <v>Powered by Refinitiv</v>
    <v>5</v>
    <v>FOOT LOCKER, INC. (XNYS:FL)</v>
    <v>2</v>
    <v>6</v>
    <v>Finance</v>
    <v>4</v>
    <v>42.79</v>
    <v>14.84</v>
    <v>1.4092</v>
    <v>1</v>
    <v>-3.7220000000000005E-4</v>
    <v>3.8655000000000002E-2</v>
    <v>-0.01</v>
    <v>USD</v>
    <v>Foot Locker, Inc. is a retailer of shoes and apparel. The Company operates through three operating segments: North America, Europe, Middle East, and Africa (EMEA), and Asia Pacific. The Company's portfolio of brands includes Foot Locker, Kids Foot Locker, Champs Sports, Sidestep, WSS, and atmos. The Company uses its omni-channel capabilities to bridge the digital world and physical stores, including order-in-store, buy online and pickup-in-store, and buy online and ship-from-store, as well as e-commerce. The Company operates approximately 2,714 stores in 29 countries across North America, Europe, Australia, New Zealand, and Asia, and a franchised store presence in the Middle East and Asia. The Kids Foot Locker offers athletic footwear, apparel, and accessories for children. Champs Sports is a primarily mall-based specialty athletic footwear and apparel retailer in North America. It also operates Community and Power Stores across the geographies in which it operates.</v>
    <v>15200</v>
    <v>New York Stock Exchange</v>
    <v>XNYS</v>
    <v>XNYS</v>
    <v>330 West 34th Street, NEW YORK, NY, 10001 US</v>
    <v>27.19</v>
    <v>Specialty Retailers</v>
    <v>Stock</v>
    <v>45377.985586909374</v>
    <v>33</v>
    <v>26.175000000000001</v>
    <v>2530127834</v>
    <v>FOOT LOCKER, INC.</v>
    <v>FOOT LOCKER, INC.</v>
    <v>26.24</v>
    <v>25.87</v>
    <v>26.87</v>
    <v>26.86</v>
    <v>94161810</v>
    <v>FL</v>
    <v>FOOT LOCKER, INC. (XNYS:FL)</v>
    <v>4247932</v>
    <v>5319683</v>
    <v>1989</v>
  </rv>
  <rv s="2">
    <v>34</v>
  </rv>
  <rv s="0">
    <v>https://www.bing.com/financeapi/forcetrigger?t=a1o9gh&amp;q=XNYS%3aBBY&amp;form=skydnc</v>
    <v>Learn more on Bing</v>
  </rv>
  <rv s="1">
    <v>en-US</v>
    <v>a1o9gh</v>
    <v>268435456</v>
    <v>1</v>
    <v>Powered by Refinitiv</v>
    <v>0</v>
    <v>Best Buy Co., Inc. (XNYS:BBY)</v>
    <v>2</v>
    <v>3</v>
    <v>Finance</v>
    <v>4</v>
    <v>86.11</v>
    <v>62.3001</v>
    <v>1.5048999999999999</v>
    <v>-0.66</v>
    <v>-7.4940000000000011E-4</v>
    <v>-8.1759999999999992E-3</v>
    <v>-0.06</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85000</v>
    <v>New York Stock Exchange</v>
    <v>XNYS</v>
    <v>XNYS</v>
    <v>7601 Penn Ave S, RICHFIELD, MN, 55423 US</v>
    <v>81.790000000000006</v>
    <v>Specialty Retailers</v>
    <v>Stock</v>
    <v>45377.994657303127</v>
    <v>36</v>
    <v>80.004999999999995</v>
    <v>17243434884</v>
    <v>Best Buy Co., Inc.</v>
    <v>Best Buy Co., Inc.</v>
    <v>80.62</v>
    <v>14.212199999999999</v>
    <v>80.72</v>
    <v>80.06</v>
    <v>80</v>
    <v>215381400</v>
    <v>BBY</v>
    <v>Best Buy Co., Inc. (XNYS:BBY)</v>
    <v>2106669</v>
    <v>3858472</v>
    <v>1966</v>
  </rv>
  <rv s="2">
    <v>37</v>
  </rv>
  <rv s="0">
    <v>https://www.bing.com/financeapi/forcetrigger?t=a1ohrw&amp;q=XNYS%3aBIG&amp;form=skydnc</v>
    <v>Learn more on Bing</v>
  </rv>
  <rv s="3">
    <v>en-US</v>
    <v>a1ohrw</v>
    <v>268435456</v>
    <v>1</v>
    <v>Powered by Refinitiv</v>
    <v>5</v>
    <v>BIG LOTS, INC. (XNYS:BIG)</v>
    <v>2</v>
    <v>6</v>
    <v>Finance</v>
    <v>4</v>
    <v>12.27</v>
    <v>3.47</v>
    <v>2.3309000000000002</v>
    <v>-0.25</v>
    <v>1.9178000000000001E-2</v>
    <v>-6.4103000000000007E-2</v>
    <v>7.0000000000000007E-2</v>
    <v>USD</v>
    <v>Big Lots, Inc. is a home discount retailer in the United States. It operates over 1,300 stores in 48 states and an ecommerce store. The Company's merchandise categories include Food; Consumables; Soft Home; Hard Home; Furniture; Seasonal; and Apparel, Electronics, &amp; Other. The Food category includes beverage and grocery, specialty foods and pet departments. The Consumables category includes health, beauty and cosmetics and chemical departments. The Soft Home category includes home organization, fashion bedding, utility bedding and area rugs departments. The Hard Home category includes small appliances, tabletop and toys departments. The Furniture category includes mattress, case goods, and home decor departments. The Seasonal category includes lawn and garden; summer; Christmas, and other holiday departments. The Apparel, Electronics, &amp; Other department includes apparel; electronics; jewelry; hosiery; and candy and snacks departments, and the assortments for the Lot and the Queue Line.</v>
    <v>10200</v>
    <v>New York Stock Exchange</v>
    <v>XNYS</v>
    <v>XNYS</v>
    <v>4900 E Dublin Granville Rd, COLUMBUS, OH, 43081-7651 US</v>
    <v>3.9950000000000001</v>
    <v>Diversified Retail</v>
    <v>Stock</v>
    <v>45377.999872789063</v>
    <v>39</v>
    <v>3.65</v>
    <v>106640444</v>
    <v>BIG LOTS, INC.</v>
    <v>BIG LOTS, INC.</v>
    <v>3.95</v>
    <v>3.9</v>
    <v>3.65</v>
    <v>3.72</v>
    <v>29216560</v>
    <v>BIG</v>
    <v>BIG LOTS, INC. (XNYS:BIG)</v>
    <v>1026161</v>
    <v>1518091</v>
    <v>2001</v>
  </rv>
  <rv s="2">
    <v>40</v>
  </rv>
  <rv s="0">
    <v>https://www.bing.com/financeapi/forcetrigger?t=a1nhlh&amp;q=XNAS%3aAMZN&amp;form=skydnc</v>
    <v>Learn more on Bing</v>
  </rv>
  <rv s="1">
    <v>en-US</v>
    <v>a1nhlh</v>
    <v>268435456</v>
    <v>1</v>
    <v>Powered by Refinitiv</v>
    <v>0</v>
    <v>AMAZON.COM, INC. (XNAS:AMZN)</v>
    <v>2</v>
    <v>3</v>
    <v>Finance</v>
    <v>4</v>
    <v>181.41499999999999</v>
    <v>96.29</v>
    <v>1.1658999999999999</v>
    <v>-1.41</v>
    <v>4.4869999999999997E-3</v>
    <v>-7.8459999999999988E-3</v>
    <v>0.8</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1525000</v>
    <v>Nasdaq Stock Market</v>
    <v>XNAS</v>
    <v>XNAS</v>
    <v>410 Terry Ave N, SEATTLE, WA, 98109 US</v>
    <v>180.45</v>
    <v>Diversified Retail</v>
    <v>Stock</v>
    <v>45377.999980323439</v>
    <v>42</v>
    <v>177.95</v>
    <v>1857991000000</v>
    <v>AMAZON.COM, INC.</v>
    <v>AMAZON.COM, INC.</v>
    <v>180.15</v>
    <v>62.196899999999999</v>
    <v>179.71</v>
    <v>178.3</v>
    <v>179.1</v>
    <v>10387380000</v>
    <v>AMZN</v>
    <v>AMAZON.COM, INC. (XNAS:AMZN)</v>
    <v>29658982</v>
    <v>38409332</v>
    <v>1996</v>
  </rv>
  <rv s="2">
    <v>43</v>
  </rv>
  <rv s="0">
    <v>https://www.bing.com/financeapi/forcetrigger?t=a1mou2&amp;q=XNAS%3aAAPL&amp;form=skydnc</v>
    <v>Learn more on Bing</v>
  </rv>
  <rv s="1">
    <v>en-US</v>
    <v>a1mou2</v>
    <v>268435456</v>
    <v>1</v>
    <v>Powered by Refinitiv</v>
    <v>0</v>
    <v>APPLE INC. (XNAS:AAPL)</v>
    <v>2</v>
    <v>3</v>
    <v>Finance</v>
    <v>4</v>
    <v>199.62</v>
    <v>155.97999999999999</v>
    <v>1.278</v>
    <v>-1.1399999999999999</v>
    <v>1.5319999999999999E-3</v>
    <v>-6.6730000000000001E-3</v>
    <v>0.26</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171.42</v>
    <v>Computers, Phones &amp; Household Electronics</v>
    <v>Stock</v>
    <v>45377.99998130781</v>
    <v>45</v>
    <v>169.58</v>
    <v>2660327000000</v>
    <v>APPLE INC.</v>
    <v>APPLE INC.</v>
    <v>170</v>
    <v>26.583400000000001</v>
    <v>170.85</v>
    <v>169.71</v>
    <v>169.97</v>
    <v>15441880000</v>
    <v>AAPL</v>
    <v>APPLE INC. (XNAS:AAPL)</v>
    <v>57388449</v>
    <v>68929891</v>
    <v>1977</v>
  </rv>
  <rv s="2">
    <v>46</v>
  </rv>
  <rv s="0">
    <v>https://www.bing.com/financeapi/forcetrigger?t=c2mtim&amp;q=XNAS%3aDUOL&amp;form=skydnc</v>
    <v>Learn more on Bing</v>
  </rv>
  <rv s="1">
    <v>en-US</v>
    <v>c2mtim</v>
    <v>268435456</v>
    <v>1</v>
    <v>Powered by Refinitiv</v>
    <v>0</v>
    <v>DUOLINGO, INC. (XNAS:DUOL)</v>
    <v>2</v>
    <v>3</v>
    <v>Finance</v>
    <v>4</v>
    <v>245.8699</v>
    <v>116.82</v>
    <v>1.252</v>
    <v>-3.06</v>
    <v>6.9820000000000004E-3</v>
    <v>-1.3509999999999999E-2</v>
    <v>1.56</v>
    <v>USD</v>
    <v>Duolingo, Inc. is a technology company, which provides a mobile learning platform. The flagship application, Duolingo, is a language learning application. Duolingo is available in the education category on both Google Play and the Apple App Store. Duolingo offers courses in over 40 languages to more than 85 million monthly active users. Duolingo can also be accessed via desktop computers via a Web browser at https://duolingo.com. Both math and music courses are integrated into the Duolingo App and are available on iOS devices.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720</v>
    <v>Nasdaq Stock Market</v>
    <v>XNAS</v>
    <v>XNAS</v>
    <v>5900 PENN AVE, SECOND FLOOR, PITTSBURGH, PA, 15206 US</v>
    <v>229.01</v>
    <v>Software &amp; IT Services</v>
    <v>Stock</v>
    <v>45377.981758286718</v>
    <v>48</v>
    <v>218.39</v>
    <v>9951051000</v>
    <v>DUOLINGO, INC.</v>
    <v>DUOLINGO, INC.</v>
    <v>227.35</v>
    <v>677.33249999999998</v>
    <v>226.5</v>
    <v>223.44</v>
    <v>225</v>
    <v>42875830</v>
    <v>DUOL</v>
    <v>DUOLINGO, INC. (XNAS:DUOL)</v>
    <v>599394</v>
    <v>827814</v>
    <v>2011</v>
  </rv>
  <rv s="2">
    <v>49</v>
  </rv>
  <rv s="0">
    <v>https://www.bing.com/financeapi/forcetrigger?t=a1q6sm&amp;q=XNYS%3aCOTY&amp;form=skydnc</v>
    <v>Learn more on Bing</v>
  </rv>
  <rv s="1">
    <v>en-US</v>
    <v>a1q6sm</v>
    <v>268435456</v>
    <v>1</v>
    <v>Powered by Refinitiv</v>
    <v>0</v>
    <v>COTY INC. (XNYS:COTY)</v>
    <v>2</v>
    <v>3</v>
    <v>Finance</v>
    <v>4</v>
    <v>13.46</v>
    <v>9.0150000000000006</v>
    <v>1.8203</v>
    <v>7.0000000000000007E-2</v>
    <v>0</v>
    <v>6.045E-3</v>
    <v>0</v>
    <v>USD</v>
    <v>Coty Inc. is a beauty company with portfolio of brands across fragrance, color cosmetics, and skin and body care. The Company has a diverse portfolio of brands, which includes both owned and licensed. Its brand portfolio is classified into two segments: Consumer beauty and Prestige. Consumer beauty brand portfolio includes Adidas, Beckham, Biocolor, Bozzano, Bourjois, Bruno Banani, CoverGirl, Jovan, Mexx, Monange, Nautica, Paixao, Rimmel, Risque, Sally Hansen, 007 James Bond. Prestige includes Burberry, Bottega Veneta, Calvin Klein, Cavalli, Chloe, Davidoff, Escada, Gucci, Hugo Boss, Jil Sander, Kylie Jenner, Lancaster, Marc Jacobs, Miu Miu, Orveda, SKKN BY KIM, Tiffany &amp; Co. Its mass beauty brands are primarily sold through hypermarkets, supermarkets, drug stores and pharmacies, mid-tier department stores, traditional food and drug retailers, and dedicated e-commerce retailers. The Company serves consumers around the world in approximately 125 countries and territories.</v>
    <v>11350</v>
    <v>New York Stock Exchange</v>
    <v>XNYS</v>
    <v>XNYS</v>
    <v>350 Fifth Avenue, NEW YORK, NY, 10118 US</v>
    <v>11.82</v>
    <v>Personal &amp; Household Products &amp; Services</v>
    <v>Stock</v>
    <v>45377.999347082812</v>
    <v>51</v>
    <v>11.62</v>
    <v>10366060000</v>
    <v>COTY INC.</v>
    <v>COTY INC.</v>
    <v>11.72</v>
    <v>33.348700000000001</v>
    <v>11.58</v>
    <v>11.65</v>
    <v>11.65</v>
    <v>895168900</v>
    <v>COTY</v>
    <v>COTY INC. (XNYS:COTY)</v>
    <v>2689975</v>
    <v>3555690</v>
    <v>1995</v>
  </rv>
  <rv s="2">
    <v>52</v>
  </rv>
  <rv s="0">
    <v>https://www.bing.com/financeapi/forcetrigger?t=a24bh7&amp;q=XNYS%3aTM&amp;form=skydnc</v>
    <v>Learn more on Bing</v>
  </rv>
  <rv s="1">
    <v>en-US</v>
    <v>a24bh7</v>
    <v>268435456</v>
    <v>1</v>
    <v>Powered by Refinitiv</v>
    <v>0</v>
    <v>TOYOTA MOTOR CORPORATION (XNYS:TM)</v>
    <v>2</v>
    <v>3</v>
    <v>Finance</v>
    <v>4</v>
    <v>255.23</v>
    <v>133.02000000000001</v>
    <v>0.71830000000000005</v>
    <v>1.31</v>
    <v>4.2170000000000003E-3</v>
    <v>5.1900000000000002E-3</v>
    <v>1.07</v>
    <v>USD</v>
    <v>Toyota Motor Corp is a Japan-based company engaged in the automobile business, finance business and other businesses. The Company operates in three business segments. The Automobile segment is engaged in the design, manufacture and sale of sedans, minivans, 2box, sports utility vehicles, trucks and related vehicles, as well as related parts and products. The Finance segment is engaged in finance and vehicle leasing business. The Other segment is engaged in the design, manufacture and sale of houses, as well as conduct information communication business. The Company is also engaged in the control of manufacturing and sales companies, as well as public relations and research activities business in North American and Europe. The Company also provides robots, basic research projects, marine and agribio business. The Company also provides electric vehicles and vehicles equipped with the new function Advanced Drive of driving support technology, driver assistance or connected cars services.</v>
    <v>375235</v>
    <v>New York Stock Exchange</v>
    <v>XNYS</v>
    <v>XNYS</v>
    <v>1, Toyota-cho, TOYOTA-SHI, AICHI-KEN, 471-8571 JP</v>
    <v>254.78989999999999</v>
    <v>Automobiles &amp; Auto Parts</v>
    <v>Stock</v>
    <v>45377.997856017966</v>
    <v>54</v>
    <v>253.39</v>
    <v>412669400000</v>
    <v>TOYOTA MOTOR CORPORATION</v>
    <v>TOYOTA MOTOR CORPORATION</v>
    <v>253.89</v>
    <v>10.706899999999999</v>
    <v>252.41</v>
    <v>253.72</v>
    <v>254.79</v>
    <v>1631499000</v>
    <v>TM</v>
    <v>TOYOTA MOTOR CORPORATION (XNYS:TM)</v>
    <v>214946</v>
    <v>293773</v>
    <v>1937</v>
  </rv>
  <rv s="2">
    <v>55</v>
  </rv>
  <rv s="0">
    <v>https://www.bing.com/financeapi/forcetrigger?t=a1u3rw&amp;q=XNAS%3aGOOGL&amp;form=skydnc</v>
    <v>Learn more on Bing</v>
  </rv>
  <rv s="1">
    <v>en-US</v>
    <v>a1u3rw</v>
    <v>268435456</v>
    <v>1</v>
    <v>Powered by Refinitiv</v>
    <v>0</v>
    <v>ALPHABET INC. (XNAS:GOOGL)</v>
    <v>2</v>
    <v>3</v>
    <v>Finance</v>
    <v>4</v>
    <v>153.78</v>
    <v>99.74</v>
    <v>1.0486</v>
    <v>0.6</v>
    <v>2.6550000000000002E-3</v>
    <v>3.9979999999999998E-3</v>
    <v>0.4</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182502</v>
    <v>Nasdaq Stock Market</v>
    <v>XNAS</v>
    <v>XNAS</v>
    <v>1600 Amphitheatre Parkway, MOUNTAIN VIEW, CA, 94043 US</v>
    <v>152.256</v>
    <v>Software &amp; IT Services</v>
    <v>Stock</v>
    <v>45377.999997950785</v>
    <v>57</v>
    <v>149.97999999999999</v>
    <v>1880194000000</v>
    <v>ALPHABET INC.</v>
    <v>ALPHABET INC.</v>
    <v>150.22</v>
    <v>25.873699999999999</v>
    <v>150.07</v>
    <v>150.66999999999999</v>
    <v>151.07</v>
    <v>12433000000</v>
    <v>GOOGL</v>
    <v>ALPHABET INC. (XNAS:GOOGL)</v>
    <v>22149137</v>
    <v>34573658</v>
    <v>2015</v>
  </rv>
  <rv s="2">
    <v>58</v>
  </rv>
  <rv s="0">
    <v>https://www.bing.com/financeapi/forcetrigger?t=a24p1h&amp;q=XNAS%3aTXN&amp;form=skydnc</v>
    <v>Learn more on Bing</v>
  </rv>
  <rv s="1">
    <v>en-US</v>
    <v>a24p1h</v>
    <v>268435456</v>
    <v>1</v>
    <v>Powered by Refinitiv</v>
    <v>0</v>
    <v>TEXAS INSTRUMENTS INCORPORATED (XNAS:TXN)</v>
    <v>2</v>
    <v>3</v>
    <v>Finance</v>
    <v>4</v>
    <v>188.12</v>
    <v>139.47999999999999</v>
    <v>1.0299</v>
    <v>-2.94</v>
    <v>1.9650000000000002E-3</v>
    <v>-1.7208000000000001E-2</v>
    <v>0.33</v>
    <v>USD</v>
    <v>Texas Instruments Incorporated is a global semiconductor company. The Company designs, manufactures, tests, and sells analog and embedded processing chips for markets, such as industrial, automotive, personal electronics, communications equipment, and enterprise systems. The Company’s segments include Analog and Embedded Processing. The Analog segment includes product lines, such as Power and Signal Chain. Power includes products that help customers manage power in electronic systems. Signal Chain includes products that sense, condition, and measure real-world signals to allow information to be transferred or converted for further processing and control. The Embedded Processing segment includes microcontrollers, digital signal processors (DSPs) and applications processors. The Company also offers DLP products (primarily used to project high-definition images), calculators and certain custom semiconductors known as application-specific integrated circuits (ASICs).</v>
    <v>34000</v>
    <v>Nasdaq Stock Market</v>
    <v>XNAS</v>
    <v>XNAS</v>
    <v>12500 T I Blvd, DALLAS, TX, 75243-0592 US</v>
    <v>171.86</v>
    <v>Semiconductors &amp; Semiconductor Equipment</v>
    <v>Stock</v>
    <v>45377.995970983597</v>
    <v>60</v>
    <v>167.51</v>
    <v>156833900000</v>
    <v>TEXAS INSTRUMENTS INCORPORATED</v>
    <v>TEXAS INSTRUMENTS INCORPORATED</v>
    <v>171.44</v>
    <v>24.166</v>
    <v>170.85</v>
    <v>167.91</v>
    <v>168.24</v>
    <v>909287700</v>
    <v>TXN</v>
    <v>TEXAS INSTRUMENTS INCORPORATED (XNAS:TXN)</v>
    <v>5898325</v>
    <v>5479921</v>
    <v>1938</v>
  </rv>
  <rv s="2">
    <v>61</v>
  </rv>
  <rv s="4">
    <v>13</v>
    <v>3</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error">
    <k n="errorType" t="i"/>
    <k n="subType" t="i"/>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7">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2</v>
      <v>1</v>
      <v>3</v>
      <v>1</v>
      <v>1</v>
      <v>1</v>
      <v>4</v>
      <v>4</v>
      <v>5</v>
      <v>6</v>
      <v>1</v>
      <v>1</v>
      <v>1</v>
      <v>4</v>
      <v>7</v>
      <v>8</v>
      <v>9</v>
      <v>4</v>
      <v>1</v>
      <v>1</v>
      <v>5</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 dT="2022-05-30T18:09:07.73" personId="{0B70E71E-C7EA-4D07-A18F-818B0AC5AD56}" id="{49B2FB88-EDB1-47B3-9023-937A804038C9}">
    <text>Koyfin</text>
  </threadedComment>
  <threadedComment ref="H2" dT="2024-03-03T17:21:10.22" personId="{0B70E71E-C7EA-4D07-A18F-818B0AC5AD56}" id="{1DF6433C-B120-4A2D-85AF-549564FF6DEE}">
    <text>Koyfin</text>
  </threadedComment>
  <threadedComment ref="M2" dT="2022-07-21T04:49:31.90" personId="{0B70E71E-C7EA-4D07-A18F-818B0AC5AD56}" id="{D9A90F2B-8659-49F8-9E1C-B354DA2DCB3D}">
    <text>previous FY</text>
  </threadedComment>
  <threadedComment ref="N2" dT="2022-07-21T04:49:39.58" personId="{0B70E71E-C7EA-4D07-A18F-818B0AC5AD56}" id="{9E71E09E-0600-4605-8DE5-464B622D8134}">
    <text>previous FY</text>
  </threadedComment>
  <threadedComment ref="O2" dT="2022-07-21T04:49:47.22" personId="{0B70E71E-C7EA-4D07-A18F-818B0AC5AD56}" id="{93C12A89-94F8-43EC-9B6F-DED8B4DC56F8}">
    <text>previous FY</text>
  </threadedComment>
  <threadedComment ref="P2" dT="2022-07-21T04:49:52.47" personId="{0B70E71E-C7EA-4D07-A18F-818B0AC5AD56}" id="{51B9BE83-FA4F-4331-A8E4-230A7629C793}">
    <text>previous FY</text>
  </threadedComment>
  <threadedComment ref="R2" dT="2023-06-15T19:18:41.08" personId="{36482EE5-E3AA-4764-BC1F-232FF95AD7AD}" id="{98132863-37BE-4D21-8DB8-FF1FD4C7CBED}">
    <text>Annual</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NFLX.xlsx" TargetMode="External"/><Relationship Id="rId13" Type="http://schemas.openxmlformats.org/officeDocument/2006/relationships/hyperlink" Target="BIG.xlsx" TargetMode="External"/><Relationship Id="rId18" Type="http://schemas.openxmlformats.org/officeDocument/2006/relationships/hyperlink" Target="COTY.xlsx" TargetMode="External"/><Relationship Id="rId3" Type="http://schemas.openxmlformats.org/officeDocument/2006/relationships/hyperlink" Target="TGT.xlsx" TargetMode="External"/><Relationship Id="rId21" Type="http://schemas.openxmlformats.org/officeDocument/2006/relationships/printerSettings" Target="../printerSettings/printerSettings2.bin"/><Relationship Id="rId7" Type="http://schemas.openxmlformats.org/officeDocument/2006/relationships/hyperlink" Target="SBUX.xlsx" TargetMode="External"/><Relationship Id="rId12" Type="http://schemas.openxmlformats.org/officeDocument/2006/relationships/hyperlink" Target="FL.xlsx" TargetMode="External"/><Relationship Id="rId17" Type="http://schemas.openxmlformats.org/officeDocument/2006/relationships/hyperlink" Target="DUOL.xlsx" TargetMode="External"/><Relationship Id="rId2" Type="http://schemas.openxmlformats.org/officeDocument/2006/relationships/hyperlink" Target="WMT.xlsx" TargetMode="External"/><Relationship Id="rId16" Type="http://schemas.openxmlformats.org/officeDocument/2006/relationships/hyperlink" Target="AAPL.xlsx" TargetMode="External"/><Relationship Id="rId20" Type="http://schemas.openxmlformats.org/officeDocument/2006/relationships/hyperlink" Target="TM.xlsx" TargetMode="External"/><Relationship Id="rId1" Type="http://schemas.openxmlformats.org/officeDocument/2006/relationships/hyperlink" Target="DBX.xlsx" TargetMode="External"/><Relationship Id="rId6" Type="http://schemas.openxmlformats.org/officeDocument/2006/relationships/hyperlink" Target="NKE.xlsx" TargetMode="External"/><Relationship Id="rId11" Type="http://schemas.openxmlformats.org/officeDocument/2006/relationships/hyperlink" Target="VTRS.xlsx" TargetMode="External"/><Relationship Id="rId24" Type="http://schemas.microsoft.com/office/2017/10/relationships/threadedComment" Target="../threadedComments/threadedComment1.xml"/><Relationship Id="rId5" Type="http://schemas.openxmlformats.org/officeDocument/2006/relationships/hyperlink" Target="LEVI.xlsx" TargetMode="External"/><Relationship Id="rId15" Type="http://schemas.openxmlformats.org/officeDocument/2006/relationships/hyperlink" Target="AMZN.xlsx" TargetMode="External"/><Relationship Id="rId23" Type="http://schemas.openxmlformats.org/officeDocument/2006/relationships/comments" Target="../comments1.xml"/><Relationship Id="rId10" Type="http://schemas.openxmlformats.org/officeDocument/2006/relationships/hyperlink" Target="PFE.xlsx" TargetMode="External"/><Relationship Id="rId19" Type="http://schemas.openxmlformats.org/officeDocument/2006/relationships/hyperlink" Target="GOOGL.xlsx" TargetMode="External"/><Relationship Id="rId4" Type="http://schemas.openxmlformats.org/officeDocument/2006/relationships/hyperlink" Target="ELY.xlsx" TargetMode="External"/><Relationship Id="rId9" Type="http://schemas.openxmlformats.org/officeDocument/2006/relationships/hyperlink" Target="NVDA.xlsx" TargetMode="External"/><Relationship Id="rId14" Type="http://schemas.openxmlformats.org/officeDocument/2006/relationships/hyperlink" Target="BBY.xlsx" TargetMode="External"/><Relationship Id="rId22"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x.com/Beth_Kindig/status/1723877664539250931?s=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598AC-1488-4768-97DC-A6CDF693DFF7}">
  <dimension ref="B3:L32"/>
  <sheetViews>
    <sheetView tabSelected="1" workbookViewId="0">
      <selection activeCell="C17" sqref="C17"/>
    </sheetView>
  </sheetViews>
  <sheetFormatPr defaultColWidth="9" defaultRowHeight="13.8" x14ac:dyDescent="0.25"/>
  <cols>
    <col min="1" max="1" width="9.796875" style="2" bestFit="1" customWidth="1"/>
    <col min="2" max="2" width="11.796875" style="2" bestFit="1" customWidth="1"/>
    <col min="3" max="4" width="10.296875" style="2" bestFit="1" customWidth="1"/>
    <col min="5" max="5" width="9.19921875" style="2" bestFit="1" customWidth="1"/>
    <col min="6" max="7" width="8.59765625" style="2" customWidth="1"/>
    <col min="8" max="8" width="10.19921875" style="2" bestFit="1" customWidth="1"/>
    <col min="9" max="13" width="8.59765625" style="2" customWidth="1"/>
    <col min="14" max="16384" width="9" style="2"/>
  </cols>
  <sheetData>
    <row r="3" spans="2:5" ht="14.4" x14ac:dyDescent="0.3">
      <c r="B3" s="1" t="s">
        <v>0</v>
      </c>
      <c r="C3" s="25">
        <v>45366</v>
      </c>
      <c r="D3" s="25">
        <v>45000</v>
      </c>
      <c r="E3" s="1" t="s">
        <v>1</v>
      </c>
    </row>
    <row r="4" spans="2:5" ht="14.4" x14ac:dyDescent="0.3">
      <c r="B4" s="3" t="s">
        <v>44</v>
      </c>
      <c r="C4" s="29">
        <v>5.5199999999999999E-2</v>
      </c>
      <c r="D4" s="29">
        <v>4.2299999999999997E-2</v>
      </c>
      <c r="E4" s="24">
        <f t="shared" ref="E4:E7" si="0">C4/D4-1</f>
        <v>0.30496453900709231</v>
      </c>
    </row>
    <row r="5" spans="2:5" ht="14.4" x14ac:dyDescent="0.3">
      <c r="B5" s="3" t="s">
        <v>43</v>
      </c>
      <c r="C5" s="29">
        <v>5.4800000000000001E-2</v>
      </c>
      <c r="D5" s="29">
        <v>4.5600000000000002E-2</v>
      </c>
      <c r="E5" s="24">
        <f t="shared" si="0"/>
        <v>0.20175438596491224</v>
      </c>
    </row>
    <row r="6" spans="2:5" ht="14.4" x14ac:dyDescent="0.3">
      <c r="B6" s="3" t="s">
        <v>45</v>
      </c>
      <c r="C6" s="29">
        <v>5.4800000000000001E-2</v>
      </c>
      <c r="D6" s="29">
        <v>4.7500000000000001E-2</v>
      </c>
      <c r="E6" s="24">
        <f t="shared" si="0"/>
        <v>0.15368421052631587</v>
      </c>
    </row>
    <row r="7" spans="2:5" ht="14.4" x14ac:dyDescent="0.3">
      <c r="B7" s="3" t="s">
        <v>46</v>
      </c>
      <c r="C7" s="29">
        <v>5.4100000000000002E-2</v>
      </c>
      <c r="D7" s="29">
        <v>4.8500000000000001E-2</v>
      </c>
      <c r="E7" s="24">
        <f t="shared" si="0"/>
        <v>0.11546391752577323</v>
      </c>
    </row>
    <row r="8" spans="2:5" ht="14.4" x14ac:dyDescent="0.3">
      <c r="B8" s="3" t="s">
        <v>47</v>
      </c>
      <c r="C8" s="29">
        <v>5.3800000000000001E-2</v>
      </c>
      <c r="D8" s="29">
        <v>4.7300000000000002E-2</v>
      </c>
      <c r="E8" s="24">
        <f>C8/D8-1</f>
        <v>0.13742071881606766</v>
      </c>
    </row>
    <row r="9" spans="2:5" x14ac:dyDescent="0.25">
      <c r="B9" s="3" t="s">
        <v>2</v>
      </c>
      <c r="C9" s="23">
        <v>5.0500000000000003E-2</v>
      </c>
      <c r="D9" s="23">
        <v>4.19E-2</v>
      </c>
      <c r="E9" s="24">
        <f>C9/D9-1</f>
        <v>0.20525059665871126</v>
      </c>
    </row>
    <row r="10" spans="2:5" x14ac:dyDescent="0.25">
      <c r="B10" s="3" t="s">
        <v>3</v>
      </c>
      <c r="C10" s="23">
        <v>4.7199999999999999E-2</v>
      </c>
      <c r="D10" s="23">
        <v>3.9300000000000002E-2</v>
      </c>
      <c r="E10" s="24">
        <f t="shared" ref="E10:E16" si="1">C10/D10-1</f>
        <v>0.20101781170483446</v>
      </c>
    </row>
    <row r="11" spans="2:5" x14ac:dyDescent="0.25">
      <c r="B11" s="3" t="s">
        <v>4</v>
      </c>
      <c r="C11" s="23">
        <v>4.5100000000000001E-2</v>
      </c>
      <c r="D11" s="23">
        <v>3.8300000000000001E-2</v>
      </c>
      <c r="E11" s="24">
        <f t="shared" si="1"/>
        <v>0.17754569190600522</v>
      </c>
    </row>
    <row r="12" spans="2:5" x14ac:dyDescent="0.25">
      <c r="B12" s="3" t="s">
        <v>5</v>
      </c>
      <c r="C12" s="23">
        <v>4.3299999999999998E-2</v>
      </c>
      <c r="D12" s="23">
        <v>3.5900000000000001E-2</v>
      </c>
      <c r="E12" s="24">
        <f t="shared" si="1"/>
        <v>0.20612813370473537</v>
      </c>
    </row>
    <row r="13" spans="2:5" x14ac:dyDescent="0.25">
      <c r="B13" s="3" t="s">
        <v>6</v>
      </c>
      <c r="C13" s="23">
        <v>4.3299999999999998E-2</v>
      </c>
      <c r="D13" s="23">
        <v>3.5700000000000003E-2</v>
      </c>
      <c r="E13" s="24">
        <f t="shared" si="1"/>
        <v>0.21288515406162456</v>
      </c>
    </row>
    <row r="14" spans="2:5" x14ac:dyDescent="0.25">
      <c r="B14" s="3" t="s">
        <v>7</v>
      </c>
      <c r="C14" s="23">
        <v>4.3099999999999999E-2</v>
      </c>
      <c r="D14" s="23">
        <v>3.5099999999999999E-2</v>
      </c>
      <c r="E14" s="24">
        <f t="shared" si="1"/>
        <v>0.22792022792022792</v>
      </c>
    </row>
    <row r="15" spans="2:5" x14ac:dyDescent="0.25">
      <c r="B15" s="3" t="s">
        <v>8</v>
      </c>
      <c r="C15" s="23">
        <v>4.5499999999999999E-2</v>
      </c>
      <c r="D15" s="23">
        <v>3.8199999999999998E-2</v>
      </c>
      <c r="E15" s="24">
        <f t="shared" si="1"/>
        <v>0.19109947643979064</v>
      </c>
    </row>
    <row r="16" spans="2:5" x14ac:dyDescent="0.25">
      <c r="B16" s="3" t="s">
        <v>9</v>
      </c>
      <c r="C16" s="23">
        <v>4.4299999999999999E-2</v>
      </c>
      <c r="D16" s="23">
        <v>3.6999999999999998E-2</v>
      </c>
      <c r="E16" s="24">
        <f t="shared" si="1"/>
        <v>0.19729729729729728</v>
      </c>
    </row>
    <row r="17" spans="2:12" ht="14.4" x14ac:dyDescent="0.3">
      <c r="B17" s="3" t="s">
        <v>42</v>
      </c>
      <c r="C17" s="22" t="s">
        <v>41</v>
      </c>
      <c r="D17" s="7"/>
      <c r="E17" s="22"/>
    </row>
    <row r="19" spans="2:12" x14ac:dyDescent="0.25">
      <c r="C19" s="4"/>
    </row>
    <row r="24" spans="2:12" x14ac:dyDescent="0.25">
      <c r="B24" s="3"/>
    </row>
    <row r="25" spans="2:12" x14ac:dyDescent="0.25">
      <c r="B25" s="3"/>
    </row>
    <row r="26" spans="2:12" x14ac:dyDescent="0.25">
      <c r="B26" s="3"/>
    </row>
    <row r="27" spans="2:12" x14ac:dyDescent="0.25">
      <c r="B27" s="3"/>
      <c r="E27"/>
      <c r="F27"/>
      <c r="G27"/>
      <c r="H27"/>
      <c r="I27"/>
      <c r="J27"/>
      <c r="K27"/>
      <c r="L27"/>
    </row>
    <row r="28" spans="2:12" x14ac:dyDescent="0.25">
      <c r="B28" s="3"/>
    </row>
    <row r="29" spans="2:12" x14ac:dyDescent="0.25">
      <c r="B29" s="3"/>
    </row>
    <row r="30" spans="2:12" x14ac:dyDescent="0.25">
      <c r="B30" s="3"/>
    </row>
    <row r="31" spans="2:12" x14ac:dyDescent="0.25">
      <c r="B31" s="3"/>
    </row>
    <row r="32" spans="2:12" ht="14.4" x14ac:dyDescent="0.3">
      <c r="B32" s="5"/>
      <c r="C32" s="6"/>
    </row>
  </sheetData>
  <sortState xmlns:xlrd2="http://schemas.microsoft.com/office/spreadsheetml/2017/richdata2" ref="H9:T259">
    <sortCondition ref="H9:H259"/>
  </sortSt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CBD6-140C-4F1E-BA61-90A42EC2B8A9}">
  <dimension ref="A2:W30"/>
  <sheetViews>
    <sheetView workbookViewId="0">
      <pane xSplit="2" ySplit="2" topLeftCell="C3" activePane="bottomRight" state="frozen"/>
      <selection pane="topRight" activeCell="C1" sqref="C1"/>
      <selection pane="bottomLeft" activeCell="A3" sqref="A3"/>
      <selection pane="bottomRight" activeCell="C22" sqref="C22"/>
    </sheetView>
  </sheetViews>
  <sheetFormatPr defaultRowHeight="13.8" x14ac:dyDescent="0.25"/>
  <cols>
    <col min="1" max="1" width="3.19921875" customWidth="1"/>
    <col min="2" max="2" width="50.5" bestFit="1" customWidth="1"/>
    <col min="3" max="3" width="8.69921875" bestFit="1" customWidth="1"/>
    <col min="4" max="4" width="21.5" bestFit="1" customWidth="1"/>
    <col min="5" max="5" width="24.5" bestFit="1" customWidth="1"/>
    <col min="6" max="6" width="13.59765625" bestFit="1" customWidth="1"/>
    <col min="7" max="7" width="21.69921875" bestFit="1" customWidth="1"/>
    <col min="8" max="8" width="40.69921875" bestFit="1" customWidth="1"/>
    <col min="10" max="10" width="11" bestFit="1" customWidth="1"/>
    <col min="12" max="12" width="8.8984375" bestFit="1" customWidth="1"/>
    <col min="18" max="18" width="14.59765625" customWidth="1"/>
    <col min="19" max="19" width="14" bestFit="1" customWidth="1"/>
    <col min="20" max="20" width="13" bestFit="1" customWidth="1"/>
    <col min="21" max="21" width="11.5" bestFit="1" customWidth="1"/>
    <col min="22" max="22" width="10.19921875" bestFit="1" customWidth="1"/>
  </cols>
  <sheetData>
    <row r="2" spans="1:23" x14ac:dyDescent="0.25">
      <c r="B2" s="8" t="s">
        <v>10</v>
      </c>
      <c r="C2" s="32" t="s">
        <v>87</v>
      </c>
      <c r="D2" s="32" t="s">
        <v>11</v>
      </c>
      <c r="E2" s="32" t="s">
        <v>12</v>
      </c>
      <c r="F2" s="33" t="s">
        <v>13</v>
      </c>
      <c r="G2" s="32" t="s">
        <v>14</v>
      </c>
      <c r="H2" s="32" t="s">
        <v>15</v>
      </c>
      <c r="I2" s="32" t="s">
        <v>16</v>
      </c>
      <c r="J2" s="32" t="s">
        <v>17</v>
      </c>
      <c r="K2" s="32" t="s">
        <v>18</v>
      </c>
      <c r="L2" s="33" t="s">
        <v>19</v>
      </c>
      <c r="M2" s="33" t="s">
        <v>20</v>
      </c>
      <c r="N2" s="33" t="s">
        <v>21</v>
      </c>
      <c r="O2" s="33" t="s">
        <v>22</v>
      </c>
      <c r="P2" s="33" t="s">
        <v>23</v>
      </c>
      <c r="Q2" s="33" t="s">
        <v>24</v>
      </c>
      <c r="R2" s="33" t="s">
        <v>74</v>
      </c>
      <c r="S2" s="33" t="s">
        <v>50</v>
      </c>
      <c r="T2" s="32" t="s">
        <v>25</v>
      </c>
      <c r="U2" s="32" t="s">
        <v>26</v>
      </c>
      <c r="V2" s="32" t="s">
        <v>1</v>
      </c>
    </row>
    <row r="3" spans="1:23" s="9" customFormat="1" x14ac:dyDescent="0.25">
      <c r="B3" s="19" t="e" vm="1">
        <v>#VALUE!</v>
      </c>
      <c r="C3" s="37">
        <v>1964</v>
      </c>
      <c r="D3" s="9" t="s">
        <v>30</v>
      </c>
      <c r="E3" s="9" t="s">
        <v>31</v>
      </c>
      <c r="F3" s="11" cm="1">
        <f t="array" ref="F3">_FV(B3,"Employees")</f>
        <v>83700</v>
      </c>
      <c r="G3" s="10" t="s">
        <v>29</v>
      </c>
      <c r="H3" s="9" t="s">
        <v>103</v>
      </c>
      <c r="I3" s="11">
        <f>[1]Main!$C$5</f>
        <v>1532.1</v>
      </c>
      <c r="J3" s="11">
        <f>T3*I3</f>
        <v>141841.818</v>
      </c>
      <c r="K3" s="11">
        <f>[1]Main!$C$7-[1]Main!$C$8</f>
        <v>991</v>
      </c>
      <c r="L3" s="11">
        <f t="shared" ref="L3:L13" si="0">J3-K3</f>
        <v>140850.818</v>
      </c>
      <c r="M3" s="12">
        <f>[1]DCF!$AT$59</f>
        <v>9.6488974523656568E-2</v>
      </c>
      <c r="N3" s="13">
        <f>[1]DCF!$AT$66</f>
        <v>0.43524610969014194</v>
      </c>
      <c r="O3" s="13">
        <f>[1]DCF!$AT$67</f>
        <v>0.11548899779370131</v>
      </c>
      <c r="P3" s="13">
        <f>[1]DCF!$AT$68</f>
        <v>0.18238993710691823</v>
      </c>
      <c r="Q3" s="13">
        <f>[1]WACC!$C$18</f>
        <v>7.9122001050125471E-2</v>
      </c>
      <c r="R3" s="16">
        <v>1.48</v>
      </c>
      <c r="S3" s="35">
        <f>R3/T3</f>
        <v>1.5986174119680275E-2</v>
      </c>
      <c r="T3" s="17" cm="1">
        <f t="array" ref="T3">_FV(B3,"Price")</f>
        <v>92.58</v>
      </c>
      <c r="U3" s="17">
        <f>[1]DCF!$BB$65</f>
        <v>65.754155843270169</v>
      </c>
      <c r="V3" s="13">
        <f t="shared" ref="V3:V13" si="1">U3/T3-1</f>
        <v>-0.28975852405195324</v>
      </c>
      <c r="W3"/>
    </row>
    <row r="4" spans="1:23" s="11" customFormat="1" x14ac:dyDescent="0.25">
      <c r="A4" s="9"/>
      <c r="B4" s="19" t="e" vm="2">
        <v>#VALUE!</v>
      </c>
      <c r="C4" s="37">
        <v>1853</v>
      </c>
      <c r="D4" s="9" t="s">
        <v>32</v>
      </c>
      <c r="E4" s="9" t="s">
        <v>95</v>
      </c>
      <c r="F4" s="11" cm="1">
        <f t="array" ref="F4">_FV(B4,"Employees")</f>
        <v>19100</v>
      </c>
      <c r="G4" s="10" t="s">
        <v>29</v>
      </c>
      <c r="H4" s="9" t="s">
        <v>103</v>
      </c>
      <c r="I4" s="11">
        <f>[2]Main!$C$5</f>
        <v>401.58329700000002</v>
      </c>
      <c r="J4" s="11">
        <f>T4*I4</f>
        <v>7549.7659836000003</v>
      </c>
      <c r="K4" s="11">
        <f>[2]Main!$C$7-[2]Main!$C$8</f>
        <v>-1769.2</v>
      </c>
      <c r="L4" s="11">
        <f t="shared" si="0"/>
        <v>9318.965983600001</v>
      </c>
      <c r="M4" s="12">
        <f>[2]Model!$AL$45</f>
        <v>1.685957915896541E-3</v>
      </c>
      <c r="N4" s="13">
        <f>[2]Model!$AL$52</f>
        <v>0.56897556238873603</v>
      </c>
      <c r="O4" s="13">
        <f>[2]Model!$AL$53</f>
        <v>7.1775368182553811E-2</v>
      </c>
      <c r="P4" s="13">
        <f>[2]Model!$AL$54</f>
        <v>4.4175576814856496E-2</v>
      </c>
      <c r="Q4" s="13">
        <f>[2]WACC!$C$18</f>
        <v>6.2908523021171267E-2</v>
      </c>
      <c r="R4" s="16">
        <f>0.12*4</f>
        <v>0.48</v>
      </c>
      <c r="S4" s="35">
        <f t="shared" ref="S4:S13" si="2">R4/T4</f>
        <v>2.553191489361702E-2</v>
      </c>
      <c r="T4" s="17" cm="1">
        <f t="array" ref="T4">_FV(B4,"Price")</f>
        <v>18.8</v>
      </c>
      <c r="U4" s="17">
        <f>[2]Model!$AV$50</f>
        <v>17.530246384279053</v>
      </c>
      <c r="V4" s="13">
        <f t="shared" si="1"/>
        <v>-6.7540085942603634E-2</v>
      </c>
      <c r="W4" s="18"/>
    </row>
    <row r="5" spans="1:23" s="9" customFormat="1" x14ac:dyDescent="0.25">
      <c r="B5" s="20" t="e" vm="3">
        <v>#VALUE!</v>
      </c>
      <c r="C5" s="10" t="s">
        <v>89</v>
      </c>
      <c r="D5" s="10" t="s">
        <v>32</v>
      </c>
      <c r="E5" s="10" t="s">
        <v>40</v>
      </c>
      <c r="F5" s="11" cm="1">
        <f t="array" ref="F5">_FV(B5,"Employees")</f>
        <v>2693</v>
      </c>
      <c r="G5" s="10" t="s">
        <v>36</v>
      </c>
      <c r="H5" s="9" t="s">
        <v>104</v>
      </c>
      <c r="I5" s="11">
        <f>[3]Main!$C$5</f>
        <v>348.8</v>
      </c>
      <c r="J5" s="11">
        <f>I5*T5</f>
        <v>8528.16</v>
      </c>
      <c r="K5" s="11">
        <f>[3]Main!$C$7-[3]Main!$C$8</f>
        <v>-1025.3000000000002</v>
      </c>
      <c r="L5" s="11">
        <f t="shared" si="0"/>
        <v>9553.4599999999991</v>
      </c>
      <c r="M5" s="12">
        <f>[3]Model!$AO$30</f>
        <v>7.7390055146206782E-2</v>
      </c>
      <c r="N5" s="13">
        <f>[3]Model!$AO$33</f>
        <v>0.80893801883951988</v>
      </c>
      <c r="O5" s="13">
        <f>[3]Model!$AO$34</f>
        <v>0.15333992859907947</v>
      </c>
      <c r="P5" s="13">
        <f>[3]Model!$AO$35</f>
        <v>-0.97988583854308287</v>
      </c>
      <c r="Q5" s="13">
        <f>[3]WACC!$C$18</f>
        <v>5.1466680590457232E-2</v>
      </c>
      <c r="R5" s="14">
        <v>0</v>
      </c>
      <c r="S5" s="35">
        <f t="shared" si="2"/>
        <v>0</v>
      </c>
      <c r="T5" s="17" cm="1">
        <f t="array" ref="T5">_FV(B5,"Price")</f>
        <v>24.45</v>
      </c>
      <c r="U5" s="17">
        <f>[3]Main!$M$3</f>
        <v>22.91548481095889</v>
      </c>
      <c r="V5" s="13">
        <f t="shared" si="1"/>
        <v>-6.2761357424994224E-2</v>
      </c>
      <c r="W5"/>
    </row>
    <row r="6" spans="1:23" s="9" customFormat="1" x14ac:dyDescent="0.25">
      <c r="B6" s="19" t="e" vm="4">
        <v>#VALUE!</v>
      </c>
      <c r="C6" s="37">
        <v>1982</v>
      </c>
      <c r="D6" s="9" t="s">
        <v>38</v>
      </c>
      <c r="E6" s="9" t="s">
        <v>39</v>
      </c>
      <c r="F6" s="11" cm="1">
        <f t="array" ref="F6">_FV(B6,"Employees")</f>
        <v>32000</v>
      </c>
      <c r="G6" s="10" t="s">
        <v>29</v>
      </c>
      <c r="H6" s="9" t="s">
        <v>105</v>
      </c>
      <c r="I6" s="11">
        <f>[4]Main!$C$5</f>
        <v>201.5</v>
      </c>
      <c r="J6" s="11">
        <f>I6*T6</f>
        <v>3147.43</v>
      </c>
      <c r="K6" s="11">
        <f>[4]Main!$C$7-[4]Main!$C$8</f>
        <v>-1459.2</v>
      </c>
      <c r="L6" s="11">
        <f t="shared" si="0"/>
        <v>4606.63</v>
      </c>
      <c r="M6" s="12">
        <f>[4]Model!$AR$28</f>
        <v>0.2752023769820815</v>
      </c>
      <c r="N6" s="13">
        <f>[4]Model!$AR$36</f>
        <v>0.60342368045649075</v>
      </c>
      <c r="O6" s="13">
        <f>[4]Model!$AR$37</f>
        <v>6.4269089270966223E-2</v>
      </c>
      <c r="P6" s="13">
        <f>[4]Model!$AR$38</f>
        <v>-0.11275546159267111</v>
      </c>
      <c r="Q6" s="13">
        <f>[4]WACC!$C$18</f>
        <v>7.3356889927392671E-2</v>
      </c>
      <c r="R6" s="14">
        <v>0</v>
      </c>
      <c r="S6" s="35">
        <f t="shared" si="2"/>
        <v>0</v>
      </c>
      <c r="T6" s="17" cm="1">
        <f t="array" ref="T6">_FV(B6,"Price")</f>
        <v>15.62</v>
      </c>
      <c r="U6" s="17">
        <f>[4]Model!$AY$33</f>
        <v>5.8416428061448409</v>
      </c>
      <c r="V6" s="13">
        <f t="shared" si="1"/>
        <v>-0.62601518526601529</v>
      </c>
      <c r="W6"/>
    </row>
    <row r="7" spans="1:23" s="9" customFormat="1" x14ac:dyDescent="0.25">
      <c r="B7" s="20" t="e" vm="5">
        <v>#VALUE!</v>
      </c>
      <c r="C7" s="15" t="s">
        <v>90</v>
      </c>
      <c r="D7" s="15" t="s">
        <v>33</v>
      </c>
      <c r="E7" s="15" t="s">
        <v>34</v>
      </c>
      <c r="F7" s="11" cm="1">
        <f t="array" ref="F7">_FV(B7,"Employees")</f>
        <v>2100000</v>
      </c>
      <c r="G7" s="10" t="s">
        <v>35</v>
      </c>
      <c r="H7" s="9" t="s">
        <v>102</v>
      </c>
      <c r="I7" s="11">
        <f>[5]Main!$C$5</f>
        <v>2701</v>
      </c>
      <c r="J7" s="11">
        <f>T7*I7</f>
        <v>163437.50999999998</v>
      </c>
      <c r="K7" s="11">
        <f>[5]Main!$C$7-[5]Main!$C$8</f>
        <v>-30590</v>
      </c>
      <c r="L7" s="11">
        <f t="shared" si="0"/>
        <v>194027.50999999998</v>
      </c>
      <c r="M7" s="12">
        <f>[5]Model!$AT$54</f>
        <v>6.7280193590965709E-2</v>
      </c>
      <c r="N7" s="13">
        <f>[5]Model!$AT$62</f>
        <v>0.24140463839525986</v>
      </c>
      <c r="O7" s="13">
        <f>[5]Model!$AT$63</f>
        <v>3.3417908714208827E-2</v>
      </c>
      <c r="P7" s="13">
        <f>[5]Model!$AT$64</f>
        <v>0.33638928067700985</v>
      </c>
      <c r="Q7" s="13">
        <f>[5]WACC!$C$18</f>
        <v>4.7269084447106452E-2</v>
      </c>
      <c r="R7" s="14">
        <f>0.21*4</f>
        <v>0.84</v>
      </c>
      <c r="S7" s="35">
        <f t="shared" si="2"/>
        <v>1.3882002974714923E-2</v>
      </c>
      <c r="T7" s="17" cm="1">
        <f t="array" ref="T7">_FV(B7,"Price")</f>
        <v>60.51</v>
      </c>
      <c r="U7" s="17">
        <f>[5]Main!$M$3</f>
        <v>204.31700834081138</v>
      </c>
      <c r="V7" s="13">
        <f t="shared" si="1"/>
        <v>2.3765825209190448</v>
      </c>
      <c r="W7"/>
    </row>
    <row r="8" spans="1:23" s="9" customFormat="1" x14ac:dyDescent="0.25">
      <c r="B8" s="20" t="e" vm="6">
        <v>#VALUE!</v>
      </c>
      <c r="C8" s="15" t="s">
        <v>91</v>
      </c>
      <c r="D8" s="15" t="s">
        <v>27</v>
      </c>
      <c r="E8" s="15" t="s">
        <v>28</v>
      </c>
      <c r="F8" s="11" cm="1">
        <f t="array" ref="F8">_FV(B8,"Employees")</f>
        <v>415000</v>
      </c>
      <c r="G8" s="10" t="s">
        <v>35</v>
      </c>
      <c r="H8" s="9" t="s">
        <v>102</v>
      </c>
      <c r="I8" s="11">
        <f>[6]Main!$C$5</f>
        <v>462.5</v>
      </c>
      <c r="J8" s="11">
        <f>T8*I8</f>
        <v>79846</v>
      </c>
      <c r="K8" s="11">
        <f>[6]Main!$C$7-[6]Main!$C$8</f>
        <v>-15490</v>
      </c>
      <c r="L8" s="11">
        <f t="shared" si="0"/>
        <v>95336</v>
      </c>
      <c r="M8" s="12">
        <f>[6]DCF!$AN$32</f>
        <v>2.9385406348757082E-2</v>
      </c>
      <c r="N8" s="13">
        <f>[6]DCF!$AN$38</f>
        <v>0.24643511730205278</v>
      </c>
      <c r="O8" s="13">
        <f>[6]DCF!$AN$39</f>
        <v>5.7120601173020528E-2</v>
      </c>
      <c r="P8" s="13">
        <f>[6]DCF!$AN$40</f>
        <v>0.1099431328623126</v>
      </c>
      <c r="Q8" s="13">
        <f>[6]WACC!$C$18</f>
        <v>5.2633868912505821E-2</v>
      </c>
      <c r="R8" s="16">
        <f>1.1*4</f>
        <v>4.4000000000000004</v>
      </c>
      <c r="S8" s="35">
        <f t="shared" si="2"/>
        <v>2.5486561631139947E-2</v>
      </c>
      <c r="T8" s="17" cm="1">
        <f t="array" ref="T8">_FV(B8,"Price")</f>
        <v>172.64</v>
      </c>
      <c r="U8" s="17">
        <f>[6]Main!$M$3</f>
        <v>256.04483672436879</v>
      </c>
      <c r="V8" s="13">
        <f t="shared" si="1"/>
        <v>0.48311420716154307</v>
      </c>
      <c r="W8"/>
    </row>
    <row r="9" spans="1:23" s="9" customFormat="1" x14ac:dyDescent="0.25">
      <c r="B9" s="21" t="e" vm="7">
        <v>#VALUE!</v>
      </c>
      <c r="C9" s="38">
        <v>1971</v>
      </c>
      <c r="D9" s="26" t="s">
        <v>37</v>
      </c>
      <c r="E9" s="26" t="s">
        <v>75</v>
      </c>
      <c r="F9" s="11" cm="1">
        <f t="array" ref="F9">_FV(B9,"Employees")</f>
        <v>381000</v>
      </c>
      <c r="G9" s="26" t="s">
        <v>29</v>
      </c>
      <c r="H9" s="9" t="s">
        <v>106</v>
      </c>
      <c r="I9" s="18">
        <f>[7]Main!$C$5</f>
        <v>1140.5999999999999</v>
      </c>
      <c r="J9" s="11">
        <f>T9*I9</f>
        <v>103064.61599999999</v>
      </c>
      <c r="K9" s="18">
        <f>[7]Main!$C$7-[7]Main!$C$8</f>
        <v>-10530.9</v>
      </c>
      <c r="L9" s="11">
        <f>J9-K9</f>
        <v>113595.51599999999</v>
      </c>
      <c r="M9" s="34">
        <f>[7]DCF!$AU$29</f>
        <v>0.11551210376337573</v>
      </c>
      <c r="N9" s="34">
        <f>[7]DCF!$AU$35</f>
        <v>0.68286282925093678</v>
      </c>
      <c r="O9" s="34">
        <f>[7]DCF!$AU$36</f>
        <v>0.19912663027162861</v>
      </c>
      <c r="P9" s="34">
        <f>[7]DCF!$AU$37</f>
        <v>0.19078416728902159</v>
      </c>
      <c r="Q9" s="34">
        <f>[7]WACC!$C$18</f>
        <v>7.3566822435085402E-2</v>
      </c>
      <c r="R9" s="26">
        <f>0.57*4</f>
        <v>2.2799999999999998</v>
      </c>
      <c r="S9" s="35">
        <f t="shared" si="2"/>
        <v>2.5232403718459494E-2</v>
      </c>
      <c r="T9" s="27" cm="1">
        <f t="array" ref="T9">_FV(B9,"Price")</f>
        <v>90.36</v>
      </c>
      <c r="U9" s="28">
        <f>[7]DCF!$BG$34</f>
        <v>77.425202139684458</v>
      </c>
      <c r="V9" s="13">
        <f t="shared" si="1"/>
        <v>-0.14314738667901217</v>
      </c>
      <c r="W9" s="26"/>
    </row>
    <row r="10" spans="1:23" s="18" customFormat="1" x14ac:dyDescent="0.25">
      <c r="A10"/>
      <c r="B10" s="21" t="e" vm="8">
        <v>#VALUE!</v>
      </c>
      <c r="C10" s="38">
        <v>1997</v>
      </c>
      <c r="D10" s="18" t="s">
        <v>79</v>
      </c>
      <c r="E10" s="18" t="s">
        <v>96</v>
      </c>
      <c r="F10" s="11" cm="1">
        <f t="array" ref="F10">_FV(B10,"Employees")</f>
        <v>13000</v>
      </c>
      <c r="G10" s="18" t="s">
        <v>80</v>
      </c>
      <c r="H10" s="18" t="s">
        <v>107</v>
      </c>
      <c r="I10" s="18">
        <f>[8]Main!$C$5</f>
        <v>444.29199999999997</v>
      </c>
      <c r="J10" s="11">
        <f t="shared" ref="J10:J18" si="3">T10*I10</f>
        <v>279566.29807999998</v>
      </c>
      <c r="K10" s="18">
        <f>[8]Main!$C$7-[8]Main!$C$8</f>
        <v>-7405.3749999999991</v>
      </c>
      <c r="L10" s="11">
        <f t="shared" si="0"/>
        <v>286971.67307999998</v>
      </c>
      <c r="M10" s="34">
        <f>[8]Model!$AR$34</f>
        <v>6.45739131769969E-2</v>
      </c>
      <c r="N10" s="34">
        <f>[8]Model!$AR$42</f>
        <v>0.39370705238403253</v>
      </c>
      <c r="O10" s="34">
        <f>[8]Model!$AR$43</f>
        <v>0.17816647187855345</v>
      </c>
      <c r="P10" s="34">
        <f>[8]Model!$AR$44</f>
        <v>0.14665946292208726</v>
      </c>
      <c r="Q10" s="34">
        <f>[8]WACC!$C$18</f>
        <v>8.5485106254227783E-2</v>
      </c>
      <c r="R10" s="28">
        <v>0</v>
      </c>
      <c r="S10" s="35">
        <f t="shared" si="2"/>
        <v>0</v>
      </c>
      <c r="T10" s="27" cm="1">
        <f t="array" ref="T10">_FV(B10,"Price")</f>
        <v>629.24</v>
      </c>
      <c r="U10" s="28">
        <f>[8]Model!$BF$40</f>
        <v>210.62723063462789</v>
      </c>
      <c r="V10" s="13">
        <f t="shared" si="1"/>
        <v>-0.66526725790695462</v>
      </c>
    </row>
    <row r="11" spans="1:23" s="18" customFormat="1" x14ac:dyDescent="0.25">
      <c r="A11"/>
      <c r="B11" s="21" t="e" vm="9">
        <v>#VALUE!</v>
      </c>
      <c r="C11" s="38">
        <v>1993</v>
      </c>
      <c r="D11" s="18" t="s">
        <v>78</v>
      </c>
      <c r="E11" s="18" t="s">
        <v>81</v>
      </c>
      <c r="F11" s="11" cm="1">
        <f t="array" ref="F11">_FV(B11,"Employees")</f>
        <v>29600</v>
      </c>
      <c r="G11" s="18" t="s">
        <v>36</v>
      </c>
      <c r="H11" s="18" t="s">
        <v>108</v>
      </c>
      <c r="I11" s="18">
        <f>[9]Main!$C$6</f>
        <v>2477</v>
      </c>
      <c r="J11" s="11">
        <f t="shared" si="3"/>
        <v>2292735.9700000002</v>
      </c>
      <c r="K11" s="18">
        <f>[9]Main!$C$8-[9]Main!$C$9</f>
        <v>2343</v>
      </c>
      <c r="L11" s="11">
        <f t="shared" si="0"/>
        <v>2290392.9700000002</v>
      </c>
      <c r="M11" s="34">
        <f>[9]Model!$AQ$19</f>
        <v>2.2293230289069932E-3</v>
      </c>
      <c r="N11" s="34">
        <f>[9]Model!$AQ$25</f>
        <v>0.56928894490991322</v>
      </c>
      <c r="O11" s="34">
        <f>[9]Model!$AQ$26</f>
        <v>0.20679172536516646</v>
      </c>
      <c r="P11" s="34">
        <f>[9]Model!$AQ$27</f>
        <v>-3.3604336043360432E-2</v>
      </c>
      <c r="Q11" s="34">
        <f>[9]WACC!$C$18</f>
        <v>7.4473901113322444E-2</v>
      </c>
      <c r="R11" s="28">
        <f>0.04*4</f>
        <v>0.16</v>
      </c>
      <c r="S11" s="35">
        <f t="shared" si="2"/>
        <v>1.7285897948379989E-4</v>
      </c>
      <c r="T11" s="27" cm="1">
        <f t="array" ref="T11">_FV(B11,"Price")</f>
        <v>925.61</v>
      </c>
      <c r="U11" s="28">
        <f>[9]Model!$AZ$25</f>
        <v>81.506807987771182</v>
      </c>
      <c r="V11" s="13">
        <f t="shared" si="1"/>
        <v>-0.91194260218907408</v>
      </c>
    </row>
    <row r="12" spans="1:23" s="18" customFormat="1" x14ac:dyDescent="0.25">
      <c r="A12"/>
      <c r="B12" s="21" t="e" vm="10">
        <v>#VALUE!</v>
      </c>
      <c r="C12" s="38">
        <v>1849</v>
      </c>
      <c r="D12" s="18" t="s">
        <v>77</v>
      </c>
      <c r="E12" s="18" t="s">
        <v>82</v>
      </c>
      <c r="F12" s="11" cm="1">
        <f t="array" ref="F12">_FV(B12,"Employees")</f>
        <v>88000</v>
      </c>
      <c r="G12" s="18" t="s">
        <v>83</v>
      </c>
      <c r="H12" s="18" t="s">
        <v>109</v>
      </c>
      <c r="I12" s="18">
        <f>[10]Main!$C$6</f>
        <v>5727</v>
      </c>
      <c r="J12" s="11">
        <f t="shared" si="3"/>
        <v>158007.93</v>
      </c>
      <c r="K12" s="18">
        <f>[10]Main!$C$8-[10]Main!$C$9</f>
        <v>-15920</v>
      </c>
      <c r="L12" s="11">
        <f t="shared" si="0"/>
        <v>173927.93</v>
      </c>
      <c r="M12" s="34">
        <f>[10]Model!$AJ$20</f>
        <v>0.23426582029327814</v>
      </c>
      <c r="N12" s="34">
        <f>[10]Model!$AJ$27</f>
        <v>0.65770300305987184</v>
      </c>
      <c r="O12" s="34">
        <f>[10]Model!$AJ$28</f>
        <v>0.3980026113564103</v>
      </c>
      <c r="P12" s="34">
        <f>[10]Model!$AJ$29</f>
        <v>8.3797054009819974E-2</v>
      </c>
      <c r="Q12" s="34">
        <f>[10]WACC!$C$18</f>
        <v>4.6045983502813831E-2</v>
      </c>
      <c r="R12" s="28">
        <f>0.42*4</f>
        <v>1.68</v>
      </c>
      <c r="S12" s="35">
        <f t="shared" si="2"/>
        <v>6.0891627401232329E-2</v>
      </c>
      <c r="T12" s="27" cm="1">
        <f t="array" ref="T12">_FV(B12,"Price")</f>
        <v>27.59</v>
      </c>
      <c r="U12" s="28">
        <f>[10]Model!$AS$27</f>
        <v>98.220736355377696</v>
      </c>
      <c r="V12" s="13">
        <f t="shared" si="1"/>
        <v>2.5600121912061504</v>
      </c>
    </row>
    <row r="13" spans="1:23" s="18" customFormat="1" x14ac:dyDescent="0.25">
      <c r="A13"/>
      <c r="B13" s="21" t="e" vm="11">
        <v>#VALUE!</v>
      </c>
      <c r="C13" s="38">
        <v>1961</v>
      </c>
      <c r="D13" s="18" t="s">
        <v>76</v>
      </c>
      <c r="E13" s="18" t="s">
        <v>84</v>
      </c>
      <c r="F13" s="11" cm="1">
        <f t="array" ref="F13">_FV(B13,"Employees")</f>
        <v>38000</v>
      </c>
      <c r="G13" s="18" t="s">
        <v>83</v>
      </c>
      <c r="H13" s="18" t="s">
        <v>109</v>
      </c>
      <c r="I13" s="18">
        <f>[11]Main!$C$6</f>
        <v>94.4</v>
      </c>
      <c r="J13" s="11">
        <f t="shared" si="3"/>
        <v>1095.04</v>
      </c>
      <c r="K13" s="18">
        <f>[11]Main!$C$8-[11]Main!$C$9</f>
        <v>-150</v>
      </c>
      <c r="L13" s="11">
        <f t="shared" si="0"/>
        <v>1245.04</v>
      </c>
      <c r="M13" s="34">
        <f>[11]Model!$AM$19</f>
        <v>-2.3211695123312115E-2</v>
      </c>
      <c r="N13" s="34">
        <f>[11]Model!$AM$26</f>
        <v>0.31966183022963557</v>
      </c>
      <c r="O13" s="34">
        <f>[11]Model!$AM$27</f>
        <v>0.10225065691762825</v>
      </c>
      <c r="P13" s="34">
        <f>[11]Model!$AM$28</f>
        <v>0.1965065502183406</v>
      </c>
      <c r="Q13" s="34">
        <f>[11]WACC!$C$18</f>
        <v>4.1769407639219235E-2</v>
      </c>
      <c r="R13" s="28">
        <f>0.12*4</f>
        <v>0.48</v>
      </c>
      <c r="S13" s="35">
        <f t="shared" si="2"/>
        <v>4.1379310344827586E-2</v>
      </c>
      <c r="T13" s="27" cm="1">
        <f t="array" ref="T13">_FV(B13,"Price")</f>
        <v>11.6</v>
      </c>
      <c r="U13" s="28">
        <f>[12]Model!$AH$28</f>
        <v>7.0498590471111235</v>
      </c>
      <c r="V13" s="13">
        <f t="shared" si="1"/>
        <v>-0.39225353042145483</v>
      </c>
    </row>
    <row r="14" spans="1:23" x14ac:dyDescent="0.25">
      <c r="B14" s="21" t="e" vm="12">
        <v>#VALUE!</v>
      </c>
      <c r="C14" s="38">
        <v>1879</v>
      </c>
      <c r="D14" s="18" t="s">
        <v>77</v>
      </c>
      <c r="E14" s="18" t="s">
        <v>88</v>
      </c>
      <c r="F14" s="11" cm="1">
        <f t="array" ref="F14">_FV(B14,"Employees")</f>
        <v>15200</v>
      </c>
      <c r="G14" s="18" t="s">
        <v>29</v>
      </c>
      <c r="H14" s="26" t="s">
        <v>110</v>
      </c>
      <c r="I14" s="18">
        <f>[11]Main!$C$6</f>
        <v>94.4</v>
      </c>
      <c r="J14" s="11">
        <f t="shared" si="3"/>
        <v>2536.5280000000002</v>
      </c>
      <c r="K14" s="18">
        <f>[11]Main!$C$8-[11]Main!$C$9</f>
        <v>-150</v>
      </c>
      <c r="L14" s="11">
        <f>J14-K14</f>
        <v>2686.5280000000002</v>
      </c>
      <c r="M14" s="34">
        <f>[11]Model!$AM$19</f>
        <v>-2.3211695123312115E-2</v>
      </c>
      <c r="N14" s="34">
        <f>[11]Model!$AM$26</f>
        <v>0.31966183022963557</v>
      </c>
      <c r="O14" s="34">
        <f>[11]Model!$AM$27</f>
        <v>0.10225065691762825</v>
      </c>
      <c r="P14" s="34">
        <f>[11]Model!$AM$28</f>
        <v>0.1965065502183406</v>
      </c>
      <c r="Q14" s="34">
        <f>[11]WACC!$C$18</f>
        <v>4.1769407639219235E-2</v>
      </c>
      <c r="R14" s="28">
        <f>0.4*4</f>
        <v>1.6</v>
      </c>
      <c r="S14" s="35">
        <f>R14/T14</f>
        <v>5.9545962039449202E-2</v>
      </c>
      <c r="T14" s="28" cm="1">
        <f t="array" ref="T14">_FV(B14,"Price")</f>
        <v>26.87</v>
      </c>
      <c r="U14" s="28">
        <f>[11]Model!$AV$26</f>
        <v>99.79887531818369</v>
      </c>
      <c r="V14" s="13">
        <f t="shared" ref="V14:V19" si="4">U14/T14-1</f>
        <v>2.714137525797681</v>
      </c>
    </row>
    <row r="15" spans="1:23" s="26" customFormat="1" x14ac:dyDescent="0.25">
      <c r="A15"/>
      <c r="B15" s="21" t="e" vm="13">
        <v>#VALUE!</v>
      </c>
      <c r="C15" s="26">
        <v>1966</v>
      </c>
      <c r="D15" s="26" t="s">
        <v>85</v>
      </c>
      <c r="E15" s="26" t="s">
        <v>86</v>
      </c>
      <c r="F15" s="11" cm="1">
        <f t="array" ref="F15">_FV(B15,"Employees")</f>
        <v>85000</v>
      </c>
      <c r="G15" s="26" t="s">
        <v>29</v>
      </c>
      <c r="H15" s="26" t="s">
        <v>110</v>
      </c>
      <c r="I15" s="18">
        <f>[13]Model!$AC$14</f>
        <v>218.3</v>
      </c>
      <c r="J15" s="11">
        <f t="shared" si="3"/>
        <v>17477.098000000002</v>
      </c>
      <c r="K15" s="18">
        <f>[13]Main!$C$8-[13]Main!$C$9</f>
        <v>-3393</v>
      </c>
      <c r="L15" s="11">
        <f>J15-K15</f>
        <v>20870.098000000002</v>
      </c>
      <c r="M15" s="34">
        <f>[13]Model!$AO$17</f>
        <v>-0.10554278317652288</v>
      </c>
      <c r="N15" s="34">
        <f>[13]Model!$AO$24</f>
        <v>0.21409132143937104</v>
      </c>
      <c r="O15" s="34">
        <f>[13]Model!$AO$25</f>
        <v>4.1945656399844489E-2</v>
      </c>
      <c r="P15" s="34">
        <f>[13]Model!$AO$26</f>
        <v>0.19691325172964344</v>
      </c>
      <c r="Q15" s="34">
        <f>[13]WACC!$C$18</f>
        <v>6.0884162938071605E-2</v>
      </c>
      <c r="R15" s="26">
        <f>0.92*4</f>
        <v>3.68</v>
      </c>
      <c r="S15" s="35">
        <f>R15/T15</f>
        <v>4.5965525855608293E-2</v>
      </c>
      <c r="T15" s="28" cm="1">
        <f t="array" ref="T15">_FV(B15,"Price")</f>
        <v>80.06</v>
      </c>
      <c r="U15" s="28">
        <f>[13]Model!$BA$24</f>
        <v>77.398062391903039</v>
      </c>
      <c r="V15" s="13">
        <f t="shared" si="4"/>
        <v>-3.3249283138857888E-2</v>
      </c>
    </row>
    <row r="16" spans="1:23" x14ac:dyDescent="0.25">
      <c r="B16" s="21" t="e" vm="14">
        <v>#VALUE!</v>
      </c>
      <c r="C16" s="38">
        <v>1967</v>
      </c>
      <c r="D16" s="18" t="s">
        <v>92</v>
      </c>
      <c r="E16" s="18" t="s">
        <v>94</v>
      </c>
      <c r="F16" s="11" cm="1">
        <f t="array" ref="F16">_FV(B16,"Employees")</f>
        <v>10200</v>
      </c>
      <c r="G16" s="26" t="s">
        <v>29</v>
      </c>
      <c r="H16" s="26" t="s">
        <v>111</v>
      </c>
      <c r="I16" s="18">
        <f>[14]Main!$C$5</f>
        <v>29.3</v>
      </c>
      <c r="J16" s="11">
        <f t="shared" si="3"/>
        <v>106.94499999999999</v>
      </c>
      <c r="K16" s="18">
        <f>[15]Main!$C$7-[15]Main!$C$8</f>
        <v>3156</v>
      </c>
      <c r="L16" s="11">
        <f>J16-K16</f>
        <v>-3049.0549999999998</v>
      </c>
      <c r="M16" s="34">
        <f>[14]DCF!$AK$19</f>
        <v>-0.1109279854349241</v>
      </c>
      <c r="N16" s="34">
        <f>[14]DCF!$AK$26</f>
        <v>0.34992408101268224</v>
      </c>
      <c r="O16" s="34">
        <f>[14]DCF!$AK$27</f>
        <v>-1.9502118471657514E-2</v>
      </c>
      <c r="P16" s="34">
        <f>[14]DCF!$AK$28</f>
        <v>0.36638617478095792</v>
      </c>
      <c r="Q16" s="34">
        <f>[14]WACC!$C$18</f>
        <v>6.1315001319892676E-2</v>
      </c>
      <c r="R16" s="42">
        <v>0</v>
      </c>
      <c r="S16" s="35">
        <f>R16/T16</f>
        <v>0</v>
      </c>
      <c r="T16" s="28" cm="1">
        <f t="array" ref="T16">_FV(B16,"Price")</f>
        <v>3.65</v>
      </c>
      <c r="U16" s="28">
        <f>[14]DCF!$AT$25</f>
        <v>-119.74897291383805</v>
      </c>
      <c r="V16" s="13">
        <f t="shared" si="4"/>
        <v>-33.807937784613166</v>
      </c>
    </row>
    <row r="17" spans="2:22" x14ac:dyDescent="0.25">
      <c r="B17" s="21" t="e" vm="15">
        <v>#VALUE!</v>
      </c>
      <c r="C17" s="26">
        <v>1994</v>
      </c>
      <c r="D17" s="18" t="s">
        <v>37</v>
      </c>
      <c r="E17" s="18" t="s">
        <v>93</v>
      </c>
      <c r="F17" s="11" cm="1">
        <f t="array" ref="F17">_FV(B17,"Employees")</f>
        <v>1525000</v>
      </c>
      <c r="G17" s="26" t="s">
        <v>29</v>
      </c>
      <c r="H17" s="26" t="s">
        <v>111</v>
      </c>
      <c r="I17" s="18">
        <f>[16]Main!$C$5</f>
        <v>10308</v>
      </c>
      <c r="J17" s="11">
        <f t="shared" si="3"/>
        <v>1837916.4000000001</v>
      </c>
      <c r="K17" s="18">
        <f>[16]Main!$C$7-[16]Main!$C$8</f>
        <v>37750</v>
      </c>
      <c r="L17" s="11">
        <f>J17-K17</f>
        <v>1800166.4000000001</v>
      </c>
      <c r="M17" s="34">
        <f>[16]Model!$AU$27</f>
        <v>0.1182957412988368</v>
      </c>
      <c r="N17" s="34">
        <f>[16]Model!$AU$34</f>
        <v>0.46982088955000567</v>
      </c>
      <c r="O17" s="34">
        <f>[16]Model!$AU$35</f>
        <v>6.4114407996033296E-2</v>
      </c>
      <c r="P17" s="34">
        <f>[16]Model!$AU$36</f>
        <v>0.18989802167372261</v>
      </c>
      <c r="Q17" s="34">
        <f>[16]WACC!$C$18</f>
        <v>6.9881909557268029E-2</v>
      </c>
      <c r="R17" s="42">
        <v>0</v>
      </c>
      <c r="S17" s="35">
        <f>R17/T17</f>
        <v>0</v>
      </c>
      <c r="T17" s="28" cm="1">
        <f t="array" ref="T17">_FV(B17,"Price")</f>
        <v>178.3</v>
      </c>
      <c r="U17" s="28">
        <f>[16]Model!$BF$30</f>
        <v>111.83755001316251</v>
      </c>
      <c r="V17" s="13">
        <f t="shared" si="4"/>
        <v>-0.37275630951675542</v>
      </c>
    </row>
    <row r="18" spans="2:22" x14ac:dyDescent="0.25">
      <c r="B18" s="21" t="e" vm="16">
        <v>#VALUE!</v>
      </c>
      <c r="C18" s="26">
        <v>1976</v>
      </c>
      <c r="D18" s="18" t="s">
        <v>97</v>
      </c>
      <c r="E18" s="18" t="s">
        <v>98</v>
      </c>
      <c r="F18" s="11" cm="1">
        <f t="array" ref="F18">_FV(B18,"Employees")</f>
        <v>161000</v>
      </c>
      <c r="G18" s="18" t="s">
        <v>36</v>
      </c>
      <c r="H18" s="26" t="s">
        <v>112</v>
      </c>
      <c r="I18" s="39">
        <f>[17]Main!$C$5</f>
        <v>15576.641</v>
      </c>
      <c r="J18" s="11">
        <f t="shared" si="3"/>
        <v>2643511.7441099999</v>
      </c>
      <c r="K18" s="18">
        <f>[17]Main!$C$7-[17]Main!$C$8</f>
        <v>-34940</v>
      </c>
      <c r="L18" s="11">
        <f t="shared" ref="L18:L23" si="5">J18-K18</f>
        <v>2678451.7441099999</v>
      </c>
      <c r="M18" s="34">
        <f>[17]DCF!$AO$60</f>
        <v>-2.800460530319937E-2</v>
      </c>
      <c r="N18" s="34">
        <f>[17]DCF!$AO$51</f>
        <v>0.44131129577207562</v>
      </c>
      <c r="O18" s="34">
        <f>[17]DCF!$AO$52</f>
        <v>0.29821412265024722</v>
      </c>
      <c r="P18" s="34">
        <f>[17]DCF!$AO$54</f>
        <v>0.14719174228036858</v>
      </c>
      <c r="Q18" s="34">
        <f>[17]WACC!$C$18</f>
        <v>8.8789900307742461E-2</v>
      </c>
      <c r="R18" s="26">
        <f>0.24*4</f>
        <v>0.96</v>
      </c>
      <c r="S18" s="35">
        <f>R18/T18</f>
        <v>5.6567085027399676E-3</v>
      </c>
      <c r="T18" s="28" cm="1">
        <f t="array" ref="T18">_FV(B18,"Price")</f>
        <v>169.71</v>
      </c>
      <c r="U18" s="28">
        <f>[17]DCF!$AZ$56</f>
        <v>82.423427496181077</v>
      </c>
      <c r="V18" s="13">
        <f t="shared" si="4"/>
        <v>-0.51432780922643873</v>
      </c>
    </row>
    <row r="19" spans="2:22" x14ac:dyDescent="0.25">
      <c r="B19" s="21" t="e" vm="17">
        <v>#VALUE!</v>
      </c>
      <c r="C19" s="26">
        <v>2011</v>
      </c>
      <c r="D19" s="18" t="s">
        <v>99</v>
      </c>
      <c r="E19" s="18" t="s">
        <v>100</v>
      </c>
      <c r="F19" s="11" cm="1">
        <f t="array" ref="F19">_FV(B19,"Employees")</f>
        <v>720</v>
      </c>
      <c r="G19" s="26" t="s">
        <v>29</v>
      </c>
      <c r="H19" s="26" t="s">
        <v>113</v>
      </c>
      <c r="I19" s="18">
        <f>[18]Main!$C$6</f>
        <v>49</v>
      </c>
      <c r="J19" s="11">
        <f>T19*I19</f>
        <v>10948.56</v>
      </c>
      <c r="K19" s="18">
        <f>[18]Main!$C$8-[18]Main!$C$9</f>
        <v>747.61</v>
      </c>
      <c r="L19" s="11">
        <f t="shared" si="5"/>
        <v>10200.949999999999</v>
      </c>
      <c r="M19" s="34">
        <f>[18]Model!$X$37</f>
        <v>0.43739157498748304</v>
      </c>
      <c r="N19" s="34">
        <f>[18]Model!$X$44</f>
        <v>0.7324372209847696</v>
      </c>
      <c r="O19" s="34">
        <f>[18]Model!$X$45</f>
        <v>-2.4964743583708725E-2</v>
      </c>
      <c r="P19" s="34">
        <f>[18]Model!$X$46</f>
        <v>9.6191708387241698E-2</v>
      </c>
      <c r="Q19" s="34">
        <f>[18]WACC!$C$18</f>
        <v>6.2941209427912495E-2</v>
      </c>
      <c r="R19" s="42">
        <v>0</v>
      </c>
      <c r="S19" s="35">
        <f t="shared" ref="S19:S23" si="6">R19/T19</f>
        <v>0</v>
      </c>
      <c r="T19" s="28" cm="1">
        <f t="array" ref="T19">_FV(B19,"Price")</f>
        <v>223.44</v>
      </c>
      <c r="U19" s="28">
        <f>[18]Model!$AJ$42</f>
        <v>179.69406171187131</v>
      </c>
      <c r="V19" s="13">
        <f t="shared" si="4"/>
        <v>-0.19578382692502994</v>
      </c>
    </row>
    <row r="20" spans="2:22" x14ac:dyDescent="0.25">
      <c r="B20" s="21" t="e" vm="18">
        <v>#VALUE!</v>
      </c>
      <c r="C20" s="26">
        <v>1904</v>
      </c>
      <c r="D20" s="18" t="s">
        <v>77</v>
      </c>
      <c r="E20" s="18" t="s">
        <v>101</v>
      </c>
      <c r="F20" s="11" cm="1">
        <f t="array" ref="F20">_FV(B20,"Employees")</f>
        <v>11350</v>
      </c>
      <c r="G20" s="10" t="s">
        <v>35</v>
      </c>
      <c r="H20" s="26" t="s">
        <v>114</v>
      </c>
      <c r="I20" s="18">
        <f>[19]Main!$C$6</f>
        <v>922.8</v>
      </c>
      <c r="J20" s="11">
        <f>T20*I20</f>
        <v>10750.619999999999</v>
      </c>
      <c r="K20" s="18">
        <f>[19]Main!$C$8-[19]Main!$C$9</f>
        <v>-3241.8</v>
      </c>
      <c r="L20" s="11">
        <f t="shared" si="5"/>
        <v>13992.419999999998</v>
      </c>
      <c r="M20" s="34">
        <f>[19]Model!$AQ$17</f>
        <v>4.7074127139733024E-2</v>
      </c>
      <c r="N20" s="34">
        <f>[19]Model!$AQ$24</f>
        <v>0.6386813345096416</v>
      </c>
      <c r="O20" s="34">
        <f>[19]Model!$AQ$25</f>
        <v>0.13125438864982633</v>
      </c>
      <c r="P20" s="34">
        <f>[19]Model!$AQ$26</f>
        <v>0.20402201999775299</v>
      </c>
      <c r="Q20" s="34">
        <f>[19]WACC!$C$18</f>
        <v>8.3341765758214809E-2</v>
      </c>
      <c r="R20" s="42">
        <v>0</v>
      </c>
      <c r="S20" s="35">
        <f t="shared" si="6"/>
        <v>0</v>
      </c>
      <c r="T20" s="28" cm="1">
        <f t="array" ref="T20">_FV(B20,"Price")</f>
        <v>11.65</v>
      </c>
      <c r="U20" s="28">
        <f>[19]Model!$AZ$24</f>
        <v>9.4495128429675077</v>
      </c>
      <c r="V20" s="13">
        <f t="shared" ref="V20:V23" si="7">U20/T20-1</f>
        <v>-0.18888301777102945</v>
      </c>
    </row>
    <row r="21" spans="2:22" x14ac:dyDescent="0.25">
      <c r="B21" s="21" t="e" vm="19">
        <v>#VALUE!</v>
      </c>
      <c r="C21" s="26">
        <v>1933</v>
      </c>
      <c r="D21" s="18" t="s">
        <v>137</v>
      </c>
      <c r="E21" s="26" t="s">
        <v>138</v>
      </c>
      <c r="F21" s="11">
        <v>375235</v>
      </c>
      <c r="G21" s="26" t="s">
        <v>29</v>
      </c>
      <c r="H21" s="26" t="s">
        <v>139</v>
      </c>
      <c r="I21" s="18">
        <f>[20]Main!$C$19</f>
        <v>1375.573444643212</v>
      </c>
      <c r="J21" s="11">
        <f>T21*I21</f>
        <v>349010.49437487574</v>
      </c>
      <c r="K21" s="18">
        <f>[20]Main!$C$21-[20]Main!$C$22</f>
        <v>-179361.89319999999</v>
      </c>
      <c r="L21" s="11">
        <f t="shared" si="5"/>
        <v>528372.38757487573</v>
      </c>
      <c r="M21" s="34">
        <f>[20]DCF!$AP$28</f>
        <v>0.18403064777276446</v>
      </c>
      <c r="N21" s="34">
        <f>[20]DCF!$AP$34</f>
        <v>0.16991347811227653</v>
      </c>
      <c r="O21" s="34">
        <f>[20]DCF!$AP$35</f>
        <v>7.3343493126959369E-2</v>
      </c>
      <c r="P21" s="34">
        <f>[20]DCF!$AP$36</f>
        <v>0.32048257531959945</v>
      </c>
      <c r="Q21" s="34">
        <f>[20]WACC!$C$18</f>
        <v>3.9276503997873018E-2</v>
      </c>
      <c r="R21" s="26"/>
      <c r="S21" s="35"/>
      <c r="T21" s="28" cm="1">
        <f t="array" ref="T21">_FV(B21,"Price")</f>
        <v>253.72</v>
      </c>
      <c r="U21" s="28">
        <f>[20]DCF!$BE$43</f>
        <v>586.48012737999534</v>
      </c>
      <c r="V21" s="13">
        <f t="shared" si="7"/>
        <v>1.3115250172631066</v>
      </c>
    </row>
    <row r="22" spans="2:22" x14ac:dyDescent="0.25">
      <c r="B22" s="21" t="e" vm="20">
        <v>#VALUE!</v>
      </c>
      <c r="C22" s="26">
        <v>1998</v>
      </c>
      <c r="D22" s="18" t="s">
        <v>140</v>
      </c>
      <c r="E22" s="18" t="s">
        <v>141</v>
      </c>
      <c r="F22" s="11">
        <v>182502</v>
      </c>
      <c r="G22" s="26" t="s">
        <v>80</v>
      </c>
      <c r="H22" s="26" t="s">
        <v>142</v>
      </c>
      <c r="I22" s="18">
        <f>[21]Main!$D$5</f>
        <v>12602</v>
      </c>
      <c r="J22" s="11">
        <f>T22*I22</f>
        <v>1898743.3399999999</v>
      </c>
      <c r="K22" s="18">
        <f>[21]Main!$D$7-[21]Main!$D$8</f>
        <v>128671</v>
      </c>
      <c r="L22" s="11">
        <f t="shared" si="5"/>
        <v>1770072.3399999999</v>
      </c>
      <c r="M22" s="34">
        <f>[21]DCF!$AU$19</f>
        <v>8.6827702272695095E-2</v>
      </c>
      <c r="N22" s="34">
        <f>[21]DCF!$AU$26</f>
        <v>0.56625047984020505</v>
      </c>
      <c r="O22" s="34">
        <f>[21]DCF!$AU$27</f>
        <v>0.27421810445226646</v>
      </c>
      <c r="P22" s="34">
        <f>[21]DCF!$AU$28</f>
        <v>0.13908559562280529</v>
      </c>
      <c r="Q22" s="34">
        <f>[21]WACC!$C$18</f>
        <v>8.1008901743441414E-2</v>
      </c>
      <c r="R22" s="42">
        <v>0</v>
      </c>
      <c r="S22" s="35">
        <f t="shared" si="6"/>
        <v>0</v>
      </c>
      <c r="T22" s="28" cm="1">
        <f t="array" ref="T22">_FV(B22,"Price")</f>
        <v>150.66999999999999</v>
      </c>
      <c r="U22" s="28">
        <f>[21]DCF!$BH$24</f>
        <v>87.041639870124285</v>
      </c>
      <c r="V22" s="13">
        <f t="shared" si="7"/>
        <v>-0.42230278177391456</v>
      </c>
    </row>
    <row r="23" spans="2:22" x14ac:dyDescent="0.25">
      <c r="B23" t="e" vm="21">
        <v>#VALUE!</v>
      </c>
      <c r="C23" s="26">
        <v>1930</v>
      </c>
      <c r="D23" s="18" t="s">
        <v>143</v>
      </c>
      <c r="E23" s="18" t="s">
        <v>144</v>
      </c>
      <c r="F23" s="11">
        <v>34000</v>
      </c>
      <c r="G23" s="26" t="s">
        <v>36</v>
      </c>
      <c r="H23" s="26" t="s">
        <v>108</v>
      </c>
      <c r="I23" s="18">
        <f>[22]Main!$C$5</f>
        <v>915</v>
      </c>
      <c r="J23" s="11">
        <f>T23*I23</f>
        <v>153637.65</v>
      </c>
      <c r="K23" s="18">
        <f>[22]Main!$C$7-[22]Main!$C$8</f>
        <v>-2648</v>
      </c>
      <c r="L23" s="11">
        <f t="shared" si="5"/>
        <v>156285.65</v>
      </c>
      <c r="M23" s="34">
        <f>[22]Model!$AV$23</f>
        <v>-0.12527461553824648</v>
      </c>
      <c r="N23" s="34">
        <f>[22]Model!$AV$31</f>
        <v>0.62897425652149097</v>
      </c>
      <c r="O23" s="34">
        <f>[22]Model!$AV$32</f>
        <v>0.41845995776014611</v>
      </c>
      <c r="P23" s="34">
        <f>[22]Model!$AV$33</f>
        <v>0.12240496090590455</v>
      </c>
      <c r="Q23" s="34">
        <f>[22]WACC!$C$18</f>
        <v>7.7239621578546455E-2</v>
      </c>
      <c r="R23" s="28">
        <f>[22]Model!$AV$19</f>
        <v>5.0199999999999996</v>
      </c>
      <c r="S23" s="35">
        <f t="shared" si="6"/>
        <v>2.9896968614138524E-2</v>
      </c>
      <c r="T23" s="28" cm="1">
        <f t="array" ref="T23">_FV(B23,"Price")</f>
        <v>167.91</v>
      </c>
      <c r="U23" s="28">
        <f>[22]Model!$BH$28</f>
        <v>126.13627883623619</v>
      </c>
      <c r="V23" s="13">
        <f t="shared" si="7"/>
        <v>-0.2487863805834305</v>
      </c>
    </row>
    <row r="24" spans="2:22" x14ac:dyDescent="0.25">
      <c r="C24" s="26"/>
      <c r="H24" s="26"/>
      <c r="I24" s="26"/>
    </row>
    <row r="25" spans="2:22" x14ac:dyDescent="0.25">
      <c r="C25" s="26"/>
    </row>
    <row r="30" spans="2:22" x14ac:dyDescent="0.25">
      <c r="C30" s="26"/>
      <c r="D30" s="18"/>
      <c r="E30" s="26"/>
      <c r="F30" s="11"/>
      <c r="G30" s="26"/>
      <c r="H30" s="26"/>
    </row>
  </sheetData>
  <autoFilter ref="B2:V22" xr:uid="{8C57CBD6-140C-4F1E-BA61-90A42EC2B8A9}"/>
  <conditionalFormatting sqref="V3:V23">
    <cfRule type="cellIs" dxfId="1" priority="1" operator="greaterThan">
      <formula>0</formula>
    </cfRule>
    <cfRule type="cellIs" dxfId="0" priority="2" operator="lessThan">
      <formula>0</formula>
    </cfRule>
  </conditionalFormatting>
  <hyperlinks>
    <hyperlink ref="B5" r:id="rId1" display="DBX.xlsx" xr:uid="{9A1EE43E-25FA-4BA1-AB49-BD345A366287}"/>
    <hyperlink ref="B7" r:id="rId2" display="WMT.xlsx" xr:uid="{C31559EE-07FF-4A24-9DE6-BCD342EBDFE7}"/>
    <hyperlink ref="B8" r:id="rId3" display="TGT.xlsx" xr:uid="{B3B49652-3DB5-45A2-B15F-38AF5A57C216}"/>
    <hyperlink ref="B6" r:id="rId4" display="ELY.xlsx" xr:uid="{BEBB2ECC-5EA8-45FB-963D-5D71EFC0299F}"/>
    <hyperlink ref="B4" r:id="rId5" display="LEVI.xlsx" xr:uid="{AB097870-8ADC-4D60-8EFB-6418132E7C49}"/>
    <hyperlink ref="B3" r:id="rId6" display="NKE.xlsx" xr:uid="{F86DDB4F-7790-4995-8470-A4D770DDFF61}"/>
    <hyperlink ref="B9" r:id="rId7" display="SBUX.xlsx" xr:uid="{2A82528C-EE07-42C9-9926-3F17DBBCF741}"/>
    <hyperlink ref="B10" r:id="rId8" display="NFLX.xlsx" xr:uid="{E5AE7209-050B-46CB-95E3-201244BE4240}"/>
    <hyperlink ref="B11" r:id="rId9" display="NVDA.xlsx" xr:uid="{93A03CBE-287E-401B-A222-C275BD2C23B0}"/>
    <hyperlink ref="B12" r:id="rId10" display="PFE.xlsx" xr:uid="{89DFB3F4-D31E-464E-AA81-43D9B611C38A}"/>
    <hyperlink ref="B13" r:id="rId11" display="VTRS.xlsx" xr:uid="{4FEBCDE5-EF8E-4030-BE8D-8514380EB83A}"/>
    <hyperlink ref="B14" r:id="rId12" display="FL.xlsx" xr:uid="{E3D7D438-3B49-425C-916A-7EDDACB91245}"/>
    <hyperlink ref="B16" r:id="rId13" display="BIG.xlsx" xr:uid="{1BE431AE-BA25-43A1-A83B-B85491C1A303}"/>
    <hyperlink ref="B15" r:id="rId14" display="BBY.xlsx" xr:uid="{DA2125A1-2B57-4D2A-97F1-FF3C9F6D4923}"/>
    <hyperlink ref="B17" r:id="rId15" display="AMZN.xlsx" xr:uid="{44E4BD95-3179-4544-BAB5-C940AA8D7BCF}"/>
    <hyperlink ref="B18" r:id="rId16" display="AAPL.xlsx" xr:uid="{F0813E7C-0769-4F03-82E2-470EC83B3577}"/>
    <hyperlink ref="B19" r:id="rId17" display="DUOL.xlsx" xr:uid="{AA72C6E4-304C-46AC-85D8-20B469630921}"/>
    <hyperlink ref="B20" r:id="rId18" display="COTY.xlsx" xr:uid="{BCF85E8D-3A96-41F7-96A9-57C75D61AF99}"/>
    <hyperlink ref="B22" r:id="rId19" display="GOOGL.xlsx" xr:uid="{B14E25EB-BD9A-46E4-A64C-5D732F749CCC}"/>
    <hyperlink ref="B21" r:id="rId20" display="TM.xlsx" xr:uid="{A9C43251-15F2-4E54-83A1-C629C893BBD0}"/>
  </hyperlinks>
  <pageMargins left="0.7" right="0.7" top="0.75" bottom="0.75" header="0.3" footer="0.3"/>
  <pageSetup orientation="portrait" r:id="rId21"/>
  <legacyDrawing r:id="rId2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2161C-EB06-4270-906F-2BDB5CA09CF5}">
  <dimension ref="B2:V4"/>
  <sheetViews>
    <sheetView workbookViewId="0">
      <selection activeCell="A4" sqref="A4"/>
    </sheetView>
  </sheetViews>
  <sheetFormatPr defaultRowHeight="13.8" x14ac:dyDescent="0.25"/>
  <cols>
    <col min="2" max="2" width="26.59765625" bestFit="1" customWidth="1"/>
    <col min="3" max="3" width="12.19921875" customWidth="1"/>
    <col min="4" max="4" width="21.5" bestFit="1" customWidth="1"/>
    <col min="5" max="5" width="24.5" bestFit="1" customWidth="1"/>
    <col min="6" max="6" width="11" bestFit="1" customWidth="1"/>
    <col min="7" max="7" width="20.796875" bestFit="1" customWidth="1"/>
    <col min="8" max="8" width="25.796875" bestFit="1" customWidth="1"/>
  </cols>
  <sheetData>
    <row r="2" spans="2:22" x14ac:dyDescent="0.25">
      <c r="B2" s="8" t="s">
        <v>10</v>
      </c>
      <c r="C2" s="32"/>
      <c r="D2" s="32"/>
      <c r="E2" s="32"/>
      <c r="F2" s="32"/>
      <c r="G2" s="32"/>
      <c r="H2" s="33"/>
    </row>
    <row r="3" spans="2:22" x14ac:dyDescent="0.25">
      <c r="B3" s="21" t="e" cm="1" vm="8">
        <f t="array" ref="B3:V4">_xlfn._xlws.FILTER(All!$B$2:$V$1048576, All!$G$2:$G$1048576="Communication Services")</f>
        <v>#VALUE!</v>
      </c>
      <c r="C3" s="38">
        <v>1997</v>
      </c>
      <c r="D3" s="18" t="str">
        <v>Los Gatos, CA</v>
      </c>
      <c r="E3" s="18" t="str">
        <v>Ted Sarandos &amp; Greg Peters</v>
      </c>
      <c r="F3" s="18">
        <v>13000</v>
      </c>
      <c r="G3" s="18" t="str">
        <v>Communication Services</v>
      </c>
      <c r="H3" s="18" t="str">
        <v>Entertainment</v>
      </c>
      <c r="I3" s="18">
        <v>444.29199999999997</v>
      </c>
      <c r="J3" s="18">
        <v>279566.29807999998</v>
      </c>
      <c r="K3" s="18">
        <v>-7405.3749999999991</v>
      </c>
      <c r="L3" s="18">
        <v>286971.67307999998</v>
      </c>
      <c r="M3" s="18">
        <v>6.45739131769969E-2</v>
      </c>
      <c r="N3" s="18">
        <v>0.39370705238403253</v>
      </c>
      <c r="O3" s="18">
        <v>0.17816647187855345</v>
      </c>
      <c r="P3" s="18">
        <v>0.14665946292208726</v>
      </c>
      <c r="Q3" s="18">
        <v>8.5485106254227783E-2</v>
      </c>
      <c r="R3" s="18">
        <v>0</v>
      </c>
      <c r="S3" s="18">
        <v>0</v>
      </c>
      <c r="T3" s="18">
        <v>629.24</v>
      </c>
      <c r="U3" s="18">
        <v>210.62723063462789</v>
      </c>
      <c r="V3" s="18">
        <v>-0.66526725790695462</v>
      </c>
    </row>
    <row r="4" spans="2:22" x14ac:dyDescent="0.25">
      <c r="B4" t="e" vm="20">
        <v>#VALUE!</v>
      </c>
      <c r="C4" s="38">
        <v>1998</v>
      </c>
      <c r="D4" s="18" t="str">
        <v>Mountain View, California</v>
      </c>
      <c r="E4" s="18" t="str">
        <v>Sundar Pichai</v>
      </c>
      <c r="F4" s="18">
        <v>182502</v>
      </c>
      <c r="G4" s="18" t="str">
        <v>Communication Services</v>
      </c>
      <c r="H4" s="18" t="str">
        <v>Interactive Media and Services</v>
      </c>
      <c r="I4" s="18">
        <v>12602</v>
      </c>
      <c r="J4" s="18">
        <v>1898743.3399999999</v>
      </c>
      <c r="K4" s="18">
        <v>128671</v>
      </c>
      <c r="L4" s="18">
        <v>1770072.3399999999</v>
      </c>
      <c r="M4" s="18">
        <v>8.6827702272695095E-2</v>
      </c>
      <c r="N4" s="18">
        <v>0.56625047984020505</v>
      </c>
      <c r="O4" s="18">
        <v>0.27421810445226646</v>
      </c>
      <c r="P4" s="18">
        <v>0.13908559562280529</v>
      </c>
      <c r="Q4" s="18">
        <v>8.1008901743441414E-2</v>
      </c>
      <c r="R4" s="18">
        <v>0</v>
      </c>
      <c r="S4" s="18">
        <v>0</v>
      </c>
      <c r="T4" s="18">
        <v>150.66999999999999</v>
      </c>
      <c r="U4" s="18">
        <v>87.041639870124285</v>
      </c>
      <c r="V4" s="18">
        <v>-0.42230278177391456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1013D-6197-4478-A967-8EEF762B7998}">
  <dimension ref="B2:V12"/>
  <sheetViews>
    <sheetView workbookViewId="0">
      <selection activeCell="B3" sqref="B3"/>
    </sheetView>
  </sheetViews>
  <sheetFormatPr defaultRowHeight="13.8" x14ac:dyDescent="0.25"/>
  <cols>
    <col min="2" max="2" width="50.5" bestFit="1" customWidth="1"/>
    <col min="3" max="3" width="30.09765625" bestFit="1" customWidth="1"/>
    <col min="4" max="4" width="13" bestFit="1" customWidth="1"/>
    <col min="5" max="5" width="12.09765625" customWidth="1"/>
    <col min="6" max="6" width="12.5" customWidth="1"/>
    <col min="7" max="7" width="20.296875" bestFit="1" customWidth="1"/>
    <col min="8" max="8" width="12.19921875" customWidth="1"/>
  </cols>
  <sheetData>
    <row r="2" spans="2:22" x14ac:dyDescent="0.25">
      <c r="B2" s="8" t="s">
        <v>10</v>
      </c>
      <c r="C2" s="32"/>
      <c r="D2" s="32"/>
      <c r="E2" s="32"/>
      <c r="F2" s="32"/>
      <c r="G2" s="32"/>
      <c r="H2" s="33"/>
    </row>
    <row r="3" spans="2:22" x14ac:dyDescent="0.25">
      <c r="B3" s="19" t="e" cm="1" vm="1">
        <f t="array" ref="B3:V12">_xlfn._xlws.FILTER(All!$B$2:$V$1048576, All!$G$2:$G$1048576="Consumer Discretionary")</f>
        <v>#VALUE!</v>
      </c>
      <c r="C3" s="9">
        <v>1964</v>
      </c>
      <c r="D3" s="17" t="str">
        <v>Beaverton, OR</v>
      </c>
      <c r="E3" s="11" t="str">
        <v>John Donahoe II</v>
      </c>
      <c r="F3" s="11">
        <v>83700</v>
      </c>
      <c r="G3" s="11" t="str">
        <v>Consumer Discretionary</v>
      </c>
      <c r="H3" s="18" t="str">
        <v>Textiles, Apparel and Luxury Goods</v>
      </c>
      <c r="I3">
        <v>1532.1</v>
      </c>
      <c r="J3">
        <v>141841.818</v>
      </c>
      <c r="K3">
        <v>991</v>
      </c>
      <c r="L3">
        <v>140850.818</v>
      </c>
      <c r="M3">
        <v>9.6488974523656568E-2</v>
      </c>
      <c r="N3">
        <v>0.43524610969014194</v>
      </c>
      <c r="O3">
        <v>0.11548899779370131</v>
      </c>
      <c r="P3">
        <v>0.18238993710691823</v>
      </c>
      <c r="Q3">
        <v>7.9122001050125471E-2</v>
      </c>
      <c r="R3">
        <v>1.48</v>
      </c>
      <c r="S3">
        <v>1.5986174119680275E-2</v>
      </c>
      <c r="T3">
        <v>92.58</v>
      </c>
      <c r="U3">
        <v>65.754155843270169</v>
      </c>
      <c r="V3">
        <v>-0.28975852405195324</v>
      </c>
    </row>
    <row r="4" spans="2:22" x14ac:dyDescent="0.25">
      <c r="B4" s="19" t="e" vm="2">
        <v>#VALUE!</v>
      </c>
      <c r="C4" s="9">
        <v>1853</v>
      </c>
      <c r="D4" s="17" t="str">
        <v>San Francisco, CA</v>
      </c>
      <c r="E4" s="11" t="str">
        <v>Michelle Gass</v>
      </c>
      <c r="F4" s="11">
        <v>19100</v>
      </c>
      <c r="G4" s="11" t="str">
        <v>Consumer Discretionary</v>
      </c>
      <c r="H4" s="18" t="str">
        <v>Textiles, Apparel and Luxury Goods</v>
      </c>
      <c r="I4">
        <v>401.58329700000002</v>
      </c>
      <c r="J4">
        <v>7549.7659836000003</v>
      </c>
      <c r="K4">
        <v>-1769.2</v>
      </c>
      <c r="L4">
        <v>9318.965983600001</v>
      </c>
      <c r="M4">
        <v>1.685957915896541E-3</v>
      </c>
      <c r="N4">
        <v>0.56897556238873603</v>
      </c>
      <c r="O4">
        <v>7.1775368182553811E-2</v>
      </c>
      <c r="P4">
        <v>4.4175576814856496E-2</v>
      </c>
      <c r="Q4">
        <v>6.2908523021171267E-2</v>
      </c>
      <c r="R4">
        <v>0.48</v>
      </c>
      <c r="S4">
        <v>2.553191489361702E-2</v>
      </c>
      <c r="T4">
        <v>18.8</v>
      </c>
      <c r="U4">
        <v>17.530246384279053</v>
      </c>
      <c r="V4">
        <v>-6.7540085942603634E-2</v>
      </c>
    </row>
    <row r="5" spans="2:22" x14ac:dyDescent="0.25">
      <c r="B5" s="19" t="e" vm="4">
        <v>#VALUE!</v>
      </c>
      <c r="C5" s="9">
        <v>1982</v>
      </c>
      <c r="D5" s="17" t="str">
        <v>Carlsbad, CA</v>
      </c>
      <c r="E5" s="11" t="str">
        <v>Oliver Brewer III</v>
      </c>
      <c r="F5" s="11">
        <v>32000</v>
      </c>
      <c r="G5" s="11" t="str">
        <v>Consumer Discretionary</v>
      </c>
      <c r="H5" s="18" t="str">
        <v>Leisure Products</v>
      </c>
      <c r="I5">
        <v>201.5</v>
      </c>
      <c r="J5">
        <v>3147.43</v>
      </c>
      <c r="K5">
        <v>-1459.2</v>
      </c>
      <c r="L5">
        <v>4606.63</v>
      </c>
      <c r="M5">
        <v>0.2752023769820815</v>
      </c>
      <c r="N5">
        <v>0.60342368045649075</v>
      </c>
      <c r="O5">
        <v>6.4269089270966223E-2</v>
      </c>
      <c r="P5">
        <v>-0.11275546159267111</v>
      </c>
      <c r="Q5">
        <v>7.3356889927392671E-2</v>
      </c>
      <c r="R5">
        <v>0</v>
      </c>
      <c r="S5">
        <v>0</v>
      </c>
      <c r="T5">
        <v>15.62</v>
      </c>
      <c r="U5">
        <v>5.8416428061448409</v>
      </c>
      <c r="V5">
        <v>-0.62601518526601529</v>
      </c>
    </row>
    <row r="6" spans="2:22" x14ac:dyDescent="0.25">
      <c r="B6" s="21" t="e" vm="7">
        <v>#VALUE!</v>
      </c>
      <c r="C6" s="9">
        <v>1971</v>
      </c>
      <c r="D6" s="17" t="str">
        <v>Seattle, WA</v>
      </c>
      <c r="E6" s="18" t="str">
        <v>Laxman Narasimhan</v>
      </c>
      <c r="F6" s="11">
        <v>381000</v>
      </c>
      <c r="G6" s="18" t="str">
        <v>Consumer Discretionary</v>
      </c>
      <c r="H6" s="18" t="str">
        <v>Hotels, Restaurants and Leisure</v>
      </c>
      <c r="I6">
        <v>1140.5999999999999</v>
      </c>
      <c r="J6">
        <v>103064.61599999999</v>
      </c>
      <c r="K6">
        <v>-10530.9</v>
      </c>
      <c r="L6">
        <v>113595.51599999999</v>
      </c>
      <c r="M6">
        <v>0.11551210376337573</v>
      </c>
      <c r="N6">
        <v>0.68286282925093678</v>
      </c>
      <c r="O6">
        <v>0.19912663027162861</v>
      </c>
      <c r="P6">
        <v>0.19078416728902159</v>
      </c>
      <c r="Q6">
        <v>7.3566822435085402E-2</v>
      </c>
      <c r="R6">
        <v>2.2799999999999998</v>
      </c>
      <c r="S6">
        <v>2.5232403718459494E-2</v>
      </c>
      <c r="T6">
        <v>90.36</v>
      </c>
      <c r="U6">
        <v>77.425202139684458</v>
      </c>
      <c r="V6">
        <v>-0.14314738667901217</v>
      </c>
    </row>
    <row r="7" spans="2:22" x14ac:dyDescent="0.25">
      <c r="B7" s="21" t="e" vm="12">
        <v>#VALUE!</v>
      </c>
      <c r="C7" s="26">
        <v>1879</v>
      </c>
      <c r="D7" s="17" t="str">
        <v>New York, NY</v>
      </c>
      <c r="E7" s="18" t="str">
        <v>Mary Dillon</v>
      </c>
      <c r="F7" s="11">
        <v>15200</v>
      </c>
      <c r="G7" s="18" t="str">
        <v>Consumer Discretionary</v>
      </c>
      <c r="H7" s="18" t="str">
        <v>Specialty Retail</v>
      </c>
      <c r="I7">
        <v>94.4</v>
      </c>
      <c r="J7">
        <v>2536.5280000000002</v>
      </c>
      <c r="K7">
        <v>-150</v>
      </c>
      <c r="L7">
        <v>2686.5280000000002</v>
      </c>
      <c r="M7">
        <v>-2.3211695123312115E-2</v>
      </c>
      <c r="N7">
        <v>0.31966183022963557</v>
      </c>
      <c r="O7">
        <v>0.10225065691762825</v>
      </c>
      <c r="P7">
        <v>0.1965065502183406</v>
      </c>
      <c r="Q7">
        <v>4.1769407639219235E-2</v>
      </c>
      <c r="R7">
        <v>1.6</v>
      </c>
      <c r="S7">
        <v>5.9545962039449202E-2</v>
      </c>
      <c r="T7">
        <v>26.87</v>
      </c>
      <c r="U7">
        <v>99.79887531818369</v>
      </c>
      <c r="V7">
        <v>2.714137525797681</v>
      </c>
    </row>
    <row r="8" spans="2:22" x14ac:dyDescent="0.25">
      <c r="B8" s="21" t="e" vm="13">
        <v>#VALUE!</v>
      </c>
      <c r="C8" s="26">
        <v>1966</v>
      </c>
      <c r="D8" s="17" t="str">
        <v>Richfield, Minnesota</v>
      </c>
      <c r="E8" s="18" t="str">
        <v>Corie Barry</v>
      </c>
      <c r="F8" s="11">
        <v>85000</v>
      </c>
      <c r="G8" s="18" t="str">
        <v>Consumer Discretionary</v>
      </c>
      <c r="H8" s="18" t="str">
        <v>Specialty Retail</v>
      </c>
      <c r="I8">
        <v>218.3</v>
      </c>
      <c r="J8">
        <v>17477.098000000002</v>
      </c>
      <c r="K8">
        <v>-3393</v>
      </c>
      <c r="L8">
        <v>20870.098000000002</v>
      </c>
      <c r="M8">
        <v>-0.10554278317652288</v>
      </c>
      <c r="N8">
        <v>0.21409132143937104</v>
      </c>
      <c r="O8">
        <v>4.1945656399844489E-2</v>
      </c>
      <c r="P8">
        <v>0.19691325172964344</v>
      </c>
      <c r="Q8">
        <v>6.0884162938071605E-2</v>
      </c>
      <c r="R8">
        <v>3.68</v>
      </c>
      <c r="S8">
        <v>4.5965525855608293E-2</v>
      </c>
      <c r="T8">
        <v>80.06</v>
      </c>
      <c r="U8">
        <v>77.398062391903039</v>
      </c>
      <c r="V8">
        <v>-3.3249283138857888E-2</v>
      </c>
    </row>
    <row r="9" spans="2:22" x14ac:dyDescent="0.25">
      <c r="B9" s="21" t="e" vm="14">
        <v>#VALUE!</v>
      </c>
      <c r="C9" s="26">
        <v>1967</v>
      </c>
      <c r="D9" s="17" t="str">
        <v>Columbus, OH</v>
      </c>
      <c r="E9" s="26" t="str">
        <v>Bruce Thorn</v>
      </c>
      <c r="F9" s="11">
        <v>10200</v>
      </c>
      <c r="G9" t="str">
        <v>Consumer Discretionary</v>
      </c>
      <c r="H9" s="18" t="str">
        <v>Broadline Retail</v>
      </c>
      <c r="I9">
        <v>29.3</v>
      </c>
      <c r="J9">
        <v>106.94499999999999</v>
      </c>
      <c r="K9">
        <v>3156</v>
      </c>
      <c r="L9">
        <v>-3049.0549999999998</v>
      </c>
      <c r="M9">
        <v>-0.1109279854349241</v>
      </c>
      <c r="N9">
        <v>0.34992408101268224</v>
      </c>
      <c r="O9">
        <v>-1.9502118471657514E-2</v>
      </c>
      <c r="P9">
        <v>0.36638617478095792</v>
      </c>
      <c r="Q9">
        <v>6.1315001319892676E-2</v>
      </c>
      <c r="R9">
        <v>0</v>
      </c>
      <c r="S9">
        <v>0</v>
      </c>
      <c r="T9">
        <v>3.65</v>
      </c>
      <c r="U9">
        <v>-119.74897291383805</v>
      </c>
      <c r="V9">
        <v>-33.807937784613166</v>
      </c>
    </row>
    <row r="10" spans="2:22" x14ac:dyDescent="0.25">
      <c r="B10" s="21" t="e" vm="15">
        <v>#VALUE!</v>
      </c>
      <c r="C10" s="26">
        <v>1994</v>
      </c>
      <c r="D10" s="17" t="str">
        <v>Seattle, WA</v>
      </c>
      <c r="E10" s="26" t="str">
        <v>Andrew Jassy</v>
      </c>
      <c r="F10" s="11">
        <v>1525000</v>
      </c>
      <c r="G10" t="str">
        <v>Consumer Discretionary</v>
      </c>
      <c r="H10" s="18" t="str">
        <v>Broadline Retail</v>
      </c>
      <c r="I10">
        <v>10308</v>
      </c>
      <c r="J10">
        <v>1837916.4000000001</v>
      </c>
      <c r="K10">
        <v>37750</v>
      </c>
      <c r="L10">
        <v>1800166.4000000001</v>
      </c>
      <c r="M10">
        <v>0.1182957412988368</v>
      </c>
      <c r="N10">
        <v>0.46982088955000567</v>
      </c>
      <c r="O10">
        <v>6.4114407996033296E-2</v>
      </c>
      <c r="P10">
        <v>0.18989802167372261</v>
      </c>
      <c r="Q10">
        <v>6.9881909557268029E-2</v>
      </c>
      <c r="R10">
        <v>0</v>
      </c>
      <c r="S10">
        <v>0</v>
      </c>
      <c r="T10">
        <v>178.3</v>
      </c>
      <c r="U10">
        <v>111.83755001316251</v>
      </c>
      <c r="V10">
        <v>-0.37275630951675542</v>
      </c>
    </row>
    <row r="11" spans="2:22" x14ac:dyDescent="0.25">
      <c r="B11" s="21" t="e" vm="17">
        <v>#VALUE!</v>
      </c>
      <c r="C11" s="26">
        <v>2011</v>
      </c>
      <c r="D11" s="17" t="str">
        <v>Pittsburgh, PA</v>
      </c>
      <c r="E11" s="18" t="str">
        <v>Dr. Luis Alfonso von Ahn</v>
      </c>
      <c r="F11" s="11">
        <v>720</v>
      </c>
      <c r="G11" t="str">
        <v>Consumer Discretionary</v>
      </c>
      <c r="H11" s="18" t="str">
        <v>Diversified Consumer Services</v>
      </c>
      <c r="I11">
        <v>49</v>
      </c>
      <c r="J11">
        <v>10948.56</v>
      </c>
      <c r="K11">
        <v>747.61</v>
      </c>
      <c r="L11">
        <v>10200.949999999999</v>
      </c>
      <c r="M11">
        <v>0.43739157498748304</v>
      </c>
      <c r="N11">
        <v>0.7324372209847696</v>
      </c>
      <c r="O11">
        <v>-2.4964743583708725E-2</v>
      </c>
      <c r="P11">
        <v>9.6191708387241698E-2</v>
      </c>
      <c r="Q11">
        <v>6.2941209427912495E-2</v>
      </c>
      <c r="R11">
        <v>0</v>
      </c>
      <c r="S11">
        <v>0</v>
      </c>
      <c r="T11">
        <v>223.44</v>
      </c>
      <c r="U11">
        <v>179.69406171187131</v>
      </c>
      <c r="V11">
        <v>-0.19578382692502994</v>
      </c>
    </row>
    <row r="12" spans="2:22" x14ac:dyDescent="0.25">
      <c r="B12" s="21" t="e" vm="19">
        <v>#VALUE!</v>
      </c>
      <c r="C12" s="26">
        <v>1933</v>
      </c>
      <c r="D12" s="26" t="str">
        <v>Toyota, Japan</v>
      </c>
      <c r="E12" s="18" t="str">
        <v>Koji Sato</v>
      </c>
      <c r="F12" s="11">
        <v>375235</v>
      </c>
      <c r="G12" s="11" t="str">
        <v>Consumer Discretionary</v>
      </c>
      <c r="H12" t="str">
        <v>Automobiles</v>
      </c>
      <c r="I12">
        <v>1375.573444643212</v>
      </c>
      <c r="J12">
        <v>349010.49437487574</v>
      </c>
      <c r="K12">
        <v>-179361.89319999999</v>
      </c>
      <c r="L12">
        <v>528372.38757487573</v>
      </c>
      <c r="M12">
        <v>0.18403064777276446</v>
      </c>
      <c r="N12">
        <v>0.16991347811227653</v>
      </c>
      <c r="O12">
        <v>7.3343493126959369E-2</v>
      </c>
      <c r="P12">
        <v>0.32048257531959945</v>
      </c>
      <c r="Q12">
        <v>3.9276503997873018E-2</v>
      </c>
      <c r="R12">
        <v>0</v>
      </c>
      <c r="S12">
        <v>0</v>
      </c>
      <c r="T12">
        <v>253.72</v>
      </c>
      <c r="U12">
        <v>586.48012737999534</v>
      </c>
      <c r="V12">
        <v>1.3115250172631066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D891D-9647-40A3-84D5-0F58CFCF2EC9}">
  <dimension ref="B2:V5"/>
  <sheetViews>
    <sheetView workbookViewId="0">
      <selection activeCell="B4" sqref="B4"/>
    </sheetView>
  </sheetViews>
  <sheetFormatPr defaultRowHeight="13.8" x14ac:dyDescent="0.25"/>
  <cols>
    <col min="2" max="2" width="35.8984375" bestFit="1" customWidth="1"/>
    <col min="3" max="3" width="37" bestFit="1" customWidth="1"/>
    <col min="4" max="4" width="13" bestFit="1" customWidth="1"/>
    <col min="6" max="6" width="11" bestFit="1" customWidth="1"/>
    <col min="7" max="7" width="9" bestFit="1" customWidth="1"/>
  </cols>
  <sheetData>
    <row r="2" spans="2:22" x14ac:dyDescent="0.25">
      <c r="B2" s="8" t="s">
        <v>10</v>
      </c>
      <c r="C2" s="32" t="s">
        <v>15</v>
      </c>
      <c r="D2" s="32" t="s">
        <v>25</v>
      </c>
      <c r="E2" s="32" t="s">
        <v>16</v>
      </c>
      <c r="F2" s="32" t="s">
        <v>17</v>
      </c>
      <c r="G2" s="32" t="s">
        <v>18</v>
      </c>
      <c r="H2" s="33" t="s">
        <v>19</v>
      </c>
    </row>
    <row r="3" spans="2:22" x14ac:dyDescent="0.25">
      <c r="B3" s="19" t="e" cm="1" vm="5">
        <f t="array" ref="B3:V5">_xlfn._xlws.FILTER(All!$B$2:$V$1048576, All!$G$2:$G$1048576="Consumer Staples")</f>
        <v>#VALUE!</v>
      </c>
      <c r="C3" s="9" t="str">
        <v>1945</v>
      </c>
      <c r="D3" s="17" t="str">
        <v>Bentonville, AR</v>
      </c>
      <c r="E3" s="40" t="str">
        <v>Douglas McMillon</v>
      </c>
      <c r="F3" s="11">
        <v>2100000</v>
      </c>
      <c r="G3" s="11" t="str">
        <v>Consumer Staples</v>
      </c>
      <c r="H3" s="41" t="str">
        <v>Consumer Staples Distribution &amp; Retail</v>
      </c>
      <c r="I3" s="9">
        <v>2701</v>
      </c>
      <c r="J3">
        <v>163437.50999999998</v>
      </c>
      <c r="K3">
        <v>-30590</v>
      </c>
      <c r="L3">
        <v>194027.50999999998</v>
      </c>
      <c r="M3">
        <v>6.7280193590965709E-2</v>
      </c>
      <c r="N3">
        <v>0.24140463839525986</v>
      </c>
      <c r="O3">
        <v>3.3417908714208827E-2</v>
      </c>
      <c r="P3">
        <v>0.33638928067700985</v>
      </c>
      <c r="Q3">
        <v>4.7269084447106452E-2</v>
      </c>
      <c r="R3">
        <v>0.84</v>
      </c>
      <c r="S3">
        <v>1.3882002974714923E-2</v>
      </c>
      <c r="T3">
        <v>60.51</v>
      </c>
      <c r="U3">
        <v>204.31700834081138</v>
      </c>
      <c r="V3">
        <v>2.3765825209190448</v>
      </c>
    </row>
    <row r="4" spans="2:22" x14ac:dyDescent="0.25">
      <c r="B4" s="20" t="e" vm="6">
        <v>#VALUE!</v>
      </c>
      <c r="C4" s="9" t="str">
        <v>1902</v>
      </c>
      <c r="D4" s="17" t="str">
        <v>Minneapolis, MN</v>
      </c>
      <c r="E4" s="40" t="str">
        <v>Brian Cornell</v>
      </c>
      <c r="F4" s="11">
        <v>415000</v>
      </c>
      <c r="G4" s="11" t="str">
        <v>Consumer Staples</v>
      </c>
      <c r="H4" s="41" t="str">
        <v>Consumer Staples Distribution &amp; Retail</v>
      </c>
      <c r="I4" s="26">
        <v>462.5</v>
      </c>
      <c r="J4">
        <v>79846</v>
      </c>
      <c r="K4">
        <v>-15490</v>
      </c>
      <c r="L4">
        <v>95336</v>
      </c>
      <c r="M4">
        <v>2.9385406348757082E-2</v>
      </c>
      <c r="N4">
        <v>0.24643511730205278</v>
      </c>
      <c r="O4">
        <v>5.7120601173020528E-2</v>
      </c>
      <c r="P4">
        <v>0.1099431328623126</v>
      </c>
      <c r="Q4">
        <v>5.2633868912505821E-2</v>
      </c>
      <c r="R4">
        <v>4.4000000000000004</v>
      </c>
      <c r="S4">
        <v>2.5486561631139947E-2</v>
      </c>
      <c r="T4">
        <v>172.64</v>
      </c>
      <c r="U4">
        <v>256.04483672436879</v>
      </c>
      <c r="V4">
        <v>0.48311420716154307</v>
      </c>
    </row>
    <row r="5" spans="2:22" x14ac:dyDescent="0.25">
      <c r="B5" s="21" t="e" vm="18">
        <v>#VALUE!</v>
      </c>
      <c r="C5" s="26">
        <v>1904</v>
      </c>
      <c r="D5" s="17" t="str">
        <v>New York, NY</v>
      </c>
      <c r="E5" s="11" t="str">
        <v>Sue Nabi</v>
      </c>
      <c r="F5" s="11">
        <v>11350</v>
      </c>
      <c r="G5" s="11" t="str">
        <v>Consumer Staples</v>
      </c>
      <c r="H5" s="39" t="str">
        <v>Personal Care Products</v>
      </c>
      <c r="I5">
        <v>922.8</v>
      </c>
      <c r="J5">
        <v>10750.619999999999</v>
      </c>
      <c r="K5">
        <v>-3241.8</v>
      </c>
      <c r="L5">
        <v>13992.419999999998</v>
      </c>
      <c r="M5">
        <v>4.7074127139733024E-2</v>
      </c>
      <c r="N5">
        <v>0.6386813345096416</v>
      </c>
      <c r="O5">
        <v>0.13125438864982633</v>
      </c>
      <c r="P5">
        <v>0.20402201999775299</v>
      </c>
      <c r="Q5">
        <v>8.3341765758214809E-2</v>
      </c>
      <c r="R5">
        <v>0</v>
      </c>
      <c r="S5">
        <v>0</v>
      </c>
      <c r="T5">
        <v>11.65</v>
      </c>
      <c r="U5">
        <v>9.4495128429675077</v>
      </c>
      <c r="V5">
        <v>-0.18888301777102945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52939-D0BE-4CCC-9D25-FC7F57DBC1F1}">
  <dimension ref="B2:H3"/>
  <sheetViews>
    <sheetView workbookViewId="0">
      <selection activeCell="B3" sqref="B3"/>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row r="3" spans="2:8" x14ac:dyDescent="0.25">
      <c r="B3" s="19" t="e" cm="1" vm="22">
        <f t="array" ref="B3">_xlfn._xlws.FILTER(All!$B$2:$V$1048576, All!$G$2:$G$1048576="Energy")</f>
        <v>#VALUE!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6EFA0-072E-4407-BC87-9A231BF876CF}">
  <dimension ref="B2:H3"/>
  <sheetViews>
    <sheetView workbookViewId="0">
      <selection activeCell="J26" sqref="J26"/>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row r="3" spans="2:8" x14ac:dyDescent="0.25">
      <c r="B3" s="21" t="e" cm="1" vm="22">
        <f t="array" ref="B3">_xlfn._xlws.FILTER(All!$B$2:$V$1048576, All!$G$2:$G$1048576="Financial Services")</f>
        <v>#VALUE!</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92CC0-09FC-4C10-9A80-8470DFF3838E}">
  <dimension ref="B2:V4"/>
  <sheetViews>
    <sheetView workbookViewId="0">
      <selection activeCell="B3" sqref="B3"/>
    </sheetView>
  </sheetViews>
  <sheetFormatPr defaultRowHeight="13.8" x14ac:dyDescent="0.25"/>
  <cols>
    <col min="2" max="2" width="26" bestFit="1" customWidth="1"/>
    <col min="3" max="3" width="14.69921875" bestFit="1" customWidth="1"/>
    <col min="4" max="4" width="13" bestFit="1" customWidth="1"/>
    <col min="6" max="6" width="11" bestFit="1" customWidth="1"/>
  </cols>
  <sheetData>
    <row r="2" spans="2:22" x14ac:dyDescent="0.25">
      <c r="B2" s="8" t="s">
        <v>10</v>
      </c>
      <c r="C2" s="32" t="s">
        <v>15</v>
      </c>
      <c r="D2" s="32" t="s">
        <v>25</v>
      </c>
      <c r="E2" s="32" t="s">
        <v>16</v>
      </c>
      <c r="F2" s="32" t="s">
        <v>17</v>
      </c>
      <c r="G2" s="32" t="s">
        <v>18</v>
      </c>
      <c r="H2" s="33" t="s">
        <v>19</v>
      </c>
    </row>
    <row r="3" spans="2:22" x14ac:dyDescent="0.25">
      <c r="B3" s="21" t="e" cm="1" vm="10">
        <f t="array" ref="B3:V4">_xlfn._xlws.FILTER(All!$B$2:$V$1048576, All!$G$2:$G$1048576="Health Care")</f>
        <v>#VALUE!</v>
      </c>
      <c r="C3" s="18">
        <v>1849</v>
      </c>
      <c r="D3" t="str">
        <v>New York, NY</v>
      </c>
      <c r="E3" t="str">
        <v>Dr. Albert Bourla</v>
      </c>
      <c r="F3">
        <v>88000</v>
      </c>
      <c r="G3" t="str">
        <v>Health Care</v>
      </c>
      <c r="H3" t="str">
        <v>Pharmaceuticals</v>
      </c>
      <c r="I3">
        <v>5727</v>
      </c>
      <c r="J3">
        <v>158007.93</v>
      </c>
      <c r="K3">
        <v>-15920</v>
      </c>
      <c r="L3">
        <v>173927.93</v>
      </c>
      <c r="M3">
        <v>0.23426582029327814</v>
      </c>
      <c r="N3">
        <v>0.65770300305987184</v>
      </c>
      <c r="O3">
        <v>0.3980026113564103</v>
      </c>
      <c r="P3">
        <v>8.3797054009819974E-2</v>
      </c>
      <c r="Q3">
        <v>4.6045983502813831E-2</v>
      </c>
      <c r="R3">
        <v>1.68</v>
      </c>
      <c r="S3">
        <v>6.0891627401232329E-2</v>
      </c>
      <c r="T3">
        <v>27.59</v>
      </c>
      <c r="U3">
        <v>98.220736355377696</v>
      </c>
      <c r="V3">
        <v>2.5600121912061504</v>
      </c>
    </row>
    <row r="4" spans="2:22" x14ac:dyDescent="0.25">
      <c r="B4" s="21" t="e" vm="11">
        <v>#VALUE!</v>
      </c>
      <c r="C4" s="18">
        <v>1961</v>
      </c>
      <c r="D4" t="str">
        <v>Canonsburg, PA</v>
      </c>
      <c r="E4" t="str">
        <v>Scott Smith</v>
      </c>
      <c r="F4">
        <v>38000</v>
      </c>
      <c r="G4" t="str">
        <v>Health Care</v>
      </c>
      <c r="H4" t="str">
        <v>Pharmaceuticals</v>
      </c>
      <c r="I4">
        <v>94.4</v>
      </c>
      <c r="J4">
        <v>1095.04</v>
      </c>
      <c r="K4">
        <v>-150</v>
      </c>
      <c r="L4">
        <v>1245.04</v>
      </c>
      <c r="M4">
        <v>-2.3211695123312115E-2</v>
      </c>
      <c r="N4">
        <v>0.31966183022963557</v>
      </c>
      <c r="O4">
        <v>0.10225065691762825</v>
      </c>
      <c r="P4">
        <v>0.1965065502183406</v>
      </c>
      <c r="Q4">
        <v>4.1769407639219235E-2</v>
      </c>
      <c r="R4">
        <v>0.48</v>
      </c>
      <c r="S4">
        <v>4.1379310344827586E-2</v>
      </c>
      <c r="T4">
        <v>11.6</v>
      </c>
      <c r="U4">
        <v>7.0498590471111235</v>
      </c>
      <c r="V4">
        <v>-0.39225353042145483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AF246-CBE5-44B3-96A8-132D2AEC986E}">
  <dimension ref="B2:H3"/>
  <sheetViews>
    <sheetView workbookViewId="0">
      <selection activeCell="B3" sqref="B3"/>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row r="3" spans="2:8" x14ac:dyDescent="0.25">
      <c r="B3" s="21" t="e" cm="1" vm="22">
        <f t="array" ref="B3">_xlfn._xlws.FILTER(All!$B$2:$V$1048576, All!$G$2:$G$1048576="Industrials")</f>
        <v>#VALUE!</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90BC4-E965-4DE2-A39D-51F6BEEC192F}">
  <dimension ref="B2:H3"/>
  <sheetViews>
    <sheetView workbookViewId="0">
      <selection activeCell="B3" sqref="B3"/>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row r="3" spans="2:8" x14ac:dyDescent="0.25">
      <c r="B3" s="21" t="e" cm="1" vm="22">
        <f t="array" ref="B3">_xlfn._xlws.FILTER(All!$B$2:$V$1048576, All!$G$2:$G$1048576="Materials")</f>
        <v>#VALUE!</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6481B-FD1F-4315-92D6-35E78A2AFF96}">
  <dimension ref="B2:H3"/>
  <sheetViews>
    <sheetView workbookViewId="0">
      <selection activeCell="B3" sqref="B3"/>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row r="3" spans="2:8" x14ac:dyDescent="0.25">
      <c r="B3" s="21" t="e" cm="1" vm="22">
        <f t="array" ref="B3">_xlfn._xlws.FILTER(All!$B$2:$V$1048576, All!$G$2:$G$1048576="Real Estate")</f>
        <v>#VALUE!</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06BBC-4AD0-45B5-9DAC-428FB9D1FF41}">
  <dimension ref="B2:V6"/>
  <sheetViews>
    <sheetView workbookViewId="0">
      <selection activeCell="B3" sqref="B3"/>
    </sheetView>
  </sheetViews>
  <sheetFormatPr defaultRowHeight="13.8" x14ac:dyDescent="0.25"/>
  <cols>
    <col min="2" max="2" width="42.3984375" bestFit="1" customWidth="1"/>
    <col min="3" max="3" width="40.69921875" bestFit="1" customWidth="1"/>
    <col min="4" max="4" width="13" bestFit="1" customWidth="1"/>
    <col min="5" max="6" width="11" bestFit="1" customWidth="1"/>
    <col min="7" max="7" width="9.796875" customWidth="1"/>
    <col min="8" max="8" width="9.59765625" customWidth="1"/>
  </cols>
  <sheetData>
    <row r="2" spans="2:22" x14ac:dyDescent="0.25">
      <c r="B2" s="8" t="s">
        <v>10</v>
      </c>
      <c r="C2" s="32" t="s">
        <v>15</v>
      </c>
      <c r="D2" s="32" t="s">
        <v>25</v>
      </c>
      <c r="E2" s="32" t="s">
        <v>16</v>
      </c>
      <c r="F2" s="32" t="s">
        <v>17</v>
      </c>
      <c r="G2" s="32" t="s">
        <v>18</v>
      </c>
      <c r="H2" s="33" t="s">
        <v>19</v>
      </c>
    </row>
    <row r="3" spans="2:22" x14ac:dyDescent="0.25">
      <c r="B3" s="21" t="e" cm="1" vm="3">
        <f t="array" ref="B3:V6">_xlfn._xlws.FILTER(All!$B$2:$V$1048576, All!$G$2:$G$1048576="Information Technology")</f>
        <v>#VALUE!</v>
      </c>
      <c r="C3" s="9" t="str">
        <v>2007</v>
      </c>
      <c r="D3" s="32" t="str">
        <v>San Francisco, CA</v>
      </c>
      <c r="E3" s="32" t="str">
        <v>Andrew Houston</v>
      </c>
      <c r="F3" s="33">
        <v>2693</v>
      </c>
      <c r="G3" t="str">
        <v>Information Technology</v>
      </c>
      <c r="H3" t="str">
        <v>Software</v>
      </c>
      <c r="I3">
        <v>348.8</v>
      </c>
      <c r="J3">
        <v>8528.16</v>
      </c>
      <c r="K3">
        <v>-1025.3000000000002</v>
      </c>
      <c r="L3">
        <v>9553.4599999999991</v>
      </c>
      <c r="M3">
        <v>7.7390055146206782E-2</v>
      </c>
      <c r="N3">
        <v>0.80893801883951988</v>
      </c>
      <c r="O3">
        <v>0.15333992859907947</v>
      </c>
      <c r="P3">
        <v>-0.97988583854308287</v>
      </c>
      <c r="Q3">
        <v>5.1466680590457232E-2</v>
      </c>
      <c r="R3">
        <v>0</v>
      </c>
      <c r="S3">
        <v>0</v>
      </c>
      <c r="T3">
        <v>24.45</v>
      </c>
      <c r="U3">
        <v>22.91548481095889</v>
      </c>
      <c r="V3">
        <v>-6.2761357424994224E-2</v>
      </c>
    </row>
    <row r="4" spans="2:22" x14ac:dyDescent="0.25">
      <c r="B4" s="21" t="e" vm="9">
        <v>#VALUE!</v>
      </c>
      <c r="C4" s="18">
        <v>1993</v>
      </c>
      <c r="D4" s="10" t="str">
        <v>Santa Clara, CA</v>
      </c>
      <c r="E4" s="10" t="str">
        <v>Jen-Hsun Huang</v>
      </c>
      <c r="F4" s="11">
        <v>29600</v>
      </c>
      <c r="G4" s="10" t="str">
        <v>Information Technology</v>
      </c>
      <c r="H4" t="str">
        <v>Semiconductors and Semiconductor Equipment</v>
      </c>
      <c r="I4">
        <v>2477</v>
      </c>
      <c r="J4">
        <v>2292735.9700000002</v>
      </c>
      <c r="K4">
        <v>2343</v>
      </c>
      <c r="L4">
        <v>2290392.9700000002</v>
      </c>
      <c r="M4">
        <v>2.2293230289069932E-3</v>
      </c>
      <c r="N4">
        <v>0.56928894490991322</v>
      </c>
      <c r="O4">
        <v>0.20679172536516646</v>
      </c>
      <c r="P4">
        <v>-3.3604336043360432E-2</v>
      </c>
      <c r="Q4">
        <v>7.4473901113322444E-2</v>
      </c>
      <c r="R4">
        <v>0.16</v>
      </c>
      <c r="S4">
        <v>1.7285897948379989E-4</v>
      </c>
      <c r="T4">
        <v>925.61</v>
      </c>
      <c r="U4">
        <v>81.506807987771182</v>
      </c>
      <c r="V4">
        <v>-0.91194260218907408</v>
      </c>
    </row>
    <row r="5" spans="2:22" x14ac:dyDescent="0.25">
      <c r="B5" s="21" t="e" vm="16">
        <v>#VALUE!</v>
      </c>
      <c r="C5" s="26">
        <v>1976</v>
      </c>
      <c r="D5" s="26" t="str">
        <v>Cupertino, CA</v>
      </c>
      <c r="E5" s="18" t="str">
        <v>Tim Cook</v>
      </c>
      <c r="F5" s="11">
        <v>161000</v>
      </c>
      <c r="G5" s="10" t="str">
        <v>Information Technology</v>
      </c>
      <c r="H5" t="str">
        <v>Technology, Hardware, Storage and Peripherals</v>
      </c>
      <c r="I5">
        <v>15576.641</v>
      </c>
      <c r="J5">
        <v>2643511.7441099999</v>
      </c>
      <c r="K5">
        <v>-34940</v>
      </c>
      <c r="L5">
        <v>2678451.7441099999</v>
      </c>
      <c r="M5">
        <v>-2.800460530319937E-2</v>
      </c>
      <c r="N5">
        <v>0.44131129577207562</v>
      </c>
      <c r="O5">
        <v>0.29821412265024722</v>
      </c>
      <c r="P5">
        <v>0.14719174228036858</v>
      </c>
      <c r="Q5">
        <v>8.8789900307742461E-2</v>
      </c>
      <c r="R5">
        <v>0.96</v>
      </c>
      <c r="S5">
        <v>5.6567085027399676E-3</v>
      </c>
      <c r="T5">
        <v>169.71</v>
      </c>
      <c r="U5">
        <v>82.423427496181077</v>
      </c>
      <c r="V5">
        <v>-0.51432780922643873</v>
      </c>
    </row>
    <row r="6" spans="2:22" x14ac:dyDescent="0.25">
      <c r="B6" t="e" vm="21">
        <v>#VALUE!</v>
      </c>
      <c r="C6" s="26">
        <v>1930</v>
      </c>
      <c r="D6" s="18" t="str">
        <v>Dallas, TX</v>
      </c>
      <c r="E6" s="18" t="str">
        <v>Haviv Ilan</v>
      </c>
      <c r="F6" s="11">
        <v>34000</v>
      </c>
      <c r="G6" s="18" t="str">
        <v>Information Technology</v>
      </c>
      <c r="H6" t="str">
        <v>Semiconductors and Semiconductor Equipment</v>
      </c>
      <c r="I6">
        <v>915</v>
      </c>
      <c r="J6">
        <v>153637.65</v>
      </c>
      <c r="K6">
        <v>-2648</v>
      </c>
      <c r="L6">
        <v>156285.65</v>
      </c>
      <c r="M6">
        <v>-0.12527461553824648</v>
      </c>
      <c r="N6">
        <v>0.62897425652149097</v>
      </c>
      <c r="O6">
        <v>0.41845995776014611</v>
      </c>
      <c r="P6">
        <v>0.12240496090590455</v>
      </c>
      <c r="Q6">
        <v>7.7239621578546455E-2</v>
      </c>
      <c r="R6">
        <v>5.0199999999999996</v>
      </c>
      <c r="S6">
        <v>2.9896968614138524E-2</v>
      </c>
      <c r="T6">
        <v>167.91</v>
      </c>
      <c r="U6">
        <v>126.13627883623619</v>
      </c>
      <c r="V6">
        <v>-0.2487863805834305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3E4ED-422C-4C75-82FF-360B07D250CF}">
  <dimension ref="B2:H3"/>
  <sheetViews>
    <sheetView workbookViewId="0">
      <selection activeCell="B3" sqref="B3"/>
    </sheetView>
  </sheetViews>
  <sheetFormatPr defaultRowHeight="13.8" x14ac:dyDescent="0.25"/>
  <cols>
    <col min="2" max="2" width="9.296875" bestFit="1" customWidth="1"/>
    <col min="4" max="4" width="13" bestFit="1" customWidth="1"/>
    <col min="6" max="6" width="11" bestFit="1" customWidth="1"/>
    <col min="7" max="7" width="9" bestFit="1" customWidth="1"/>
  </cols>
  <sheetData>
    <row r="2" spans="2:8" x14ac:dyDescent="0.25">
      <c r="B2" s="8" t="s">
        <v>10</v>
      </c>
      <c r="C2" s="32" t="s">
        <v>15</v>
      </c>
      <c r="D2" s="32" t="s">
        <v>25</v>
      </c>
      <c r="E2" s="32" t="s">
        <v>16</v>
      </c>
      <c r="F2" s="32" t="s">
        <v>17</v>
      </c>
      <c r="G2" s="32" t="s">
        <v>18</v>
      </c>
      <c r="H2" s="33" t="s">
        <v>19</v>
      </c>
    </row>
    <row r="3" spans="2:8" x14ac:dyDescent="0.25">
      <c r="B3" s="21" t="e" cm="1" vm="22">
        <f t="array" ref="B3">_xlfn._xlws.FILTER(All!$B$2:$V$1048576, All!$G$2:$G$1048576="Utilities")</f>
        <v>#VALUE!</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C5E6F-210E-42F0-986D-D18F45A17348}">
  <dimension ref="B2:H25"/>
  <sheetViews>
    <sheetView workbookViewId="0">
      <selection activeCell="F22" sqref="F22"/>
    </sheetView>
  </sheetViews>
  <sheetFormatPr defaultRowHeight="13.8" x14ac:dyDescent="0.25"/>
  <cols>
    <col min="2" max="2" width="26.69921875" bestFit="1" customWidth="1"/>
    <col min="3" max="3" width="10.19921875" bestFit="1" customWidth="1"/>
    <col min="5" max="5" width="14.5" bestFit="1" customWidth="1"/>
  </cols>
  <sheetData>
    <row r="2" spans="2:5" x14ac:dyDescent="0.25">
      <c r="B2" t="s">
        <v>48</v>
      </c>
      <c r="E2" t="s">
        <v>61</v>
      </c>
    </row>
    <row r="3" spans="2:5" x14ac:dyDescent="0.25">
      <c r="B3" t="s">
        <v>49</v>
      </c>
      <c r="E3" t="s">
        <v>67</v>
      </c>
    </row>
    <row r="4" spans="2:5" x14ac:dyDescent="0.25">
      <c r="B4" t="s">
        <v>65</v>
      </c>
      <c r="C4" s="30" t="s">
        <v>66</v>
      </c>
      <c r="E4" s="31" t="s">
        <v>60</v>
      </c>
    </row>
    <row r="5" spans="2:5" x14ac:dyDescent="0.25">
      <c r="B5" t="s">
        <v>50</v>
      </c>
      <c r="C5" t="s">
        <v>64</v>
      </c>
      <c r="E5" t="s">
        <v>62</v>
      </c>
    </row>
    <row r="6" spans="2:5" x14ac:dyDescent="0.25">
      <c r="B6" t="s">
        <v>51</v>
      </c>
      <c r="C6" t="s">
        <v>52</v>
      </c>
      <c r="E6" t="s">
        <v>63</v>
      </c>
    </row>
    <row r="7" spans="2:5" x14ac:dyDescent="0.25">
      <c r="B7" t="s">
        <v>53</v>
      </c>
      <c r="C7" t="s">
        <v>54</v>
      </c>
      <c r="E7" t="s">
        <v>68</v>
      </c>
    </row>
    <row r="8" spans="2:5" x14ac:dyDescent="0.25">
      <c r="B8" t="s">
        <v>55</v>
      </c>
      <c r="C8" t="s">
        <v>56</v>
      </c>
      <c r="E8" s="31" t="s">
        <v>69</v>
      </c>
    </row>
    <row r="9" spans="2:5" x14ac:dyDescent="0.25">
      <c r="B9" t="s">
        <v>58</v>
      </c>
      <c r="C9" t="s">
        <v>57</v>
      </c>
      <c r="E9" t="s">
        <v>70</v>
      </c>
    </row>
    <row r="10" spans="2:5" x14ac:dyDescent="0.25">
      <c r="B10" t="s">
        <v>59</v>
      </c>
      <c r="C10" t="s">
        <v>56</v>
      </c>
      <c r="E10" t="s">
        <v>71</v>
      </c>
    </row>
    <row r="11" spans="2:5" x14ac:dyDescent="0.25">
      <c r="E11" s="31" t="s">
        <v>72</v>
      </c>
    </row>
    <row r="12" spans="2:5" x14ac:dyDescent="0.25">
      <c r="E12" t="s">
        <v>73</v>
      </c>
    </row>
    <row r="14" spans="2:5" x14ac:dyDescent="0.25">
      <c r="B14" s="36"/>
      <c r="C14" s="36"/>
      <c r="D14" s="36"/>
      <c r="E14" s="36"/>
    </row>
    <row r="16" spans="2:5" x14ac:dyDescent="0.25">
      <c r="B16" t="s">
        <v>115</v>
      </c>
    </row>
    <row r="17" spans="2:8" x14ac:dyDescent="0.25">
      <c r="B17" t="s">
        <v>116</v>
      </c>
      <c r="E17" t="s">
        <v>126</v>
      </c>
    </row>
    <row r="18" spans="2:8" x14ac:dyDescent="0.25">
      <c r="B18" t="s">
        <v>117</v>
      </c>
      <c r="C18" s="30" t="s">
        <v>66</v>
      </c>
      <c r="E18" t="s">
        <v>129</v>
      </c>
    </row>
    <row r="19" spans="2:8" x14ac:dyDescent="0.25">
      <c r="B19" t="s">
        <v>118</v>
      </c>
      <c r="C19" t="s">
        <v>119</v>
      </c>
      <c r="E19" t="s">
        <v>130</v>
      </c>
    </row>
    <row r="20" spans="2:8" x14ac:dyDescent="0.25">
      <c r="B20" t="s">
        <v>53</v>
      </c>
      <c r="C20" t="s">
        <v>124</v>
      </c>
      <c r="E20" t="s">
        <v>131</v>
      </c>
    </row>
    <row r="21" spans="2:8" x14ac:dyDescent="0.25">
      <c r="B21" t="s">
        <v>120</v>
      </c>
      <c r="C21" t="s">
        <v>124</v>
      </c>
      <c r="E21" s="31" t="s">
        <v>132</v>
      </c>
      <c r="F21" s="21" t="s">
        <v>135</v>
      </c>
    </row>
    <row r="22" spans="2:8" x14ac:dyDescent="0.25">
      <c r="B22" t="s">
        <v>121</v>
      </c>
      <c r="C22" t="s">
        <v>125</v>
      </c>
      <c r="E22" t="s">
        <v>133</v>
      </c>
    </row>
    <row r="23" spans="2:8" x14ac:dyDescent="0.25">
      <c r="B23" t="s">
        <v>127</v>
      </c>
      <c r="C23" t="s">
        <v>128</v>
      </c>
      <c r="E23" t="s">
        <v>134</v>
      </c>
    </row>
    <row r="24" spans="2:8" x14ac:dyDescent="0.25">
      <c r="B24" t="s">
        <v>122</v>
      </c>
      <c r="C24" t="s">
        <v>123</v>
      </c>
    </row>
    <row r="25" spans="2:8" x14ac:dyDescent="0.25">
      <c r="H25" t="s">
        <v>136</v>
      </c>
    </row>
  </sheetData>
  <hyperlinks>
    <hyperlink ref="F21" r:id="rId1" xr:uid="{4EF3F599-E211-41D5-A9FD-A40830F3DD1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T-Bond Yields</vt:lpstr>
      <vt:lpstr>All</vt:lpstr>
      <vt:lpstr>Communication</vt:lpstr>
      <vt:lpstr>Discretionary</vt:lpstr>
      <vt:lpstr>Staples</vt:lpstr>
      <vt:lpstr>Energy</vt:lpstr>
      <vt:lpstr>Financials</vt:lpstr>
      <vt:lpstr>Health Care</vt:lpstr>
      <vt:lpstr>Industrials</vt:lpstr>
      <vt:lpstr>Materials</vt:lpstr>
      <vt:lpstr>Real Estate</vt:lpstr>
      <vt:lpstr>Tech</vt:lpstr>
      <vt:lpstr>Utilities</vt:lpstr>
      <vt:lpstr>Screens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Bill Sheldon</cp:lastModifiedBy>
  <cp:lastPrinted>2024-03-03T17:27:34Z</cp:lastPrinted>
  <dcterms:created xsi:type="dcterms:W3CDTF">2022-07-25T02:43:33Z</dcterms:created>
  <dcterms:modified xsi:type="dcterms:W3CDTF">2024-03-27T01:55:34Z</dcterms:modified>
</cp:coreProperties>
</file>