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lshe\Documents\Models\"/>
    </mc:Choice>
  </mc:AlternateContent>
  <xr:revisionPtr revIDLastSave="0" documentId="13_ncr:1_{9D966624-B55B-4AC0-968F-91D5F3A9C340}" xr6:coauthVersionLast="47" xr6:coauthVersionMax="47" xr10:uidLastSave="{00000000-0000-0000-0000-000000000000}"/>
  <bookViews>
    <workbookView xWindow="-28920" yWindow="-120" windowWidth="29040" windowHeight="15720" activeTab="1" xr2:uid="{EFAEBAA7-241B-4E12-A8FE-0504893F4149}"/>
  </bookViews>
  <sheets>
    <sheet name="Main" sheetId="1" r:id="rId1"/>
    <sheet name="Model" sheetId="2" r:id="rId2"/>
    <sheet name="WACC" sheetId="3" r:id="rId3"/>
    <sheet name="Graphics" sheetId="4" r:id="rId4"/>
  </sheets>
  <externalReferences>
    <externalReference r:id="rId5"/>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Q5" i="2" l="1"/>
  <c r="C13" i="3"/>
  <c r="C9" i="3" l="1"/>
  <c r="C8" i="1"/>
  <c r="C7" i="1"/>
  <c r="AQ12" i="2"/>
  <c r="AP5" i="2"/>
  <c r="AO5" i="2"/>
  <c r="AO7" i="2" s="1"/>
  <c r="AO18" i="2"/>
  <c r="AN8" i="2"/>
  <c r="AO12" i="2"/>
  <c r="AP12" i="2"/>
  <c r="AO14" i="2"/>
  <c r="AP14" i="2"/>
  <c r="AQ14" i="2"/>
  <c r="AM8" i="2"/>
  <c r="AN6" i="2"/>
  <c r="AM6" i="2"/>
  <c r="AL6" i="2"/>
  <c r="AN5" i="2"/>
  <c r="AM5" i="2"/>
  <c r="AN17" i="2"/>
  <c r="AM17" i="2"/>
  <c r="AL17" i="2"/>
  <c r="AL12" i="2" s="1"/>
  <c r="AM12" i="2" s="1"/>
  <c r="AD17" i="2"/>
  <c r="AD19" i="2"/>
  <c r="AD41" i="2" s="1"/>
  <c r="AC17" i="2"/>
  <c r="AC33" i="2"/>
  <c r="AB17" i="2"/>
  <c r="T25" i="2"/>
  <c r="X25" i="2"/>
  <c r="U25" i="2"/>
  <c r="X19" i="2"/>
  <c r="Y25" i="2"/>
  <c r="AA57" i="2"/>
  <c r="AA53" i="2"/>
  <c r="AA47" i="2"/>
  <c r="AA25" i="2"/>
  <c r="Y12" i="2"/>
  <c r="Y13" i="2"/>
  <c r="X13" i="2"/>
  <c r="Z14" i="2"/>
  <c r="Y14" i="2"/>
  <c r="AA13" i="2"/>
  <c r="Z13" i="2"/>
  <c r="AA12" i="2"/>
  <c r="AA14" i="2" s="1"/>
  <c r="Z12" i="2"/>
  <c r="X12" i="2"/>
  <c r="X14" i="2" s="1"/>
  <c r="AA8" i="2"/>
  <c r="Z8" i="2"/>
  <c r="Y8" i="2"/>
  <c r="X8" i="2"/>
  <c r="V57" i="2"/>
  <c r="V46" i="2" s="1"/>
  <c r="V53" i="2"/>
  <c r="Z53" i="2"/>
  <c r="Z47" i="2"/>
  <c r="Z52" i="2" s="1"/>
  <c r="R46" i="2"/>
  <c r="S46" i="2"/>
  <c r="T46" i="2"/>
  <c r="U46" i="2"/>
  <c r="W46" i="2"/>
  <c r="X46" i="2"/>
  <c r="R52" i="2"/>
  <c r="S52" i="2"/>
  <c r="T52" i="2"/>
  <c r="U52" i="2"/>
  <c r="V52" i="2"/>
  <c r="W52" i="2"/>
  <c r="X52" i="2"/>
  <c r="Y52" i="2"/>
  <c r="AA52" i="2"/>
  <c r="W59" i="2"/>
  <c r="W61" i="2" s="1"/>
  <c r="Y46" i="2"/>
  <c r="AA46" i="2"/>
  <c r="R59" i="2"/>
  <c r="R61" i="2" s="1"/>
  <c r="S59" i="2"/>
  <c r="S61" i="2" s="1"/>
  <c r="T59" i="2"/>
  <c r="T61" i="2" s="1"/>
  <c r="U59" i="2"/>
  <c r="U61" i="2" s="1"/>
  <c r="X59" i="2"/>
  <c r="X61" i="2" s="1"/>
  <c r="Z43" i="2"/>
  <c r="Z42" i="2"/>
  <c r="X42" i="2"/>
  <c r="Z41" i="2"/>
  <c r="X41" i="2"/>
  <c r="Z40" i="2"/>
  <c r="AD39" i="2"/>
  <c r="AC39" i="2"/>
  <c r="AB39" i="2"/>
  <c r="AA39" i="2"/>
  <c r="Z39" i="2"/>
  <c r="Y39" i="2"/>
  <c r="X39" i="2"/>
  <c r="Z38" i="2"/>
  <c r="AD37" i="2"/>
  <c r="AC37" i="2"/>
  <c r="AB37" i="2"/>
  <c r="AA37" i="2"/>
  <c r="Z37" i="2"/>
  <c r="Y37" i="2"/>
  <c r="X37" i="2"/>
  <c r="AD36" i="2"/>
  <c r="AC36" i="2"/>
  <c r="AB36" i="2"/>
  <c r="AA36" i="2"/>
  <c r="Z36" i="2"/>
  <c r="Y36" i="2"/>
  <c r="X36" i="2"/>
  <c r="AD35" i="2"/>
  <c r="AC35" i="2"/>
  <c r="AB35" i="2"/>
  <c r="AA35" i="2"/>
  <c r="Z35" i="2"/>
  <c r="Y35" i="2"/>
  <c r="X35" i="2"/>
  <c r="AD34" i="2"/>
  <c r="AC34" i="2"/>
  <c r="AB34" i="2"/>
  <c r="AA34" i="2"/>
  <c r="Z34" i="2"/>
  <c r="Y34" i="2"/>
  <c r="X34" i="2"/>
  <c r="AB33" i="2"/>
  <c r="AA33" i="2"/>
  <c r="Z33" i="2"/>
  <c r="Y33" i="2"/>
  <c r="X33" i="2"/>
  <c r="V25" i="2"/>
  <c r="V19" i="2"/>
  <c r="Z25" i="2"/>
  <c r="Z23" i="2"/>
  <c r="Z19" i="2"/>
  <c r="Z24" i="2" s="1"/>
  <c r="Z26" i="2" s="1"/>
  <c r="Z28" i="2" s="1"/>
  <c r="Z30" i="2" s="1"/>
  <c r="R25" i="2"/>
  <c r="W13" i="2"/>
  <c r="W14" i="2"/>
  <c r="W8" i="2"/>
  <c r="V8" i="2"/>
  <c r="U8" i="2"/>
  <c r="T8" i="2"/>
  <c r="S8" i="2"/>
  <c r="T12" i="2"/>
  <c r="W12" i="2"/>
  <c r="V12" i="2"/>
  <c r="U12" i="2"/>
  <c r="S12" i="2"/>
  <c r="R8" i="2"/>
  <c r="S25" i="2"/>
  <c r="S28" i="2"/>
  <c r="S30" i="2" s="1"/>
  <c r="S26" i="2"/>
  <c r="V23" i="2"/>
  <c r="U23" i="2"/>
  <c r="T23" i="2"/>
  <c r="S23" i="2"/>
  <c r="S24" i="2" s="1"/>
  <c r="W19" i="2"/>
  <c r="U19" i="2"/>
  <c r="T19" i="2"/>
  <c r="S19" i="2"/>
  <c r="W41" i="2"/>
  <c r="W39" i="2"/>
  <c r="W37" i="2"/>
  <c r="W36" i="2"/>
  <c r="W35" i="2"/>
  <c r="W34" i="2"/>
  <c r="W33" i="2"/>
  <c r="U34" i="2"/>
  <c r="S35" i="2"/>
  <c r="T35" i="2"/>
  <c r="U35" i="2"/>
  <c r="S36" i="2"/>
  <c r="T36" i="2"/>
  <c r="U36" i="2"/>
  <c r="V36" i="2"/>
  <c r="T37" i="2"/>
  <c r="W25" i="2"/>
  <c r="AD23" i="2"/>
  <c r="AC23" i="2"/>
  <c r="AB23" i="2"/>
  <c r="AA23" i="2"/>
  <c r="Y23" i="2"/>
  <c r="X23" i="2"/>
  <c r="X24" i="2" s="1"/>
  <c r="X26" i="2" s="1"/>
  <c r="X28" i="2" s="1"/>
  <c r="W23" i="2"/>
  <c r="AB19" i="2"/>
  <c r="AB41" i="2" s="1"/>
  <c r="AA19" i="2"/>
  <c r="AA41" i="2" s="1"/>
  <c r="Y19" i="2"/>
  <c r="Y41" i="2" s="1"/>
  <c r="AM7" i="2"/>
  <c r="AL7" i="2"/>
  <c r="AL5" i="2"/>
  <c r="AK5" i="2"/>
  <c r="V37" i="2"/>
  <c r="U37" i="2"/>
  <c r="T34" i="2"/>
  <c r="S34" i="2"/>
  <c r="V34" i="2"/>
  <c r="V39" i="2"/>
  <c r="U39" i="2"/>
  <c r="T39" i="2"/>
  <c r="S13" i="2"/>
  <c r="S39" i="2"/>
  <c r="S37" i="2"/>
  <c r="L12" i="2"/>
  <c r="R12" i="2"/>
  <c r="G12" i="2"/>
  <c r="R19" i="2"/>
  <c r="P12" i="2"/>
  <c r="AO10" i="2" l="1"/>
  <c r="AO15" i="2"/>
  <c r="AO13" i="2"/>
  <c r="AC19" i="2"/>
  <c r="AC41" i="2" s="1"/>
  <c r="AD33" i="2"/>
  <c r="AD24" i="2"/>
  <c r="AB24" i="2"/>
  <c r="T24" i="2"/>
  <c r="T26" i="2" s="1"/>
  <c r="T28" i="2" s="1"/>
  <c r="T30" i="2" s="1"/>
  <c r="X30" i="2"/>
  <c r="X43" i="2"/>
  <c r="U24" i="2"/>
  <c r="U26" i="2" s="1"/>
  <c r="U28" i="2" s="1"/>
  <c r="U30" i="2" s="1"/>
  <c r="Y24" i="2"/>
  <c r="AA24" i="2"/>
  <c r="V59" i="2"/>
  <c r="V61" i="2" s="1"/>
  <c r="Z46" i="2"/>
  <c r="AA59" i="2"/>
  <c r="AA61" i="2" s="1"/>
  <c r="Z59" i="2"/>
  <c r="Z61" i="2" s="1"/>
  <c r="Y59" i="2"/>
  <c r="Y61" i="2" s="1"/>
  <c r="V24" i="2"/>
  <c r="V26" i="2" s="1"/>
  <c r="V28" i="2" s="1"/>
  <c r="V30" i="2" s="1"/>
  <c r="T13" i="2"/>
  <c r="W24" i="2"/>
  <c r="T41" i="2"/>
  <c r="T14" i="2"/>
  <c r="V41" i="2"/>
  <c r="V33" i="2"/>
  <c r="V13" i="2"/>
  <c r="V14" i="2"/>
  <c r="U13" i="2"/>
  <c r="AK54" i="2"/>
  <c r="AK55" i="2"/>
  <c r="AK56" i="2"/>
  <c r="AK57" i="2"/>
  <c r="AK58" i="2"/>
  <c r="AK60" i="2"/>
  <c r="AK48" i="2"/>
  <c r="AK49" i="2"/>
  <c r="AK50" i="2"/>
  <c r="AK51" i="2"/>
  <c r="AK47" i="2"/>
  <c r="AJ54" i="2"/>
  <c r="AJ55" i="2"/>
  <c r="AJ56" i="2"/>
  <c r="AJ57" i="2"/>
  <c r="AJ58" i="2"/>
  <c r="AJ60" i="2"/>
  <c r="AJ48" i="2"/>
  <c r="AJ50" i="2"/>
  <c r="AJ51" i="2"/>
  <c r="AJ47" i="2"/>
  <c r="AI48" i="2"/>
  <c r="AI50" i="2"/>
  <c r="AI51" i="2"/>
  <c r="AI54" i="2"/>
  <c r="AI55" i="2"/>
  <c r="AI56" i="2"/>
  <c r="AI57" i="2"/>
  <c r="AI58" i="2"/>
  <c r="AI60" i="2"/>
  <c r="AI47" i="2"/>
  <c r="M53" i="2"/>
  <c r="M59" i="2" s="1"/>
  <c r="M61" i="2" s="1"/>
  <c r="L53" i="2"/>
  <c r="L59" i="2" s="1"/>
  <c r="L61" i="2" s="1"/>
  <c r="K53" i="2"/>
  <c r="K59" i="2" s="1"/>
  <c r="K61" i="2" s="1"/>
  <c r="J53" i="2"/>
  <c r="AJ53" i="2" s="1"/>
  <c r="J49" i="2"/>
  <c r="AJ49" i="2" s="1"/>
  <c r="I53" i="2"/>
  <c r="I59" i="2" s="1"/>
  <c r="I61" i="2" s="1"/>
  <c r="I49" i="2"/>
  <c r="I52" i="2" s="1"/>
  <c r="H53" i="2"/>
  <c r="H59" i="2" s="1"/>
  <c r="H61" i="2" s="1"/>
  <c r="H49" i="2"/>
  <c r="H52" i="2" s="1"/>
  <c r="G53" i="2"/>
  <c r="G59" i="2" s="1"/>
  <c r="G61" i="2" s="1"/>
  <c r="G49" i="2"/>
  <c r="G52" i="2" s="1"/>
  <c r="F53" i="2"/>
  <c r="AI53" i="2" s="1"/>
  <c r="F49" i="2"/>
  <c r="AI49" i="2" s="1"/>
  <c r="E53" i="2"/>
  <c r="E59" i="2" s="1"/>
  <c r="E61" i="2" s="1"/>
  <c r="E49" i="2"/>
  <c r="E52" i="2" s="1"/>
  <c r="D53" i="2"/>
  <c r="D59" i="2" s="1"/>
  <c r="D61" i="2" s="1"/>
  <c r="D49" i="2"/>
  <c r="D47" i="2"/>
  <c r="D46" i="2" s="1"/>
  <c r="C53" i="2"/>
  <c r="C49" i="2"/>
  <c r="C47" i="2"/>
  <c r="C46" i="2" s="1"/>
  <c r="C59" i="2"/>
  <c r="C61" i="2" s="1"/>
  <c r="M52" i="2"/>
  <c r="L52" i="2"/>
  <c r="K52" i="2"/>
  <c r="M46" i="2"/>
  <c r="L46" i="2"/>
  <c r="K46" i="2"/>
  <c r="J46" i="2"/>
  <c r="AJ46" i="2" s="1"/>
  <c r="I46" i="2"/>
  <c r="H46" i="2"/>
  <c r="G46" i="2"/>
  <c r="F46" i="2"/>
  <c r="AI46" i="2" s="1"/>
  <c r="E46" i="2"/>
  <c r="N53" i="2"/>
  <c r="N59" i="2" s="1"/>
  <c r="N61" i="2" s="1"/>
  <c r="AK61" i="2" s="1"/>
  <c r="N46" i="2"/>
  <c r="AK46" i="2" s="1"/>
  <c r="N52" i="2"/>
  <c r="AK52" i="2" s="1"/>
  <c r="O57" i="2"/>
  <c r="O53" i="2"/>
  <c r="P57" i="2"/>
  <c r="P46" i="2" s="1"/>
  <c r="P53" i="2"/>
  <c r="P59" i="2" s="1"/>
  <c r="P61" i="2" s="1"/>
  <c r="O52" i="2"/>
  <c r="P52" i="2"/>
  <c r="Q53" i="2"/>
  <c r="Q57" i="2"/>
  <c r="Q46" i="2" s="1"/>
  <c r="Q52" i="2"/>
  <c r="AP10" i="2" l="1"/>
  <c r="AQ10" i="2"/>
  <c r="AP7" i="2"/>
  <c r="AP15" i="2" s="1"/>
  <c r="AP13" i="2"/>
  <c r="AC24" i="2"/>
  <c r="AD42" i="2"/>
  <c r="AD26" i="2"/>
  <c r="AC26" i="2"/>
  <c r="AC42" i="2"/>
  <c r="AB26" i="2"/>
  <c r="AB42" i="2"/>
  <c r="X38" i="2"/>
  <c r="X40" i="2"/>
  <c r="Y26" i="2"/>
  <c r="Y42" i="2"/>
  <c r="AA26" i="2"/>
  <c r="AA42" i="2"/>
  <c r="W26" i="2"/>
  <c r="W42" i="2"/>
  <c r="T33" i="2"/>
  <c r="T42" i="2"/>
  <c r="V35" i="2"/>
  <c r="V42" i="2"/>
  <c r="F59" i="2"/>
  <c r="F61" i="2" s="1"/>
  <c r="AI61" i="2" s="1"/>
  <c r="J59" i="2"/>
  <c r="J61" i="2" s="1"/>
  <c r="AJ61" i="2" s="1"/>
  <c r="Q59" i="2"/>
  <c r="Q61" i="2" s="1"/>
  <c r="F52" i="2"/>
  <c r="AI52" i="2" s="1"/>
  <c r="D52" i="2"/>
  <c r="J52" i="2"/>
  <c r="AJ52" i="2" s="1"/>
  <c r="O59" i="2"/>
  <c r="O61" i="2" s="1"/>
  <c r="AK59" i="2"/>
  <c r="AK53" i="2"/>
  <c r="AI59" i="2"/>
  <c r="C52" i="2"/>
  <c r="O46" i="2"/>
  <c r="AQ13" i="2" l="1"/>
  <c r="AQ7" i="2"/>
  <c r="AQ15" i="2" s="1"/>
  <c r="AD43" i="2"/>
  <c r="AD28" i="2"/>
  <c r="AC43" i="2"/>
  <c r="AC28" i="2"/>
  <c r="AC30" i="2" s="1"/>
  <c r="AB28" i="2"/>
  <c r="AB43" i="2"/>
  <c r="Y43" i="2"/>
  <c r="Y28" i="2"/>
  <c r="AA43" i="2"/>
  <c r="AA28" i="2"/>
  <c r="W28" i="2"/>
  <c r="W43" i="2"/>
  <c r="AJ59" i="2"/>
  <c r="R23" i="2"/>
  <c r="I37" i="2"/>
  <c r="I36" i="2"/>
  <c r="R37" i="2"/>
  <c r="Q37" i="2"/>
  <c r="P37" i="2"/>
  <c r="O37" i="2"/>
  <c r="N37" i="2"/>
  <c r="M37" i="2"/>
  <c r="L37" i="2"/>
  <c r="K37" i="2"/>
  <c r="J37" i="2"/>
  <c r="H37" i="2"/>
  <c r="R36" i="2"/>
  <c r="Q36" i="2"/>
  <c r="P36" i="2"/>
  <c r="O36" i="2"/>
  <c r="N36" i="2"/>
  <c r="M36" i="2"/>
  <c r="L36" i="2"/>
  <c r="K36" i="2"/>
  <c r="J36" i="2"/>
  <c r="H36" i="2"/>
  <c r="G37" i="2"/>
  <c r="G36" i="2"/>
  <c r="R35" i="2"/>
  <c r="Q35" i="2"/>
  <c r="P35" i="2"/>
  <c r="O35" i="2"/>
  <c r="N35" i="2"/>
  <c r="M35" i="2"/>
  <c r="L35" i="2"/>
  <c r="K35" i="2"/>
  <c r="J35" i="2"/>
  <c r="I35" i="2"/>
  <c r="H35" i="2"/>
  <c r="G35" i="2"/>
  <c r="G33" i="2"/>
  <c r="H33" i="2"/>
  <c r="I33" i="2"/>
  <c r="G34" i="2"/>
  <c r="H34" i="2"/>
  <c r="I34" i="2"/>
  <c r="G39" i="2"/>
  <c r="H39" i="2"/>
  <c r="I39" i="2"/>
  <c r="H12" i="2"/>
  <c r="AK7" i="2"/>
  <c r="AK6" i="2"/>
  <c r="AJ7" i="2"/>
  <c r="AJ6" i="2"/>
  <c r="AI6" i="2"/>
  <c r="AI7" i="2"/>
  <c r="AL10" i="2"/>
  <c r="AJ5" i="2"/>
  <c r="AJ10" i="2" s="1"/>
  <c r="AI5" i="2"/>
  <c r="AI10" i="2" s="1"/>
  <c r="R15" i="2"/>
  <c r="Q15" i="2"/>
  <c r="P15" i="2"/>
  <c r="O15" i="2"/>
  <c r="N15" i="2"/>
  <c r="M15" i="2"/>
  <c r="L15" i="2"/>
  <c r="K15" i="2"/>
  <c r="J15" i="2"/>
  <c r="I15" i="2"/>
  <c r="H15" i="2"/>
  <c r="G15" i="2"/>
  <c r="Q8" i="2"/>
  <c r="P8" i="2"/>
  <c r="O8" i="2"/>
  <c r="N8" i="2"/>
  <c r="M8" i="2"/>
  <c r="L8" i="2"/>
  <c r="K8" i="2"/>
  <c r="J8" i="2"/>
  <c r="I8" i="2"/>
  <c r="H8" i="2"/>
  <c r="G8" i="2"/>
  <c r="F8" i="2"/>
  <c r="E8" i="2"/>
  <c r="D8" i="2"/>
  <c r="C8" i="2"/>
  <c r="D12" i="2"/>
  <c r="C12" i="2"/>
  <c r="E12" i="2"/>
  <c r="O13" i="2"/>
  <c r="AL22" i="2"/>
  <c r="AM22" i="2" s="1"/>
  <c r="AL20" i="2"/>
  <c r="AM20" i="2" s="1"/>
  <c r="I12" i="2"/>
  <c r="J12" i="2"/>
  <c r="K12" i="2"/>
  <c r="M12" i="2"/>
  <c r="N12" i="2"/>
  <c r="R14" i="2" s="1"/>
  <c r="O12" i="2"/>
  <c r="Q12" i="2"/>
  <c r="F12" i="2"/>
  <c r="R13" i="2"/>
  <c r="Q13" i="2"/>
  <c r="P13" i="2"/>
  <c r="N13" i="2"/>
  <c r="M13" i="2"/>
  <c r="L13" i="2"/>
  <c r="K13" i="2"/>
  <c r="J13" i="2"/>
  <c r="I13" i="2"/>
  <c r="H13" i="2"/>
  <c r="G13" i="2"/>
  <c r="AD38" i="2" l="1"/>
  <c r="AD30" i="2"/>
  <c r="AD40" i="2" s="1"/>
  <c r="AB30" i="2"/>
  <c r="AB40" i="2" s="1"/>
  <c r="AB38" i="2"/>
  <c r="Y38" i="2"/>
  <c r="Y30" i="2"/>
  <c r="AC38" i="2"/>
  <c r="AA30" i="2"/>
  <c r="AA40" i="2" s="1"/>
  <c r="AA38" i="2"/>
  <c r="W30" i="2"/>
  <c r="W40" i="2" s="1"/>
  <c r="W38" i="2"/>
  <c r="Q14" i="2"/>
  <c r="AJ15" i="2"/>
  <c r="AJ8" i="2"/>
  <c r="AK13" i="2"/>
  <c r="AK10" i="2"/>
  <c r="AM10" i="2"/>
  <c r="AN22" i="2"/>
  <c r="AO22" i="2" s="1"/>
  <c r="AP22" i="2" s="1"/>
  <c r="AQ22" i="2" s="1"/>
  <c r="AM37" i="2"/>
  <c r="AM35" i="2"/>
  <c r="AN20" i="2"/>
  <c r="H14" i="2"/>
  <c r="AJ13" i="2"/>
  <c r="AI8" i="2"/>
  <c r="L14" i="2"/>
  <c r="AL8" i="2"/>
  <c r="AL13" i="2"/>
  <c r="AK15" i="2"/>
  <c r="G14" i="2"/>
  <c r="AK8" i="2"/>
  <c r="M14" i="2"/>
  <c r="J14" i="2"/>
  <c r="I14" i="2"/>
  <c r="AL21" i="2"/>
  <c r="AM21" i="2" s="1"/>
  <c r="O14" i="2"/>
  <c r="N14" i="2"/>
  <c r="P14" i="2"/>
  <c r="K14" i="2"/>
  <c r="AU38" i="2"/>
  <c r="C3" i="3"/>
  <c r="C16" i="3"/>
  <c r="AC40" i="2" l="1"/>
  <c r="Y40" i="2"/>
  <c r="U14" i="2"/>
  <c r="AO37" i="2"/>
  <c r="AM13" i="2"/>
  <c r="AP37" i="2"/>
  <c r="AN37" i="2"/>
  <c r="AL23" i="2"/>
  <c r="AO20" i="2"/>
  <c r="AN35" i="2"/>
  <c r="AQ37" i="2"/>
  <c r="AL15" i="2"/>
  <c r="AM15" i="2"/>
  <c r="Q39" i="2"/>
  <c r="P39" i="2"/>
  <c r="O39" i="2"/>
  <c r="N39" i="2"/>
  <c r="M39" i="2"/>
  <c r="L39" i="2"/>
  <c r="K39" i="2"/>
  <c r="J39" i="2"/>
  <c r="AK29" i="2"/>
  <c r="AK27" i="2"/>
  <c r="AK22" i="2"/>
  <c r="AK21" i="2"/>
  <c r="AK20" i="2"/>
  <c r="AK18" i="2"/>
  <c r="AK17" i="2"/>
  <c r="AK12" i="2" s="1"/>
  <c r="AJ29" i="2"/>
  <c r="AJ27" i="2"/>
  <c r="AJ22" i="2"/>
  <c r="AJ21" i="2"/>
  <c r="AJ20" i="2"/>
  <c r="AJ18" i="2"/>
  <c r="AJ17" i="2"/>
  <c r="AI29" i="2"/>
  <c r="AI27" i="2"/>
  <c r="AI22" i="2"/>
  <c r="AI21" i="2"/>
  <c r="AI20" i="2"/>
  <c r="AI18" i="2"/>
  <c r="AI17" i="2"/>
  <c r="AI12" i="2" s="1"/>
  <c r="C25" i="2"/>
  <c r="E25" i="2"/>
  <c r="D25" i="2"/>
  <c r="C19" i="2"/>
  <c r="C41" i="2" s="1"/>
  <c r="D19" i="2"/>
  <c r="D41" i="2" s="1"/>
  <c r="E19" i="2"/>
  <c r="E41" i="2" s="1"/>
  <c r="C23" i="2"/>
  <c r="D23" i="2"/>
  <c r="E23" i="2"/>
  <c r="J33" i="2"/>
  <c r="J34" i="2"/>
  <c r="F25" i="2"/>
  <c r="F19" i="2"/>
  <c r="F41" i="2" s="1"/>
  <c r="F23" i="2"/>
  <c r="K33" i="2"/>
  <c r="L33" i="2"/>
  <c r="K34" i="2"/>
  <c r="L34" i="2"/>
  <c r="I25" i="2"/>
  <c r="I19" i="2"/>
  <c r="I41" i="2" s="1"/>
  <c r="I23" i="2"/>
  <c r="H25" i="2"/>
  <c r="H19" i="2"/>
  <c r="H41" i="2" s="1"/>
  <c r="H23" i="2"/>
  <c r="G25" i="2"/>
  <c r="G23" i="2"/>
  <c r="G19" i="2"/>
  <c r="G41" i="2" s="1"/>
  <c r="N33" i="2"/>
  <c r="M33" i="2"/>
  <c r="M34" i="2"/>
  <c r="J25" i="2"/>
  <c r="J19" i="2"/>
  <c r="J41" i="2" s="1"/>
  <c r="J23" i="2"/>
  <c r="O33" i="2"/>
  <c r="N34" i="2"/>
  <c r="O34" i="2"/>
  <c r="K25" i="2"/>
  <c r="K19" i="2"/>
  <c r="K41" i="2" s="1"/>
  <c r="K23" i="2"/>
  <c r="N25" i="2"/>
  <c r="N19" i="2"/>
  <c r="N41" i="2" s="1"/>
  <c r="N23" i="2"/>
  <c r="P33" i="2"/>
  <c r="P34" i="2"/>
  <c r="L25" i="2"/>
  <c r="L23" i="2"/>
  <c r="L19" i="2"/>
  <c r="L41" i="2" s="1"/>
  <c r="O25" i="2"/>
  <c r="O19" i="2"/>
  <c r="O41" i="2" s="1"/>
  <c r="O23" i="2"/>
  <c r="Q34" i="2"/>
  <c r="Q33" i="2"/>
  <c r="M25" i="2"/>
  <c r="P25" i="2"/>
  <c r="P23" i="2"/>
  <c r="P19" i="2"/>
  <c r="P41" i="2" s="1"/>
  <c r="M23" i="2"/>
  <c r="M19" i="2"/>
  <c r="M41" i="2" s="1"/>
  <c r="Q25" i="2"/>
  <c r="Q23" i="2"/>
  <c r="Q19" i="2"/>
  <c r="Q41" i="2" s="1"/>
  <c r="AJ35" i="2" l="1"/>
  <c r="AJ36" i="2"/>
  <c r="AJ39" i="2"/>
  <c r="U33" i="2"/>
  <c r="AJ34" i="2"/>
  <c r="AJ12" i="2"/>
  <c r="AK14" i="2" s="1"/>
  <c r="AJ33" i="2"/>
  <c r="AJ37" i="2"/>
  <c r="AN10" i="2"/>
  <c r="AN13" i="2"/>
  <c r="AN7" i="2"/>
  <c r="AN15" i="2" s="1"/>
  <c r="AK37" i="2"/>
  <c r="AL37" i="2"/>
  <c r="AK35" i="2"/>
  <c r="AL35" i="2"/>
  <c r="AK36" i="2"/>
  <c r="AL36" i="2"/>
  <c r="AN21" i="2"/>
  <c r="AM23" i="2"/>
  <c r="AM36" i="2"/>
  <c r="AP20" i="2"/>
  <c r="AO35" i="2"/>
  <c r="AJ25" i="2"/>
  <c r="I24" i="2"/>
  <c r="I42" i="2" s="1"/>
  <c r="AK34" i="2"/>
  <c r="AL25" i="2"/>
  <c r="R24" i="2"/>
  <c r="R26" i="2" s="1"/>
  <c r="AL27" i="2" s="1"/>
  <c r="R39" i="2"/>
  <c r="AL29" i="2"/>
  <c r="AM29" i="2" s="1"/>
  <c r="AM39" i="2" s="1"/>
  <c r="AI25" i="2"/>
  <c r="AK25" i="2"/>
  <c r="AK33" i="2"/>
  <c r="Q24" i="2"/>
  <c r="Q26" i="2" s="1"/>
  <c r="AI19" i="2"/>
  <c r="R33" i="2"/>
  <c r="AI23" i="2"/>
  <c r="AJ19" i="2"/>
  <c r="AJ41" i="2" s="1"/>
  <c r="AJ23" i="2"/>
  <c r="AK19" i="2"/>
  <c r="AK41" i="2" s="1"/>
  <c r="AK23" i="2"/>
  <c r="AK39" i="2"/>
  <c r="C24" i="2"/>
  <c r="E24" i="2"/>
  <c r="D24" i="2"/>
  <c r="F24" i="2"/>
  <c r="H24" i="2"/>
  <c r="G24" i="2"/>
  <c r="J24" i="2"/>
  <c r="K24" i="2"/>
  <c r="N24" i="2"/>
  <c r="L24" i="2"/>
  <c r="O24" i="2"/>
  <c r="M24" i="2"/>
  <c r="P24" i="2"/>
  <c r="C4" i="1" a="1"/>
  <c r="C4" i="1" s="1"/>
  <c r="AJ14" i="2" l="1"/>
  <c r="U41" i="2"/>
  <c r="U42" i="2"/>
  <c r="AO21" i="2"/>
  <c r="AN36" i="2"/>
  <c r="AN23" i="2"/>
  <c r="AP35" i="2"/>
  <c r="AQ20" i="2"/>
  <c r="I26" i="2"/>
  <c r="I43" i="2" s="1"/>
  <c r="AL14" i="2"/>
  <c r="C6" i="1"/>
  <c r="AU41" i="2"/>
  <c r="AL33" i="2"/>
  <c r="AL18" i="2"/>
  <c r="C26" i="2"/>
  <c r="C43" i="2" s="1"/>
  <c r="C42" i="2"/>
  <c r="F26" i="2"/>
  <c r="F28" i="2" s="1"/>
  <c r="F30" i="2" s="1"/>
  <c r="F42" i="2"/>
  <c r="D26" i="2"/>
  <c r="D28" i="2" s="1"/>
  <c r="D30" i="2" s="1"/>
  <c r="D42" i="2"/>
  <c r="H26" i="2"/>
  <c r="H28" i="2" s="1"/>
  <c r="H38" i="2" s="1"/>
  <c r="H42" i="2"/>
  <c r="G26" i="2"/>
  <c r="G43" i="2" s="1"/>
  <c r="G42" i="2"/>
  <c r="E26" i="2"/>
  <c r="E28" i="2" s="1"/>
  <c r="E30" i="2" s="1"/>
  <c r="E42" i="2"/>
  <c r="AI24" i="2"/>
  <c r="AI26" i="2" s="1"/>
  <c r="AI41" i="2"/>
  <c r="R41" i="2"/>
  <c r="Q42" i="2"/>
  <c r="AJ24" i="2"/>
  <c r="K26" i="2"/>
  <c r="K42" i="2"/>
  <c r="O26" i="2"/>
  <c r="O42" i="2"/>
  <c r="J26" i="2"/>
  <c r="J42" i="2"/>
  <c r="AK24" i="2"/>
  <c r="M26" i="2"/>
  <c r="M42" i="2"/>
  <c r="L26" i="2"/>
  <c r="L42" i="2"/>
  <c r="P26" i="2"/>
  <c r="P42" i="2"/>
  <c r="N26" i="2"/>
  <c r="N42" i="2"/>
  <c r="AN29" i="2"/>
  <c r="AN39" i="2" s="1"/>
  <c r="R34" i="2"/>
  <c r="Q43" i="2"/>
  <c r="Q28" i="2"/>
  <c r="AL39" i="2"/>
  <c r="I28" i="2" l="1"/>
  <c r="D43" i="2"/>
  <c r="AJ26" i="2"/>
  <c r="AJ43" i="2" s="1"/>
  <c r="AJ42" i="2"/>
  <c r="AM18" i="2"/>
  <c r="AN18" i="2" s="1"/>
  <c r="AP18" i="2" s="1"/>
  <c r="AQ18" i="2" s="1"/>
  <c r="AO36" i="2"/>
  <c r="AP21" i="2"/>
  <c r="AO23" i="2"/>
  <c r="AQ35" i="2"/>
  <c r="G28" i="2"/>
  <c r="G30" i="2" s="1"/>
  <c r="C28" i="2"/>
  <c r="C30" i="2" s="1"/>
  <c r="AI30" i="2" s="1"/>
  <c r="I30" i="2"/>
  <c r="I40" i="2" s="1"/>
  <c r="I38" i="2"/>
  <c r="H30" i="2"/>
  <c r="H40" i="2" s="1"/>
  <c r="C4" i="3"/>
  <c r="C9" i="1"/>
  <c r="AI42" i="2"/>
  <c r="F43" i="2"/>
  <c r="H43" i="2"/>
  <c r="E43" i="2"/>
  <c r="AO29" i="2"/>
  <c r="AP29" i="2" s="1"/>
  <c r="AQ29" i="2" s="1"/>
  <c r="R42" i="2"/>
  <c r="Q30" i="2"/>
  <c r="M28" i="2"/>
  <c r="M43" i="2"/>
  <c r="P28" i="2"/>
  <c r="P43" i="2"/>
  <c r="L28" i="2"/>
  <c r="L43" i="2"/>
  <c r="AK26" i="2"/>
  <c r="AK42" i="2"/>
  <c r="J28" i="2"/>
  <c r="J43" i="2"/>
  <c r="AJ28" i="2"/>
  <c r="AI28" i="2"/>
  <c r="AI43" i="2"/>
  <c r="AL34" i="2"/>
  <c r="AL19" i="2"/>
  <c r="AL24" i="2" s="1"/>
  <c r="AL26" i="2" s="1"/>
  <c r="AL28" i="2" s="1"/>
  <c r="N43" i="2"/>
  <c r="N28" i="2"/>
  <c r="O28" i="2"/>
  <c r="O43" i="2"/>
  <c r="K28" i="2"/>
  <c r="K43" i="2"/>
  <c r="AJ38" i="2" l="1"/>
  <c r="G40" i="2"/>
  <c r="G38" i="2"/>
  <c r="AQ21" i="2"/>
  <c r="AP36" i="2"/>
  <c r="AP23" i="2"/>
  <c r="C5" i="3"/>
  <c r="C6" i="3" s="1"/>
  <c r="AO39" i="2"/>
  <c r="N38" i="2"/>
  <c r="R28" i="2"/>
  <c r="R30" i="2" s="1"/>
  <c r="R43" i="2"/>
  <c r="AL41" i="2"/>
  <c r="K30" i="2"/>
  <c r="K38" i="2"/>
  <c r="J30" i="2"/>
  <c r="J38" i="2"/>
  <c r="L30" i="2"/>
  <c r="L40" i="2" s="1"/>
  <c r="L38" i="2"/>
  <c r="M30" i="2"/>
  <c r="M40" i="2" s="1"/>
  <c r="M38" i="2"/>
  <c r="Q38" i="2"/>
  <c r="AM34" i="2"/>
  <c r="O30" i="2"/>
  <c r="O38" i="2"/>
  <c r="N30" i="2"/>
  <c r="AK28" i="2"/>
  <c r="AK38" i="2" s="1"/>
  <c r="AK43" i="2"/>
  <c r="C11" i="3" s="1"/>
  <c r="P30" i="2"/>
  <c r="P38" i="2"/>
  <c r="AP39" i="2"/>
  <c r="C7" i="3" l="1"/>
  <c r="C18" i="3" s="1"/>
  <c r="AU36" i="2" s="1"/>
  <c r="AQ36" i="2"/>
  <c r="AQ23" i="2"/>
  <c r="AL30" i="2"/>
  <c r="R40" i="2"/>
  <c r="R38" i="2"/>
  <c r="N40" i="2"/>
  <c r="O40" i="2"/>
  <c r="AK30" i="2"/>
  <c r="K40" i="2"/>
  <c r="AL42" i="2"/>
  <c r="P40" i="2"/>
  <c r="AN34" i="2"/>
  <c r="Q40" i="2"/>
  <c r="J40" i="2"/>
  <c r="AJ30" i="2"/>
  <c r="AJ40" i="2" s="1"/>
  <c r="AQ39" i="2"/>
  <c r="AK40" i="2" l="1"/>
  <c r="AL40" i="2"/>
  <c r="AO34" i="2"/>
  <c r="AL43" i="2"/>
  <c r="AP34" i="2" l="1"/>
  <c r="AL38" i="2"/>
  <c r="AQ34" i="2" l="1"/>
  <c r="T43" i="2" l="1"/>
  <c r="T40" i="2" l="1"/>
  <c r="T38" i="2"/>
  <c r="V43" i="2"/>
  <c r="U43" i="2"/>
  <c r="V38" i="2" l="1"/>
  <c r="U40" i="2"/>
  <c r="V40" i="2" l="1"/>
  <c r="U38" i="2"/>
  <c r="S41" i="2"/>
  <c r="S14" i="2"/>
  <c r="S33" i="2"/>
  <c r="S42" i="2" l="1"/>
  <c r="S43" i="2" l="1"/>
  <c r="S40" i="2" l="1"/>
  <c r="S38" i="2"/>
  <c r="AN12" i="2"/>
  <c r="AM14" i="2"/>
  <c r="AO17" i="2" l="1"/>
  <c r="AM33" i="2"/>
  <c r="AM19" i="2"/>
  <c r="AN14" i="2"/>
  <c r="AN19" i="2" l="1"/>
  <c r="AN33" i="2"/>
  <c r="AO19" i="2"/>
  <c r="AO33" i="2"/>
  <c r="AM24" i="2"/>
  <c r="AM41" i="2"/>
  <c r="AP17" i="2"/>
  <c r="AN41" i="2" l="1"/>
  <c r="AN24" i="2"/>
  <c r="AO41" i="2"/>
  <c r="AO24" i="2"/>
  <c r="AQ17" i="2"/>
  <c r="AP19" i="2"/>
  <c r="AP33" i="2"/>
  <c r="AM26" i="2"/>
  <c r="AM42" i="2"/>
  <c r="AN26" i="2" l="1"/>
  <c r="AN27" i="2" s="1"/>
  <c r="AN43" i="2" s="1"/>
  <c r="AN42" i="2"/>
  <c r="AQ19" i="2"/>
  <c r="AQ33" i="2"/>
  <c r="AM27" i="2"/>
  <c r="AM43" i="2" s="1"/>
  <c r="AO26" i="2"/>
  <c r="AO42" i="2"/>
  <c r="AP41" i="2"/>
  <c r="AP24" i="2"/>
  <c r="AN28" i="2" l="1"/>
  <c r="AN30" i="2" s="1"/>
  <c r="AM28" i="2"/>
  <c r="AP42" i="2"/>
  <c r="AP26" i="2"/>
  <c r="AO27" i="2"/>
  <c r="AO43" i="2" s="1"/>
  <c r="AQ24" i="2"/>
  <c r="AQ41" i="2"/>
  <c r="AN38" i="2" l="1"/>
  <c r="AO28" i="2"/>
  <c r="AQ26" i="2"/>
  <c r="AQ42" i="2"/>
  <c r="AP27" i="2"/>
  <c r="AP43" i="2" s="1"/>
  <c r="AM30" i="2"/>
  <c r="AM40" i="2" s="1"/>
  <c r="AM38" i="2"/>
  <c r="AP28" i="2" l="1"/>
  <c r="AP38" i="2" s="1"/>
  <c r="AQ27" i="2"/>
  <c r="AQ43" i="2" s="1"/>
  <c r="AO30" i="2"/>
  <c r="AO40" i="2" s="1"/>
  <c r="AO38" i="2"/>
  <c r="AN40" i="2"/>
  <c r="AP30" i="2" l="1"/>
  <c r="AP40" i="2" s="1"/>
  <c r="AQ28" i="2"/>
  <c r="AR28" i="2" l="1"/>
  <c r="AS28" i="2" s="1"/>
  <c r="AT28" i="2" s="1"/>
  <c r="AU28" i="2" s="1"/>
  <c r="AV28" i="2" s="1"/>
  <c r="AW28" i="2" s="1"/>
  <c r="AX28" i="2" s="1"/>
  <c r="AY28" i="2" s="1"/>
  <c r="AZ28" i="2" s="1"/>
  <c r="BA28" i="2" s="1"/>
  <c r="BB28" i="2" s="1"/>
  <c r="BC28" i="2" s="1"/>
  <c r="BD28" i="2" s="1"/>
  <c r="BE28" i="2" s="1"/>
  <c r="BF28" i="2" s="1"/>
  <c r="BG28" i="2" s="1"/>
  <c r="BH28" i="2" s="1"/>
  <c r="BI28" i="2" s="1"/>
  <c r="BJ28" i="2" s="1"/>
  <c r="BK28" i="2" s="1"/>
  <c r="BL28" i="2" s="1"/>
  <c r="BM28" i="2" s="1"/>
  <c r="BN28" i="2" s="1"/>
  <c r="BO28" i="2" s="1"/>
  <c r="BP28" i="2" s="1"/>
  <c r="BQ28" i="2" s="1"/>
  <c r="BR28" i="2" s="1"/>
  <c r="BS28" i="2" s="1"/>
  <c r="BT28" i="2" s="1"/>
  <c r="BU28" i="2" s="1"/>
  <c r="BV28" i="2" s="1"/>
  <c r="BW28" i="2" s="1"/>
  <c r="BX28" i="2" s="1"/>
  <c r="BY28" i="2" s="1"/>
  <c r="BZ28" i="2" s="1"/>
  <c r="CA28" i="2" s="1"/>
  <c r="CB28" i="2" s="1"/>
  <c r="CC28" i="2" s="1"/>
  <c r="CD28" i="2" s="1"/>
  <c r="CE28" i="2" s="1"/>
  <c r="CF28" i="2" s="1"/>
  <c r="CG28" i="2" s="1"/>
  <c r="CH28" i="2" s="1"/>
  <c r="CI28" i="2" s="1"/>
  <c r="CJ28" i="2" s="1"/>
  <c r="CK28" i="2" s="1"/>
  <c r="CL28" i="2" s="1"/>
  <c r="CM28" i="2" s="1"/>
  <c r="CN28" i="2" s="1"/>
  <c r="CO28" i="2" s="1"/>
  <c r="CP28" i="2" s="1"/>
  <c r="CQ28" i="2" s="1"/>
  <c r="CR28" i="2" s="1"/>
  <c r="CS28" i="2" s="1"/>
  <c r="CT28" i="2" s="1"/>
  <c r="CU28" i="2" s="1"/>
  <c r="CV28" i="2" s="1"/>
  <c r="CW28" i="2" s="1"/>
  <c r="CX28" i="2" s="1"/>
  <c r="CY28" i="2" s="1"/>
  <c r="CZ28" i="2" s="1"/>
  <c r="DA28" i="2" s="1"/>
  <c r="DB28" i="2" s="1"/>
  <c r="DC28" i="2" s="1"/>
  <c r="DD28" i="2" s="1"/>
  <c r="DE28" i="2" s="1"/>
  <c r="DF28" i="2" s="1"/>
  <c r="DG28" i="2" s="1"/>
  <c r="DH28" i="2" s="1"/>
  <c r="DI28" i="2" s="1"/>
  <c r="DJ28" i="2" s="1"/>
  <c r="DK28" i="2" s="1"/>
  <c r="DL28" i="2" s="1"/>
  <c r="DM28" i="2" s="1"/>
  <c r="DN28" i="2" s="1"/>
  <c r="DO28" i="2" s="1"/>
  <c r="DP28" i="2" s="1"/>
  <c r="DQ28" i="2" s="1"/>
  <c r="DR28" i="2" s="1"/>
  <c r="DS28" i="2" s="1"/>
  <c r="DT28" i="2" s="1"/>
  <c r="DU28" i="2" s="1"/>
  <c r="DV28" i="2" s="1"/>
  <c r="DW28" i="2" s="1"/>
  <c r="DX28" i="2" s="1"/>
  <c r="DY28" i="2" s="1"/>
  <c r="DZ28" i="2" s="1"/>
  <c r="EA28" i="2" s="1"/>
  <c r="EB28" i="2" s="1"/>
  <c r="EC28" i="2" s="1"/>
  <c r="ED28" i="2" s="1"/>
  <c r="EE28" i="2" s="1"/>
  <c r="EF28" i="2" s="1"/>
  <c r="EG28" i="2" s="1"/>
  <c r="EH28" i="2" s="1"/>
  <c r="EI28" i="2" s="1"/>
  <c r="EJ28" i="2" s="1"/>
  <c r="EK28" i="2" s="1"/>
  <c r="EL28" i="2" s="1"/>
  <c r="EM28" i="2" s="1"/>
  <c r="EN28" i="2" s="1"/>
  <c r="EO28" i="2" s="1"/>
  <c r="EP28" i="2" s="1"/>
  <c r="EQ28" i="2" s="1"/>
  <c r="ER28" i="2" s="1"/>
  <c r="ES28" i="2" s="1"/>
  <c r="ET28" i="2" s="1"/>
  <c r="EU28" i="2" s="1"/>
  <c r="EV28" i="2" s="1"/>
  <c r="EW28" i="2" s="1"/>
  <c r="EX28" i="2" s="1"/>
  <c r="EY28" i="2" s="1"/>
  <c r="EZ28" i="2" s="1"/>
  <c r="FA28" i="2" s="1"/>
  <c r="FB28" i="2" s="1"/>
  <c r="FC28" i="2" s="1"/>
  <c r="FD28" i="2" s="1"/>
  <c r="FE28" i="2" s="1"/>
  <c r="FF28" i="2" s="1"/>
  <c r="FG28" i="2" s="1"/>
  <c r="FH28" i="2" s="1"/>
  <c r="FI28" i="2" s="1"/>
  <c r="FJ28" i="2" s="1"/>
  <c r="FK28" i="2" s="1"/>
  <c r="FL28" i="2" s="1"/>
  <c r="FM28" i="2" s="1"/>
  <c r="FN28" i="2" s="1"/>
  <c r="FO28" i="2" s="1"/>
  <c r="FP28" i="2" s="1"/>
  <c r="FQ28" i="2" s="1"/>
  <c r="FR28" i="2" s="1"/>
  <c r="FS28" i="2" s="1"/>
  <c r="FT28" i="2" s="1"/>
  <c r="FU28" i="2" s="1"/>
  <c r="FV28" i="2" s="1"/>
  <c r="FW28" i="2" s="1"/>
  <c r="FX28" i="2" s="1"/>
  <c r="FY28" i="2" s="1"/>
  <c r="FZ28" i="2" s="1"/>
  <c r="GA28" i="2" s="1"/>
  <c r="GB28" i="2" s="1"/>
  <c r="GC28" i="2" s="1"/>
  <c r="GD28" i="2" s="1"/>
  <c r="GE28" i="2" s="1"/>
  <c r="GF28" i="2" s="1"/>
  <c r="GG28" i="2" s="1"/>
  <c r="GH28" i="2" s="1"/>
  <c r="GI28" i="2" s="1"/>
  <c r="GJ28" i="2" s="1"/>
  <c r="GK28" i="2" s="1"/>
  <c r="GL28" i="2" s="1"/>
  <c r="GM28" i="2" s="1"/>
  <c r="GN28" i="2" s="1"/>
  <c r="GO28" i="2" s="1"/>
  <c r="GP28" i="2" s="1"/>
  <c r="GQ28" i="2" s="1"/>
  <c r="GR28" i="2" s="1"/>
  <c r="GS28" i="2" s="1"/>
  <c r="GT28" i="2" s="1"/>
  <c r="GU28" i="2" s="1"/>
  <c r="GV28" i="2" s="1"/>
  <c r="GW28" i="2" s="1"/>
  <c r="GX28" i="2" s="1"/>
  <c r="GY28" i="2" s="1"/>
  <c r="GZ28" i="2" s="1"/>
  <c r="HA28" i="2" s="1"/>
  <c r="HB28" i="2" s="1"/>
  <c r="HC28" i="2" s="1"/>
  <c r="HD28" i="2" s="1"/>
  <c r="HE28" i="2" s="1"/>
  <c r="HF28" i="2" s="1"/>
  <c r="HG28" i="2" s="1"/>
  <c r="HH28" i="2" s="1"/>
  <c r="HI28" i="2" s="1"/>
  <c r="HJ28" i="2" s="1"/>
  <c r="HK28" i="2" s="1"/>
  <c r="HL28" i="2" s="1"/>
  <c r="HM28" i="2" s="1"/>
  <c r="HN28" i="2" s="1"/>
  <c r="HO28" i="2" s="1"/>
  <c r="HP28" i="2" s="1"/>
  <c r="HQ28" i="2" s="1"/>
  <c r="HR28" i="2" s="1"/>
  <c r="HS28" i="2" s="1"/>
  <c r="HT28" i="2" s="1"/>
  <c r="HU28" i="2" s="1"/>
  <c r="HV28" i="2" s="1"/>
  <c r="HW28" i="2" s="1"/>
  <c r="HX28" i="2" s="1"/>
  <c r="HY28" i="2" s="1"/>
  <c r="HZ28" i="2" s="1"/>
  <c r="IA28" i="2" s="1"/>
  <c r="IB28" i="2" s="1"/>
  <c r="IC28" i="2" s="1"/>
  <c r="ID28" i="2" s="1"/>
  <c r="IE28" i="2" s="1"/>
  <c r="IF28" i="2" s="1"/>
  <c r="IG28" i="2" s="1"/>
  <c r="IH28" i="2" s="1"/>
  <c r="II28" i="2" s="1"/>
  <c r="IJ28" i="2" s="1"/>
  <c r="IK28" i="2" s="1"/>
  <c r="IL28" i="2" s="1"/>
  <c r="IM28" i="2" s="1"/>
  <c r="IN28" i="2" s="1"/>
  <c r="IO28" i="2" s="1"/>
  <c r="IP28" i="2" s="1"/>
  <c r="IQ28" i="2" s="1"/>
  <c r="IR28" i="2" s="1"/>
  <c r="IS28" i="2" s="1"/>
  <c r="IT28" i="2" s="1"/>
  <c r="IU28" i="2" s="1"/>
  <c r="IV28" i="2" s="1"/>
  <c r="IW28" i="2" s="1"/>
  <c r="IX28" i="2" s="1"/>
  <c r="IY28" i="2" s="1"/>
  <c r="IZ28" i="2" s="1"/>
  <c r="JA28" i="2" s="1"/>
  <c r="JB28" i="2" s="1"/>
  <c r="JC28" i="2" s="1"/>
  <c r="JD28" i="2" s="1"/>
  <c r="JE28" i="2" s="1"/>
  <c r="JF28" i="2" s="1"/>
  <c r="JG28" i="2" s="1"/>
  <c r="JH28" i="2" s="1"/>
  <c r="JI28" i="2" s="1"/>
  <c r="JJ28" i="2" s="1"/>
  <c r="JK28" i="2" s="1"/>
  <c r="JL28" i="2" s="1"/>
  <c r="JM28" i="2" s="1"/>
  <c r="JN28" i="2" s="1"/>
  <c r="JO28" i="2" s="1"/>
  <c r="JP28" i="2" s="1"/>
  <c r="JQ28" i="2" s="1"/>
  <c r="JR28" i="2" s="1"/>
  <c r="JS28" i="2" s="1"/>
  <c r="JT28" i="2" s="1"/>
  <c r="JU28" i="2" s="1"/>
  <c r="JV28" i="2" s="1"/>
  <c r="JW28" i="2" s="1"/>
  <c r="JX28" i="2" s="1"/>
  <c r="JY28" i="2" s="1"/>
  <c r="JZ28" i="2" s="1"/>
  <c r="KA28" i="2" s="1"/>
  <c r="KB28" i="2" s="1"/>
  <c r="KC28" i="2" s="1"/>
  <c r="KD28" i="2" s="1"/>
  <c r="KE28" i="2" s="1"/>
  <c r="KF28" i="2" s="1"/>
  <c r="KG28" i="2" s="1"/>
  <c r="KH28" i="2" s="1"/>
  <c r="KI28" i="2" s="1"/>
  <c r="KJ28" i="2" s="1"/>
  <c r="KK28" i="2" s="1"/>
  <c r="KL28" i="2" s="1"/>
  <c r="KM28" i="2" s="1"/>
  <c r="KN28" i="2" s="1"/>
  <c r="KO28" i="2" s="1"/>
  <c r="KP28" i="2" s="1"/>
  <c r="KQ28" i="2" s="1"/>
  <c r="KR28" i="2" s="1"/>
  <c r="KS28" i="2" s="1"/>
  <c r="KT28" i="2" s="1"/>
  <c r="KU28" i="2" s="1"/>
  <c r="KV28" i="2" s="1"/>
  <c r="KW28" i="2" s="1"/>
  <c r="KX28" i="2" s="1"/>
  <c r="KY28" i="2" s="1"/>
  <c r="KZ28" i="2" s="1"/>
  <c r="LA28" i="2" s="1"/>
  <c r="LB28" i="2" s="1"/>
  <c r="LC28" i="2" s="1"/>
  <c r="LD28" i="2" s="1"/>
  <c r="LE28" i="2" s="1"/>
  <c r="LF28" i="2" s="1"/>
  <c r="LG28" i="2" s="1"/>
  <c r="LH28" i="2" s="1"/>
  <c r="LI28" i="2" s="1"/>
  <c r="LJ28" i="2" s="1"/>
  <c r="LK28" i="2" s="1"/>
  <c r="LL28" i="2" s="1"/>
  <c r="LM28" i="2" s="1"/>
  <c r="LN28" i="2" s="1"/>
  <c r="LO28" i="2" s="1"/>
  <c r="LP28" i="2" s="1"/>
  <c r="LQ28" i="2" s="1"/>
  <c r="LR28" i="2" s="1"/>
  <c r="LS28" i="2" s="1"/>
  <c r="LT28" i="2" s="1"/>
  <c r="LU28" i="2" s="1"/>
  <c r="LV28" i="2" s="1"/>
  <c r="LW28" i="2" s="1"/>
  <c r="LX28" i="2" s="1"/>
  <c r="LY28" i="2" s="1"/>
  <c r="LZ28" i="2" s="1"/>
  <c r="MA28" i="2" s="1"/>
  <c r="MB28" i="2" s="1"/>
  <c r="MC28" i="2" s="1"/>
  <c r="MD28" i="2" s="1"/>
  <c r="ME28" i="2" s="1"/>
  <c r="MF28" i="2" s="1"/>
  <c r="MG28" i="2" s="1"/>
  <c r="MH28" i="2" s="1"/>
  <c r="MI28" i="2" s="1"/>
  <c r="MJ28" i="2" s="1"/>
  <c r="MK28" i="2" s="1"/>
  <c r="ML28" i="2" s="1"/>
  <c r="MM28" i="2" s="1"/>
  <c r="MN28" i="2" s="1"/>
  <c r="MO28" i="2" s="1"/>
  <c r="MP28" i="2" s="1"/>
  <c r="MQ28" i="2" s="1"/>
  <c r="MR28" i="2" s="1"/>
  <c r="MS28" i="2" s="1"/>
  <c r="MT28" i="2" s="1"/>
  <c r="MU28" i="2" s="1"/>
  <c r="MV28" i="2" s="1"/>
  <c r="MW28" i="2" s="1"/>
  <c r="MX28" i="2" s="1"/>
  <c r="MY28" i="2" s="1"/>
  <c r="MZ28" i="2" s="1"/>
  <c r="NA28" i="2" s="1"/>
  <c r="NB28" i="2" s="1"/>
  <c r="NC28" i="2" s="1"/>
  <c r="ND28" i="2" s="1"/>
  <c r="NE28" i="2" s="1"/>
  <c r="NF28" i="2" s="1"/>
  <c r="NG28" i="2" s="1"/>
  <c r="NH28" i="2" s="1"/>
  <c r="NI28" i="2" s="1"/>
  <c r="NJ28" i="2" s="1"/>
  <c r="NK28" i="2" s="1"/>
  <c r="NL28" i="2" s="1"/>
  <c r="NM28" i="2" s="1"/>
  <c r="NN28" i="2" s="1"/>
  <c r="NO28" i="2" s="1"/>
  <c r="NP28" i="2" s="1"/>
  <c r="NQ28" i="2" s="1"/>
  <c r="NR28" i="2" s="1"/>
  <c r="NS28" i="2" s="1"/>
  <c r="NT28" i="2" s="1"/>
  <c r="NU28" i="2" s="1"/>
  <c r="NV28" i="2" s="1"/>
  <c r="NW28" i="2" s="1"/>
  <c r="NX28" i="2" s="1"/>
  <c r="NY28" i="2" s="1"/>
  <c r="NZ28" i="2" s="1"/>
  <c r="OA28" i="2" s="1"/>
  <c r="OB28" i="2" s="1"/>
  <c r="AQ30" i="2"/>
  <c r="AQ40" i="2" s="1"/>
  <c r="AQ38" i="2"/>
  <c r="AU37" i="2" l="1"/>
  <c r="AU39" i="2" s="1"/>
  <c r="AU40" i="2" s="1"/>
  <c r="AU42"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2"/>
        </ext>
      </extLst>
    </bk>
    <bk>
      <extLst>
        <ext uri="{3e2802c4-a4d2-4d8b-9148-e3be6c30e623}">
          <xlrd:rvb i="9"/>
        </ext>
      </extLst>
    </bk>
    <bk>
      <extLst>
        <ext uri="{3e2802c4-a4d2-4d8b-9148-e3be6c30e623}">
          <xlrd:rvb i="15"/>
        </ext>
      </extLst>
    </bk>
    <bk>
      <extLst>
        <ext uri="{3e2802c4-a4d2-4d8b-9148-e3be6c30e623}">
          <xlrd:rvb i="21"/>
        </ext>
      </extLst>
    </bk>
    <bk>
      <extLst>
        <ext uri="{3e2802c4-a4d2-4d8b-9148-e3be6c30e623}">
          <xlrd:rvb i="2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<sst xmlns="http://schemas.openxmlformats.org/spreadsheetml/2006/main" count="118" uniqueCount="109">
  <si>
    <t>Company</t>
  </si>
  <si>
    <t>Price</t>
  </si>
  <si>
    <t>Shares</t>
  </si>
  <si>
    <t>Market Cap</t>
  </si>
  <si>
    <t>Cash</t>
  </si>
  <si>
    <t>Debt</t>
  </si>
  <si>
    <t>EV</t>
  </si>
  <si>
    <t>Source</t>
  </si>
  <si>
    <t>3Q20</t>
  </si>
  <si>
    <t>Revenue</t>
  </si>
  <si>
    <t>Cost of revenue</t>
  </si>
  <si>
    <t>T&amp;D</t>
  </si>
  <si>
    <t>Marketing</t>
  </si>
  <si>
    <t>G&amp;A</t>
  </si>
  <si>
    <t>Gross profit</t>
  </si>
  <si>
    <t>Operating income</t>
  </si>
  <si>
    <t>Operating expenses</t>
  </si>
  <si>
    <t>Pretax income</t>
  </si>
  <si>
    <t>Taxes</t>
  </si>
  <si>
    <t>Net income</t>
  </si>
  <si>
    <t>EPS</t>
  </si>
  <si>
    <t>1Q17</t>
  </si>
  <si>
    <t>2Q17</t>
  </si>
  <si>
    <t>3Q17</t>
  </si>
  <si>
    <t>4Q17</t>
  </si>
  <si>
    <t>1Q18</t>
  </si>
  <si>
    <t>2Q18</t>
  </si>
  <si>
    <t>3Q18</t>
  </si>
  <si>
    <t>4Q18</t>
  </si>
  <si>
    <t>1Q19</t>
  </si>
  <si>
    <t>2Q19</t>
  </si>
  <si>
    <t>3Q19</t>
  </si>
  <si>
    <t>4Q19</t>
  </si>
  <si>
    <t>1Q20</t>
  </si>
  <si>
    <t>2Q20</t>
  </si>
  <si>
    <t>Interest income/(expense)</t>
  </si>
  <si>
    <t>Revenue y/y %</t>
  </si>
  <si>
    <t>Cost of revenue y/y %</t>
  </si>
  <si>
    <t>Gross margin %</t>
  </si>
  <si>
    <t>Operating margin %</t>
  </si>
  <si>
    <t>Taxes %</t>
  </si>
  <si>
    <t>Shares y/y %</t>
  </si>
  <si>
    <t>EPS y/y %</t>
  </si>
  <si>
    <t>Maturity Value</t>
  </si>
  <si>
    <t>Discount Rate</t>
  </si>
  <si>
    <t>NPV</t>
  </si>
  <si>
    <t>Net Cash</t>
  </si>
  <si>
    <t>Total Value</t>
  </si>
  <si>
    <t>Per Share</t>
  </si>
  <si>
    <t>Current</t>
  </si>
  <si>
    <t>Difference</t>
  </si>
  <si>
    <t>Equity</t>
  </si>
  <si>
    <t>D+E</t>
  </si>
  <si>
    <t>Wdebt</t>
  </si>
  <si>
    <t>Wequity</t>
  </si>
  <si>
    <t>Tax rate</t>
  </si>
  <si>
    <t>Interest expense</t>
  </si>
  <si>
    <t>Cost of debt</t>
  </si>
  <si>
    <t>Risk-free rate</t>
  </si>
  <si>
    <t>Beta</t>
  </si>
  <si>
    <t>Market return</t>
  </si>
  <si>
    <t xml:space="preserve">average </t>
  </si>
  <si>
    <t>Cost of equity</t>
  </si>
  <si>
    <t>WACC</t>
  </si>
  <si>
    <t>Paying Subscribers</t>
  </si>
  <si>
    <t>Added Memberships (actual)</t>
  </si>
  <si>
    <t>Added Memberships (forecast)</t>
  </si>
  <si>
    <t>Paying Subscribers Y/Y %</t>
  </si>
  <si>
    <t>ARPU</t>
  </si>
  <si>
    <t>ARPU Y/Y %</t>
  </si>
  <si>
    <t>Added Memberships Beat/Miss %</t>
  </si>
  <si>
    <t>Marketing y/y %</t>
  </si>
  <si>
    <t>T&amp;D y/y %</t>
  </si>
  <si>
    <t>G&amp;A y/y%</t>
  </si>
  <si>
    <t>NI y/y%</t>
  </si>
  <si>
    <t xml:space="preserve">Net Cash </t>
  </si>
  <si>
    <t>OCA</t>
  </si>
  <si>
    <t>Content</t>
  </si>
  <si>
    <t>PPE</t>
  </si>
  <si>
    <t>Assets</t>
  </si>
  <si>
    <t>A/P</t>
  </si>
  <si>
    <t>A/E &amp; Other</t>
  </si>
  <si>
    <t>D/R</t>
  </si>
  <si>
    <t>ONCL</t>
  </si>
  <si>
    <t>Liabilities</t>
  </si>
  <si>
    <t>S/E</t>
  </si>
  <si>
    <t>L+S/E</t>
  </si>
  <si>
    <t>ONCA</t>
  </si>
  <si>
    <t>Competitors (via Koyfin)</t>
  </si>
  <si>
    <t>Video Streaming Penetration (SVoD, Global, Statista)</t>
  </si>
  <si>
    <t>NFLX Penetration</t>
  </si>
  <si>
    <t>4Q20</t>
  </si>
  <si>
    <t>1Q21</t>
  </si>
  <si>
    <t>Actual Added Memberships Y/Y%</t>
  </si>
  <si>
    <t>2Q21</t>
  </si>
  <si>
    <t>3Q21</t>
  </si>
  <si>
    <t>4Q21</t>
  </si>
  <si>
    <t>1Q22</t>
  </si>
  <si>
    <t>2Q22</t>
  </si>
  <si>
    <t>3Q22</t>
  </si>
  <si>
    <t>4Q22</t>
  </si>
  <si>
    <t>1Q23</t>
  </si>
  <si>
    <t>2Q23</t>
  </si>
  <si>
    <t>3Q23</t>
  </si>
  <si>
    <t>4Q23</t>
  </si>
  <si>
    <t>-</t>
  </si>
  <si>
    <t>5yr average</t>
  </si>
  <si>
    <t>8K 4Q22</t>
  </si>
  <si>
    <t>koyfin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</si>
</sst>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_([$$-409]* \(#,##0.00\);_([$$-409]* &quot;-&quot;??_);_(@_)"/>
    <numFmt numFmtId="165" formatCode="0.0%"/>
  </numFmts>
  <fonts count="7" x14ac:knownFonts="1">
    <font>
      <sz val="11"/>
      <color theme="1"/>
      <name val="Calibri"/>
      <family val="2"/>
      <scheme val="minor"/>
    </font>
    <font>
      <sz val="11"/>
      <color theme="1"/>
      <name val="Arial"/>
      <family val="2"/>
    </font>
    <font>
      <sz val="11"/>
      <color theme="1"/>
      <name val="Calibri"/>
      <family val="2"/>
      <scheme val="minor"/>
    </font>
    <font>
      <sz val="8"/>
      <name val="Calibri"/>
      <family val="2"/>
      <scheme val="minor"/>
    </font>
    <font>
      <u/>
      <sz val="11"/>
      <color theme="10"/>
      <name val="Calibri"/>
      <family val="2"/>
      <scheme val="minor"/>
    </font>
    <font>
      <b/>
      <sz val="11"/>
      <color theme="1"/>
      <name val="Arial"/>
      <family val="2"/>
    </font>
    <font>
      <u/>
      <sz val="11"/>
      <color theme="10"/>
      <name val="Arial"/>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3">
    <xf numFmtId="0" fontId="0" fillId="0" borderId="0"/>
    <xf numFmtId="9" fontId="2" fillId="0" borderId="0" applyFont="0" applyFill="0" applyBorder="0" applyAlignment="0" applyProtection="0"/>
    <xf numFmtId="0" fontId="4" fillId="0" borderId="0" applyNumberFormat="0" applyFill="0" applyBorder="0" applyAlignment="0" applyProtection="0"/>
  </cellStyleXfs>
  <cellXfs count="29">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0" xfId="0" applyFont="1"/>
    <xf numFmtId="0" fontId="1" fillId="0" borderId="4" xfId="0" applyFont="1" applyBorder="1"/>
    <xf numFmtId="164" fontId="1" fillId="0" borderId="0" xfId="0" applyNumberFormat="1" applyFont="1" applyAlignment="1">
      <alignment horizontal="right"/>
    </xf>
    <xf numFmtId="0" fontId="1" fillId="0" borderId="1" xfId="0" applyFont="1" applyBorder="1" applyAlignment="1">
      <alignment horizontal="right"/>
    </xf>
    <xf numFmtId="3" fontId="1" fillId="0" borderId="0" xfId="0" applyNumberFormat="1" applyFont="1" applyAlignment="1">
      <alignment horizontal="right"/>
    </xf>
    <xf numFmtId="0" fontId="1" fillId="0" borderId="4" xfId="0" applyFont="1" applyBorder="1" applyAlignment="1">
      <alignment horizontal="right"/>
    </xf>
    <xf numFmtId="0" fontId="1" fillId="0" borderId="5" xfId="0" applyFont="1" applyBorder="1"/>
    <xf numFmtId="3" fontId="1" fillId="0" borderId="6" xfId="0" applyNumberFormat="1" applyFont="1" applyBorder="1" applyAlignment="1">
      <alignment horizontal="right"/>
    </xf>
    <xf numFmtId="0" fontId="1" fillId="0" borderId="5" xfId="0" applyFont="1" applyBorder="1" applyAlignment="1">
      <alignment horizontal="right"/>
    </xf>
    <xf numFmtId="0" fontId="6" fillId="0" borderId="4" xfId="2" applyFont="1" applyBorder="1"/>
    <xf numFmtId="0" fontId="1" fillId="0" borderId="0" xfId="0" applyFont="1" applyAlignment="1">
      <alignment horizontal="right" vertical="center"/>
    </xf>
    <xf numFmtId="3" fontId="1" fillId="0" borderId="0" xfId="0" applyNumberFormat="1" applyFont="1"/>
    <xf numFmtId="3" fontId="1" fillId="0" borderId="0" xfId="0" applyNumberFormat="1" applyFont="1" applyAlignment="1">
      <alignment horizontal="right" vertical="center"/>
    </xf>
    <xf numFmtId="9" fontId="1" fillId="0" borderId="0" xfId="0" applyNumberFormat="1" applyFont="1" applyAlignment="1">
      <alignment horizontal="right" vertical="center"/>
    </xf>
    <xf numFmtId="9" fontId="1" fillId="0" borderId="0" xfId="0" applyNumberFormat="1" applyFont="1"/>
    <xf numFmtId="0" fontId="5" fillId="0" borderId="0" xfId="0" applyFont="1"/>
    <xf numFmtId="3" fontId="5" fillId="0" borderId="0" xfId="0" applyNumberFormat="1" applyFont="1" applyAlignment="1">
      <alignment horizontal="right" vertical="center"/>
    </xf>
    <xf numFmtId="3" fontId="5" fillId="0" borderId="0" xfId="0" applyNumberFormat="1" applyFont="1"/>
    <xf numFmtId="4" fontId="1" fillId="0" borderId="0" xfId="0" applyNumberFormat="1" applyFont="1" applyAlignment="1">
      <alignment horizontal="right" vertical="center"/>
    </xf>
    <xf numFmtId="4" fontId="1" fillId="0" borderId="0" xfId="0" applyNumberFormat="1" applyFont="1"/>
    <xf numFmtId="9" fontId="5" fillId="0" borderId="0" xfId="0" applyNumberFormat="1" applyFont="1" applyAlignment="1">
      <alignment horizontal="right" vertical="center"/>
    </xf>
    <xf numFmtId="9" fontId="5" fillId="0" borderId="0" xfId="0" applyNumberFormat="1" applyFont="1"/>
    <xf numFmtId="165" fontId="1" fillId="0" borderId="0" xfId="0" applyNumberFormat="1" applyFont="1"/>
    <xf numFmtId="10" fontId="1" fillId="0" borderId="0" xfId="1" applyNumberFormat="1" applyFont="1"/>
    <xf numFmtId="10" fontId="1" fillId="0" borderId="0" xfId="0" applyNumberFormat="1" applyFont="1"/>
  </cellXfs>
  <cellStyles count="3">
    <cellStyle name="Hyperlink" xfId="2" builtinId="8"/>
    <cellStyle name="Normal" xfId="0" builtinId="0"/>
    <cellStyle name="Percent" xfId="1" builtinId="5"/>
  </cellStyles>
  <dxfs count="2">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externalLink" Target="externalLinks/externalLink1.xml"/><Relationship Id="rId15" Type="http://schemas.microsoft.com/office/2017/06/relationships/rdRichValueTypes" Target="richData/rdRichValueTypes.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dSupportingPropertyBag" Target="richData/rdsupportingpropertybag.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0"/>
          <a:lstStyle/>
          <a:p>
            <a:pPr>
              <a:defRPr sz="1600" b="1" i="0" u="none" strike="noStrike" kern="1200" baseline="0">
                <a:solidFill>
                  <a:schemeClr val="tx1">
                    <a:lumMod val="65000"/>
                    <a:lumOff val="35000"/>
                  </a:schemeClr>
                </a:solidFill>
                <a:latin typeface="+mn-lt"/>
                <a:ea typeface="+mn-ea"/>
                <a:cs typeface="+mn-cs"/>
              </a:defRPr>
            </a:pPr>
            <a:r>
              <a:rPr lang="en-US" sz="1800"/>
              <a:t>Netflix Global</a:t>
            </a:r>
            <a:r>
              <a:rPr lang="en-US" sz="1800" baseline="0"/>
              <a:t> </a:t>
            </a:r>
            <a:r>
              <a:rPr lang="en-US" sz="1800"/>
              <a:t>Paid</a:t>
            </a:r>
            <a:r>
              <a:rPr lang="en-US" sz="1800" baseline="0"/>
              <a:t> Memberships</a:t>
            </a:r>
            <a:endParaRPr lang="en-US" sz="1800"/>
          </a:p>
          <a:p>
            <a:pPr>
              <a:defRPr/>
            </a:pPr>
            <a:r>
              <a:rPr lang="en-US" sz="900"/>
              <a:t>(in</a:t>
            </a:r>
            <a:r>
              <a:rPr lang="en-US" sz="900" baseline="0"/>
              <a:t> millions, </a:t>
            </a:r>
            <a:r>
              <a:rPr lang="en-US" sz="900"/>
              <a:t>4Q20 = estimate)</a:t>
            </a:r>
          </a:p>
        </c:rich>
      </c:tx>
      <c:layout>
        <c:manualLayout>
          <c:xMode val="edge"/>
          <c:yMode val="edge"/>
          <c:x val="0.26374045453328632"/>
          <c:y val="2.4691387348989364E-2"/>
        </c:manualLayout>
      </c:layout>
      <c:overlay val="0"/>
      <c:spPr>
        <a:noFill/>
        <a:ln>
          <a:noFill/>
        </a:ln>
        <a:effectLst/>
      </c:spPr>
      <c:txPr>
        <a:bodyPr rot="0" spcFirstLastPara="1" vertOverflow="ellipsis" vert="horz" wrap="square" anchor="ctr" anchorCtr="0"/>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Model!$B$5</c:f>
              <c:strCache>
                <c:ptCount val="1"/>
                <c:pt idx="0">
                  <c:v>Paying Subscribers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15"/>
            <c:invertIfNegative val="0"/>
            <c:bubble3D val="0"/>
            <c:spPr>
              <a:solidFill>
                <a:schemeClr val="accent1">
                  <a:lumMod val="40000"/>
                  <a:lumOff val="6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FFDD-4B46-8C0F-91069FA97E3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Model!$C$2:$R$2</c:f>
              <c:strCache>
                <c:ptCount val="16"/>
                <c:pt idx="0">
                  <c:v>1Q17</c:v>
                </c:pt>
                <c:pt idx="1">
                  <c:v>2Q17</c:v>
                </c:pt>
                <c:pt idx="2">
                  <c:v>3Q17</c:v>
                </c:pt>
                <c:pt idx="3">
                  <c:v>4Q17</c:v>
                </c:pt>
                <c:pt idx="4">
                  <c:v>1Q18</c:v>
                </c:pt>
                <c:pt idx="5">
                  <c:v>2Q18</c:v>
                </c:pt>
                <c:pt idx="6">
                  <c:v>3Q18</c:v>
                </c:pt>
                <c:pt idx="7">
                  <c:v>4Q18</c:v>
                </c:pt>
                <c:pt idx="8">
                  <c:v>1Q19</c:v>
                </c:pt>
                <c:pt idx="9">
                  <c:v>2Q19</c:v>
                </c:pt>
                <c:pt idx="10">
                  <c:v>3Q19</c:v>
                </c:pt>
                <c:pt idx="11">
                  <c:v>4Q19</c:v>
                </c:pt>
                <c:pt idx="12">
                  <c:v>1Q20</c:v>
                </c:pt>
                <c:pt idx="13">
                  <c:v>2Q20</c:v>
                </c:pt>
                <c:pt idx="14">
                  <c:v>3Q20</c:v>
                </c:pt>
                <c:pt idx="15">
                  <c:v>4Q20</c:v>
                </c:pt>
              </c:strCache>
            </c:strRef>
          </c:cat>
          <c:val>
            <c:numRef>
              <c:f>Model!$C$5:$R$5</c:f>
              <c:numCache>
                <c:formatCode>#,##0</c:formatCode>
                <c:ptCount val="16"/>
                <c:pt idx="0">
                  <c:v>94.36</c:v>
                </c:pt>
                <c:pt idx="1">
                  <c:v>99.04</c:v>
                </c:pt>
                <c:pt idx="2">
                  <c:v>104.02</c:v>
                </c:pt>
                <c:pt idx="3">
                  <c:v>110.64</c:v>
                </c:pt>
                <c:pt idx="4">
                  <c:v>118.9</c:v>
                </c:pt>
                <c:pt idx="5">
                  <c:v>124.35</c:v>
                </c:pt>
                <c:pt idx="6">
                  <c:v>130.41999999999999</c:v>
                </c:pt>
                <c:pt idx="7">
                  <c:v>139.26</c:v>
                </c:pt>
                <c:pt idx="8">
                  <c:v>148.86000000000001</c:v>
                </c:pt>
                <c:pt idx="9">
                  <c:v>151.56</c:v>
                </c:pt>
                <c:pt idx="10">
                  <c:v>158.33000000000001</c:v>
                </c:pt>
                <c:pt idx="11">
                  <c:v>167.09</c:v>
                </c:pt>
                <c:pt idx="12">
                  <c:v>182.86</c:v>
                </c:pt>
                <c:pt idx="13">
                  <c:v>192.95</c:v>
                </c:pt>
                <c:pt idx="14">
                  <c:v>195.15</c:v>
                </c:pt>
                <c:pt idx="15">
                  <c:v>203.66</c:v>
                </c:pt>
              </c:numCache>
            </c:numRef>
          </c:val>
          <c:extLst>
            <c:ext xmlns:c16="http://schemas.microsoft.com/office/drawing/2014/chart" uri="{C3380CC4-5D6E-409C-BE32-E72D297353CC}">
              <c16:uniqueId val="{00000000-FFDD-4B46-8C0F-91069FA97E39}"/>
            </c:ext>
          </c:extLst>
        </c:ser>
        <c:dLbls>
          <c:dLblPos val="outEnd"/>
          <c:showLegendKey val="0"/>
          <c:showVal val="1"/>
          <c:showCatName val="0"/>
          <c:showSerName val="0"/>
          <c:showPercent val="0"/>
          <c:showBubbleSize val="0"/>
        </c:dLbls>
        <c:gapWidth val="100"/>
        <c:overlap val="-24"/>
        <c:axId val="579517256"/>
        <c:axId val="579518896"/>
      </c:barChart>
      <c:catAx>
        <c:axId val="57951725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518896"/>
        <c:crosses val="autoZero"/>
        <c:auto val="1"/>
        <c:lblAlgn val="ctr"/>
        <c:lblOffset val="100"/>
        <c:noMultiLvlLbl val="0"/>
      </c:catAx>
      <c:valAx>
        <c:axId val="57951889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517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40</xdr:col>
      <xdr:colOff>76200</xdr:colOff>
      <xdr:row>0</xdr:row>
      <xdr:rowOff>82550</xdr:rowOff>
    </xdr:from>
    <xdr:to>
      <xdr:col>40</xdr:col>
      <xdr:colOff>76200</xdr:colOff>
      <xdr:row>66</xdr:row>
      <xdr:rowOff>95250</xdr:rowOff>
    </xdr:to>
    <xdr:cxnSp macro="">
      <xdr:nvCxnSpPr>
        <xdr:cNvPr id="3" name="Straight Connector 2">
          <a:extLst>
            <a:ext uri="{FF2B5EF4-FFF2-40B4-BE49-F238E27FC236}">
              <a16:creationId xmlns:a16="http://schemas.microsoft.com/office/drawing/2014/main" id="{C0EADE8D-B076-4390-B6CE-5967B271DC42}"/>
            </a:ext>
          </a:extLst>
        </xdr:cNvPr>
        <xdr:cNvCxnSpPr/>
      </xdr:nvCxnSpPr>
      <xdr:spPr>
        <a:xfrm>
          <a:off x="28355925" y="82550"/>
          <a:ext cx="0" cy="11957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104775</xdr:colOff>
      <xdr:row>0</xdr:row>
      <xdr:rowOff>82550</xdr:rowOff>
    </xdr:from>
    <xdr:to>
      <xdr:col>27</xdr:col>
      <xdr:colOff>104775</xdr:colOff>
      <xdr:row>64</xdr:row>
      <xdr:rowOff>15875</xdr:rowOff>
    </xdr:to>
    <xdr:cxnSp macro="">
      <xdr:nvCxnSpPr>
        <xdr:cNvPr id="4" name="Straight Connector 3">
          <a:extLst>
            <a:ext uri="{FF2B5EF4-FFF2-40B4-BE49-F238E27FC236}">
              <a16:creationId xmlns:a16="http://schemas.microsoft.com/office/drawing/2014/main" id="{9CE82AEC-E0AE-44EC-994C-EAB9B68C03F4}"/>
            </a:ext>
          </a:extLst>
        </xdr:cNvPr>
        <xdr:cNvCxnSpPr/>
      </xdr:nvCxnSpPr>
      <xdr:spPr>
        <a:xfrm>
          <a:off x="20088225" y="82550"/>
          <a:ext cx="0" cy="115157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609599</xdr:colOff>
      <xdr:row>1</xdr:row>
      <xdr:rowOff>190499</xdr:rowOff>
    </xdr:from>
    <xdr:to>
      <xdr:col>11</xdr:col>
      <xdr:colOff>590550</xdr:colOff>
      <xdr:row>24</xdr:row>
      <xdr:rowOff>19050</xdr:rowOff>
    </xdr:to>
    <xdr:graphicFrame macro="">
      <xdr:nvGraphicFramePr>
        <xdr:cNvPr id="3" name="Chart 2">
          <a:extLst>
            <a:ext uri="{FF2B5EF4-FFF2-40B4-BE49-F238E27FC236}">
              <a16:creationId xmlns:a16="http://schemas.microsoft.com/office/drawing/2014/main" id="{C6211135-BF39-42D6-B175-4DC0FB1D6F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wlshe\Documents\Models\00%20Dashboard.xlsx" TargetMode="External"/><Relationship Id="rId1" Type="http://schemas.openxmlformats.org/officeDocument/2006/relationships/externalLinkPath" Target="00%2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Bond Yields"/>
      <sheetName val="Companies"/>
    </sheetNames>
    <sheetDataSet>
      <sheetData sheetId="0">
        <row r="12">
          <cell r="C12">
            <v>3.8899999999999997E-2</v>
          </cell>
        </row>
      </sheetData>
      <sheetData sheetId="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5">
  <rv s="0">
    <v>https://www.bing.com/financeapi/forcetrigger?t=a1ygoc&amp;q=XNAS%3aNFLX&amp;form=skydnc</v>
    <v>Learn more on Bing</v>
  </rv>
  <rv s="1">
    <v>en-US</v>
    <v>a1ygoc</v>
    <v>268435456</v>
    <v>1</v>
    <v>Powered by Refinitiv</v>
    <v>0</v>
    <v>NETFLIX, INC. (XNAS:NFLX)</v>
    <v>2</v>
    <v>3</v>
    <v>Finance</v>
    <v>4</v>
    <v>437.27</v>
    <v>164.28</v>
    <v>1.2648999999999999</v>
    <v>11.76</v>
    <v>6.1959999999999999E-4</v>
    <v>2.7737999999999999E-2</v>
    <v>0.27</v>
    <v>USD</v>
    <v>Netflix, Inc. is an entertainment services company. The Company has paid memberships in over 190 countries with television (TV) series, films and games across a variety of genres and languages. Its members can play, pause and resume to watch, as much as they want, anytime, anywhere, and can change their plans at any time. It offers a variety of streaming membership plans, the price of which varies by country, and the features of the plan. The pricing of its plans ranges from United States dollar equivalent of approximately $1 to $26 per month. It offers members the ability to receive streaming content through a host of Internet-connected devices, including TVs, digital video players, TV set-top boxes, and mobile devices. The Company has agreements with various cable, satellite and telecommunications operators to make its service available through the TV set-top boxes of these service providers. The Company acquires, licenses, and produces content, including original programming.</v>
    <v>12800</v>
    <v>Nasdaq Stock Market</v>
    <v>XNAS</v>
    <v>XNAS</v>
    <v>121 Albright Way, LOS GATOS, CA, 95032 US</v>
    <v>437.27</v>
    <v>Software &amp; IT Services</v>
    <v>Stock</v>
    <v>45090.999904142969</v>
    <v>0</v>
    <v>428.4</v>
    <v>193699893503</v>
    <v>NETFLIX, INC.</v>
    <v>NETFLIX, INC.</v>
    <v>430.01</v>
    <v>49.902500000000003</v>
    <v>423.97</v>
    <v>435.73</v>
    <v>436</v>
    <v>444541100</v>
    <v>NFLX</v>
    <v>NETFLIX, INC. (XNAS:NFLX)</v>
    <v>7820535</v>
    <v>7378348</v>
    <v>1997</v>
  </rv>
  <rv s="2">
    <v>1</v>
  </rv>
  <rv s="0">
    <v>http://en.wikipedia.org/wiki/Public_domain</v>
    <v>Public domain</v>
  </rv>
  <rv s="0">
    <v>http://en.wikipedia.org/wiki/CBS_Corporation</v>
    <v>Wikipedia</v>
  </rv>
  <rv s="3">
    <v>3</v>
    <v>4</v>
  </rv>
  <rv s="4">
    <v>9</v>
    <v>https://www.bing.com/th?id=AMMS_6017cbc2a2b9a7e0267820597f74cec1&amp;qlt=95</v>
    <v>5</v>
    <v>0</v>
    <v>https://www.bing.com/images/search?form=xlimg&amp;q=cbs+corporation</v>
    <v>Image of PARAMOUNT GLOBAL</v>
  </rv>
  <rv s="0">
    <v>https://www.bing.com/financeapi/forcetrigger?t=a1pb4c&amp;q=XNAS%3aPARA&amp;form=skydnc</v>
    <v>Learn more on Bing</v>
  </rv>
  <rv s="5">
    <v>en-US</v>
    <v>a1pb4c</v>
    <v>268435456</v>
    <v>1</v>
    <v>Powered by Refinitiv</v>
    <v>5</v>
    <v>PARAMOUNT GLOBAL (XNAS:PARA)</v>
    <v>7</v>
    <v>8</v>
    <v>Finance</v>
    <v>4</v>
    <v>27.5</v>
    <v>13.8</v>
    <v>1.6845000000000001</v>
    <v>0.11</v>
    <v>0</v>
    <v>6.6629999999999997E-3</v>
    <v>0</v>
    <v>USD</v>
    <v>Paramount Global is a global media, streaming and entertainment company that creates content for audiences worldwide. The Company's segments include TV Media, Direct-to-Consumer and Filmed Entertainment. The TV Media segment consists of its domestic and international broadcast networks and owned television stations; domestic and international extensions of its cable networks, and domestic and international television studio operations, and production and distribution of first-run syndicated programming. The Direct-to-Consumer segment consists of its portfolio of domestic and international pay and free streaming services. The Filmed Entertainment segment consists of its production and acquisition of films, series and short-form content for release and licensing in media around the world, including in theaters, on streaming services, on television, and through digital home entertainment and digital versatile discs (DVDs).</v>
    <v>24500</v>
    <v>Nasdaq Stock Market</v>
    <v>XNAS</v>
    <v>XNAS</v>
    <v>1515 Broadway, NEW YORK, NY, 10036 US</v>
    <v>16.89</v>
    <v>6</v>
    <v>Media &amp; Publishing</v>
    <v>Stock</v>
    <v>45090.999684363283</v>
    <v>7</v>
    <v>16.559999999999999</v>
    <v>10856530000</v>
    <v>PARAMOUNT GLOBAL</v>
    <v>PARAMOUNT GLOBAL</v>
    <v>16.61</v>
    <v>3.4983</v>
    <v>16.510000000000002</v>
    <v>16.62</v>
    <v>16.62</v>
    <v>651557300</v>
    <v>PARA</v>
    <v>PARAMOUNT GLOBAL (XNAS:PARA)</v>
    <v>9224925</v>
    <v>18695609</v>
    <v>1986</v>
  </rv>
  <rv s="2">
    <v>8</v>
  </rv>
  <rv s="0">
    <v>http://en.wikipedia.org/wiki/The_Walt_Disney_Company</v>
    <v>Wikipedia</v>
  </rv>
  <rv s="3">
    <v>3</v>
    <v>10</v>
  </rv>
  <rv s="4">
    <v>9</v>
    <v>https://www.bing.com/th?id=AMMS_0aa288ba528f6f45e3de87d97e250136&amp;qlt=95</v>
    <v>11</v>
    <v>0</v>
    <v>https://www.bing.com/images/search?form=xlimg&amp;q=the+walt+disney+company</v>
    <v>Image of THE WALT DISNEY COMPANY</v>
  </rv>
  <rv s="0">
    <v>https://www.bing.com/financeapi/forcetrigger?t=a1r2z2&amp;q=XNYS%3aDIS&amp;form=skydnc</v>
    <v>Learn more on Bing</v>
  </rv>
  <rv s="5">
    <v>en-US</v>
    <v>a1r2z2</v>
    <v>268435456</v>
    <v>1</v>
    <v>Powered by Refinitiv</v>
    <v>5</v>
    <v>THE WALT DISNEY COMPANY (XNYS:DIS)</v>
    <v>7</v>
    <v>8</v>
    <v>Finance</v>
    <v>4</v>
    <v>126.48</v>
    <v>84.07</v>
    <v>1.3099000000000001</v>
    <v>0.71</v>
    <v>1.0659999999999999E-4</v>
    <v>7.6229999999999996E-3</v>
    <v>0.01</v>
    <v>USD</v>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Company's Content Sales/Licensing business consist of selling film and episodic television content in the television and subscription video-on-demand (TV/SVOD) and home entertainment markets.</v>
    <v>220000</v>
    <v>New York Stock Exchange</v>
    <v>XNYS</v>
    <v>XNYS</v>
    <v>500 S Buena Vista St, BURBANK, CA, 91521-0001 US</v>
    <v>94.44</v>
    <v>12</v>
    <v>Media &amp; Publishing</v>
    <v>Stock</v>
    <v>45090.999758135935</v>
    <v>13</v>
    <v>93.44</v>
    <v>171492574250</v>
    <v>THE WALT DISNEY COMPANY</v>
    <v>THE WALT DISNEY COMPANY</v>
    <v>94.12</v>
    <v>41.305100000000003</v>
    <v>93.14</v>
    <v>93.85</v>
    <v>93.86</v>
    <v>1827305000</v>
    <v>DIS</v>
    <v>THE WALT DISNEY COMPANY (XNYS:DIS)</v>
    <v>12964433</v>
    <v>15647796</v>
    <v>2018</v>
  </rv>
  <rv s="2">
    <v>14</v>
  </rv>
  <rv s="0">
    <v>http://en.wikipedia.org/wiki/Roku,_Inc.</v>
    <v>Wikipedia</v>
  </rv>
  <rv s="3">
    <v>3</v>
    <v>16</v>
  </rv>
  <rv s="4">
    <v>9</v>
    <v>https://www.bing.com/th?id=AMMS_13240dc8e8eb91fe0ba2ee2ae9b85354&amp;qlt=95</v>
    <v>17</v>
    <v>0</v>
    <v>https://www.bing.com/images/search?form=xlimg&amp;q=roku+cnnmoney</v>
    <v>Image of ROKU, INC.</v>
  </rv>
  <rv s="0">
    <v>https://www.bing.com/financeapi/forcetrigger?t=a226p2&amp;q=XNAS%3aROKU&amp;form=skydnc</v>
    <v>Learn more on Bing</v>
  </rv>
  <rv s="5">
    <v>en-US</v>
    <v>a226p2</v>
    <v>268435456</v>
    <v>1</v>
    <v>Powered by Refinitiv</v>
    <v>5</v>
    <v>ROKU, INC. (XNAS:ROKU)</v>
    <v>7</v>
    <v>8</v>
    <v>Finance</v>
    <v>4</v>
    <v>101.41500000000001</v>
    <v>38.26</v>
    <v>1.7306999999999999</v>
    <v>1.89</v>
    <v>1.495E-3</v>
    <v>2.6360000000000001E-2</v>
    <v>0.11</v>
    <v>USD</v>
    <v>Roku, Inc. is a television (TV) streaming platform in the United States, Mexico and Canada. The Company is engaged in the sale of digital advertising and related services, including demand-side platform and content distribution services such as subscription and transaction revenue shares, media and entertainment promotional spending, the sale of premium subscriptions, and the sale of branded channel buttons on remote controls. It has two segments: Platform and Devices. Platform segment sells digital advertising to advertisers directly or through advertising agencies and to content publishers for their media and entertainment promotions via various campaign tools. Devices segment sells the majority of its devices in the United States through retailers and distributors, as well as through the Company’s Website. Devices revenue primarily consists of hardware, embedded software, and unspecified upgrades and updates on a when and if-available basis.</v>
    <v>3600</v>
    <v>Nasdaq Stock Market</v>
    <v>XNAS</v>
    <v>XNAS</v>
    <v>1155 Coleman Avenue, SAN JOSE, CA, 95110 US</v>
    <v>73.959699999999998</v>
    <v>18</v>
    <v>Media &amp; Publishing</v>
    <v>Stock</v>
    <v>45090.999969375</v>
    <v>19</v>
    <v>71.03</v>
    <v>10360397586</v>
    <v>ROKU, INC.</v>
    <v>ROKU, INC.</v>
    <v>72.92</v>
    <v>87.054699999999997</v>
    <v>71.7</v>
    <v>73.59</v>
    <v>73.7</v>
    <v>140785400</v>
    <v>ROKU</v>
    <v>ROKU, INC. (XNAS:ROKU)</v>
    <v>6815412</v>
    <v>6474664</v>
    <v>2002</v>
  </rv>
  <rv s="2">
    <v>20</v>
  </rv>
  <rv s="0">
    <v>https://www.bing.com/financeapi/forcetrigger?t=a1slm7&amp;q=XNAS%3aMETA&amp;form=skydnc</v>
    <v>Learn more on Bing</v>
  </rv>
  <rv s="1">
    <v>en-US</v>
    <v>a1slm7</v>
    <v>268435456</v>
    <v>1</v>
    <v>Powered by Refinitiv</v>
    <v>0</v>
    <v>Meta Platforms, Inc. (XNAS:META)</v>
    <v>2</v>
    <v>3</v>
    <v>Finance</v>
    <v>4</v>
    <v>276.57</v>
    <v>88.09</v>
    <v>1.1867000000000001</v>
    <v>0.27</v>
    <v>1.474E-4</v>
    <v>9.9609999999999998E-4</v>
    <v>0.04</v>
    <v>USD</v>
    <v>Meta Platforms, Inc. builds technologies that help people connect, find communities, and grow businesses. The Company's products enable people to connect and share with friends and family through mobile devices, personal computers, virtual reality (VR) headsets, and wearables. The Company operates through two segments: Family of Apps (FoA) and Reality Labs (RL). FoA segment includes Facebook, Instagram, Messenger, WhatsApp, and other services. RL segment includes augmented and VR-related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Its RL products include Meta Quest virtual reality devices, as well as software and content available through the Meta Quest Store, which enable a range of social experiences.</v>
    <v>77114</v>
    <v>Nasdaq Stock Market</v>
    <v>XNAS</v>
    <v>XNAS</v>
    <v>1 Meta Way, MENLO PARK, CA, 94025 US</v>
    <v>275.72000000000003</v>
    <v>Software &amp; IT Services</v>
    <v>Stock</v>
    <v>45090.999897835158</v>
    <v>22</v>
    <v>269.09230000000002</v>
    <v>695320446240</v>
    <v>Meta Platforms, Inc.</v>
    <v>Meta Platforms, Inc.</v>
    <v>274.88</v>
    <v>33.657400000000003</v>
    <v>271.05</v>
    <v>271.32</v>
    <v>271.36</v>
    <v>2562732000</v>
    <v>META</v>
    <v>Meta Platforms, Inc. (XNAS:META)</v>
    <v>16164024</v>
    <v>20759864</v>
    <v>2004</v>
  </rv>
  <rv s="2">
    <v>23</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0">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0</v>
      <v>0</v>
    </spb>
    <spb s="6">
      <v>6</v>
      <v>1</v>
      <v>1</v>
      <v>1</v>
      <v>1</v>
    </spb>
    <spb s="7">
      <v>1</v>
      <v>2</v>
      <v>2</v>
      <v>1</v>
      <v>3</v>
      <v>1</v>
      <v>10</v>
      <v>1</v>
      <v>1</v>
      <v>4</v>
      <v>4</v>
      <v>5</v>
      <v>6</v>
      <v>1</v>
      <v>1</v>
      <v>1</v>
      <v>4</v>
      <v>7</v>
      <v>8</v>
      <v>9</v>
      <v>4</v>
      <v>1</v>
      <v>1</v>
      <v>5</v>
    </spb>
    <spb s="8">
      <v>Powered by Refinitiv</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4" formatCode="#,##0.00"/>
    </x:dxf>
    <x:dxf>
      <x:numFmt numFmtId="3" formatCode="#,##0"/>
    </x:dxf>
    <x:dxf>
      <x:numFmt numFmtId="14" formatCode="0.00%"/>
    </x:dxf>
    <x:dxf>
      <x:numFmt numFmtId="27" formatCode="m/d/yyyy\ h:mm"/>
    </x:dxf>
    <x:dxf>
      <x:numFmt numFmtId="1" formatCode="0"/>
    </x:dxf>
    <x:dxf>
      <x:numFmt numFmtId="2" formatCode="0.00"/>
    </x:dxf>
    <x:dxf>
      <x:numFmt numFmtId="0" formatCode="General"/>
    </x:dxf>
  </dxfs>
  <richProperties>
    <rPr n="NumberFormat" t="s"/>
    <rPr n="IsTitleField" t="b"/>
    <rPr n="IsHeroField" t="b"/>
  </richProperties>
  <richStyles>
    <rSty dxfid="6">
      <rpv i="0">_([$$-en-US]* #,##0.00_);_([$$-en-US]* (#,##0.00);_([$$-en-US]* "-"??_);_(@_)</rpv>
    </rSty>
    <rSty dxfid="0">
      <rpv i="0">#,##0.00</rpv>
    </rSty>
    <rSty>
      <rpv i="1">1</rpv>
    </rSty>
    <rSty dxfid="1">
      <rpv i="0">#,##0</rpv>
    </rSty>
    <rSty dxfid="2"/>
    <rSty dxfid="6">
      <rpv i="0">_([$$-en-US]* #,##0_);_([$$-en-US]* (#,##0);_([$$-en-US]* "-"_);_(@_)</rpv>
    </rSty>
    <rSty dxfid="3"/>
    <rSty dxfid="4">
      <rpv i="0">0</rpv>
    </rSty>
    <rSty dxfid="5">
      <rpv i="0">0.00</rpv>
    </rSty>
    <rSty>
      <rpv i="2">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FB.xlsx"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A9CC4-6D31-487D-9A07-30660312F10D}">
  <dimension ref="B3:D17"/>
  <sheetViews>
    <sheetView workbookViewId="0">
      <selection activeCell="C8" sqref="C8"/>
    </sheetView>
  </sheetViews>
  <sheetFormatPr defaultColWidth="9.1796875" defaultRowHeight="14" x14ac:dyDescent="0.3"/>
  <cols>
    <col min="1" max="1" width="9.1796875" style="4"/>
    <col min="2" max="2" width="11.54296875" style="4" bestFit="1" customWidth="1"/>
    <col min="3" max="3" width="45.453125" style="4" bestFit="1" customWidth="1"/>
    <col min="4" max="4" width="7.7265625" style="4" bestFit="1" customWidth="1"/>
    <col min="5" max="16384" width="9.1796875" style="4"/>
  </cols>
  <sheetData>
    <row r="3" spans="2:4" x14ac:dyDescent="0.3">
      <c r="B3" s="1" t="s">
        <v>0</v>
      </c>
      <c r="C3" s="2" t="e" vm="1">
        <v>#VALUE!</v>
      </c>
      <c r="D3" s="3" t="s">
        <v>7</v>
      </c>
    </row>
    <row r="4" spans="2:4" x14ac:dyDescent="0.3">
      <c r="B4" s="5" t="s">
        <v>1</v>
      </c>
      <c r="C4" s="6" cm="1">
        <f t="array" ref="C4">_FV(C3,"Price")</f>
        <v>435.73</v>
      </c>
      <c r="D4" s="7"/>
    </row>
    <row r="5" spans="2:4" x14ac:dyDescent="0.3">
      <c r="B5" s="5" t="s">
        <v>2</v>
      </c>
      <c r="C5" s="8">
        <v>452.41699999999997</v>
      </c>
      <c r="D5" s="9" t="s">
        <v>101</v>
      </c>
    </row>
    <row r="6" spans="2:4" x14ac:dyDescent="0.3">
      <c r="B6" s="5" t="s">
        <v>3</v>
      </c>
      <c r="C6" s="8">
        <f>C5*C4</f>
        <v>197131.65940999999</v>
      </c>
      <c r="D6" s="9"/>
    </row>
    <row r="7" spans="2:4" x14ac:dyDescent="0.3">
      <c r="B7" s="5" t="s">
        <v>4</v>
      </c>
      <c r="C7" s="8">
        <f>6714.594+1112.91</f>
        <v>7827.5039999999999</v>
      </c>
      <c r="D7" s="9" t="s">
        <v>101</v>
      </c>
    </row>
    <row r="8" spans="2:4" x14ac:dyDescent="0.3">
      <c r="B8" s="5" t="s">
        <v>5</v>
      </c>
      <c r="C8" s="8">
        <f>399.163+14037.965</f>
        <v>14437.128000000001</v>
      </c>
      <c r="D8" s="9" t="s">
        <v>101</v>
      </c>
    </row>
    <row r="9" spans="2:4" x14ac:dyDescent="0.3">
      <c r="B9" s="10" t="s">
        <v>6</v>
      </c>
      <c r="C9" s="11">
        <f>C6-C7+C8</f>
        <v>203741.28341</v>
      </c>
      <c r="D9" s="12"/>
    </row>
    <row r="12" spans="2:4" x14ac:dyDescent="0.3">
      <c r="C12" s="3" t="s">
        <v>88</v>
      </c>
    </row>
    <row r="13" spans="2:4" x14ac:dyDescent="0.3">
      <c r="C13" s="5" t="e" vm="2">
        <v>#VALUE!</v>
      </c>
    </row>
    <row r="14" spans="2:4" x14ac:dyDescent="0.3">
      <c r="C14" s="5" t="e" vm="3">
        <v>#VALUE!</v>
      </c>
    </row>
    <row r="15" spans="2:4" x14ac:dyDescent="0.3">
      <c r="C15" s="5" t="e" vm="4">
        <v>#VALUE!</v>
      </c>
    </row>
    <row r="16" spans="2:4" x14ac:dyDescent="0.3">
      <c r="C16" s="13" t="e" vm="5">
        <v>#VALUE!</v>
      </c>
    </row>
    <row r="17" spans="3:3" x14ac:dyDescent="0.3">
      <c r="C17" s="10"/>
    </row>
  </sheetData>
  <hyperlinks>
    <hyperlink ref="C16" r:id="rId1" display="FB.xlsx" xr:uid="{229B0614-FAAD-48A1-B5C0-CA193A34E9D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2B879-46A6-4B45-966C-866618BCA7C3}">
  <dimension ref="A2:OB162"/>
  <sheetViews>
    <sheetView tabSelected="1" workbookViewId="0">
      <pane xSplit="2" ySplit="2" topLeftCell="AF18" activePane="bottomRight" state="frozen"/>
      <selection pane="topRight" activeCell="C1" sqref="C1"/>
      <selection pane="bottomLeft" activeCell="A3" sqref="A3"/>
      <selection pane="bottomRight" activeCell="AQ6" sqref="AQ6"/>
    </sheetView>
  </sheetViews>
  <sheetFormatPr defaultColWidth="9.1796875" defaultRowHeight="14" x14ac:dyDescent="0.3"/>
  <cols>
    <col min="1" max="1" width="9.1796875" style="4"/>
    <col min="2" max="2" width="48.81640625" style="4" bestFit="1" customWidth="1"/>
    <col min="3" max="7" width="9.1796875" style="4"/>
    <col min="8" max="8" width="8.7265625" style="4" customWidth="1"/>
    <col min="9" max="16" width="9.1796875" style="4"/>
    <col min="17" max="17" width="9.26953125" style="4" customWidth="1"/>
    <col min="18" max="45" width="9.1796875" style="4"/>
    <col min="46" max="46" width="14.26953125" style="4" bestFit="1" customWidth="1"/>
    <col min="47" max="50" width="9.1796875" style="4"/>
    <col min="51" max="51" width="10" style="4" customWidth="1"/>
    <col min="52" max="53" width="9.1796875" style="4"/>
    <col min="54" max="54" width="10.7265625" style="4" customWidth="1"/>
    <col min="55" max="16384" width="9.1796875" style="4"/>
  </cols>
  <sheetData>
    <row r="2" spans="1:48" x14ac:dyDescent="0.3">
      <c r="C2" s="14" t="s">
        <v>21</v>
      </c>
      <c r="D2" s="14" t="s">
        <v>22</v>
      </c>
      <c r="E2" s="14" t="s">
        <v>23</v>
      </c>
      <c r="F2" s="14" t="s">
        <v>24</v>
      </c>
      <c r="G2" s="14" t="s">
        <v>25</v>
      </c>
      <c r="H2" s="14" t="s">
        <v>26</v>
      </c>
      <c r="I2" s="14" t="s">
        <v>27</v>
      </c>
      <c r="J2" s="14" t="s">
        <v>28</v>
      </c>
      <c r="K2" s="14" t="s">
        <v>29</v>
      </c>
      <c r="L2" s="14" t="s">
        <v>30</v>
      </c>
      <c r="M2" s="14" t="s">
        <v>31</v>
      </c>
      <c r="N2" s="14" t="s">
        <v>32</v>
      </c>
      <c r="O2" s="14" t="s">
        <v>33</v>
      </c>
      <c r="P2" s="14" t="s">
        <v>34</v>
      </c>
      <c r="Q2" s="14" t="s">
        <v>8</v>
      </c>
      <c r="R2" s="14" t="s">
        <v>91</v>
      </c>
      <c r="S2" s="14" t="s">
        <v>92</v>
      </c>
      <c r="T2" s="14" t="s">
        <v>94</v>
      </c>
      <c r="U2" s="14" t="s">
        <v>95</v>
      </c>
      <c r="V2" s="14" t="s">
        <v>96</v>
      </c>
      <c r="W2" s="14" t="s">
        <v>97</v>
      </c>
      <c r="X2" s="14" t="s">
        <v>98</v>
      </c>
      <c r="Y2" s="14" t="s">
        <v>99</v>
      </c>
      <c r="Z2" s="14" t="s">
        <v>100</v>
      </c>
      <c r="AA2" s="14" t="s">
        <v>101</v>
      </c>
      <c r="AB2" s="14" t="s">
        <v>102</v>
      </c>
      <c r="AC2" s="14" t="s">
        <v>103</v>
      </c>
      <c r="AD2" s="14" t="s">
        <v>104</v>
      </c>
      <c r="AE2" s="14"/>
      <c r="AF2" s="14"/>
      <c r="AI2" s="4">
        <v>2017</v>
      </c>
      <c r="AJ2" s="4">
        <v>2018</v>
      </c>
      <c r="AK2" s="4">
        <v>2019</v>
      </c>
      <c r="AL2" s="4">
        <v>2020</v>
      </c>
      <c r="AM2" s="4">
        <v>2021</v>
      </c>
      <c r="AN2" s="4">
        <v>2022</v>
      </c>
      <c r="AO2" s="4">
        <v>2023</v>
      </c>
      <c r="AP2" s="4">
        <v>2024</v>
      </c>
      <c r="AQ2" s="4">
        <v>2025</v>
      </c>
    </row>
    <row r="3" spans="1:48" s="15" customFormat="1" x14ac:dyDescent="0.3">
      <c r="A3" s="4"/>
      <c r="B3" s="4" t="s">
        <v>89</v>
      </c>
      <c r="C3" s="14"/>
      <c r="D3" s="14"/>
      <c r="E3" s="14"/>
      <c r="F3" s="14"/>
      <c r="G3" s="14"/>
      <c r="H3" s="14"/>
      <c r="I3" s="14"/>
      <c r="J3" s="14"/>
      <c r="K3" s="14"/>
      <c r="L3" s="14"/>
      <c r="M3" s="14"/>
      <c r="N3" s="14"/>
      <c r="O3" s="14"/>
      <c r="P3" s="14"/>
      <c r="Q3" s="14"/>
      <c r="R3" s="14"/>
      <c r="S3" s="4"/>
      <c r="T3" s="4"/>
      <c r="U3" s="4"/>
      <c r="V3" s="4"/>
      <c r="W3" s="4"/>
      <c r="X3" s="4"/>
      <c r="Y3" s="4"/>
      <c r="Z3" s="4"/>
      <c r="AA3" s="4"/>
      <c r="AB3" s="4"/>
      <c r="AC3" s="4"/>
      <c r="AD3" s="4"/>
      <c r="AE3" s="4"/>
      <c r="AF3" s="4"/>
      <c r="AG3" s="4"/>
      <c r="AH3" s="4"/>
      <c r="AI3" s="15">
        <v>711.8</v>
      </c>
      <c r="AJ3" s="15">
        <v>743</v>
      </c>
      <c r="AK3" s="15">
        <v>785.1</v>
      </c>
      <c r="AL3" s="15">
        <v>882</v>
      </c>
      <c r="AM3" s="15">
        <v>955.7</v>
      </c>
      <c r="AN3" s="15">
        <v>1044.0999999999999</v>
      </c>
      <c r="AO3" s="15">
        <v>1142.8</v>
      </c>
      <c r="AP3" s="15">
        <v>1243.7</v>
      </c>
      <c r="AQ3" s="15">
        <v>1337.1</v>
      </c>
    </row>
    <row r="4" spans="1:48" x14ac:dyDescent="0.3">
      <c r="C4" s="14"/>
      <c r="D4" s="14"/>
      <c r="E4" s="14"/>
      <c r="F4" s="14"/>
      <c r="G4" s="14"/>
      <c r="H4" s="14"/>
      <c r="I4" s="14"/>
      <c r="J4" s="14"/>
      <c r="K4" s="14"/>
      <c r="L4" s="14"/>
      <c r="M4" s="14"/>
      <c r="N4" s="14"/>
      <c r="O4" s="14"/>
      <c r="P4" s="14"/>
      <c r="Q4" s="14"/>
      <c r="R4" s="14"/>
    </row>
    <row r="5" spans="1:48" s="15" customFormat="1" x14ac:dyDescent="0.3">
      <c r="A5" s="4"/>
      <c r="B5" s="4" t="s">
        <v>64</v>
      </c>
      <c r="C5" s="16">
        <v>94.36</v>
      </c>
      <c r="D5" s="16">
        <v>99.04</v>
      </c>
      <c r="E5" s="16">
        <v>104.02</v>
      </c>
      <c r="F5" s="16">
        <v>110.64</v>
      </c>
      <c r="G5" s="16">
        <v>118.9</v>
      </c>
      <c r="H5" s="16">
        <v>124.35</v>
      </c>
      <c r="I5" s="16">
        <v>130.41999999999999</v>
      </c>
      <c r="J5" s="16">
        <v>139.26</v>
      </c>
      <c r="K5" s="16">
        <v>148.86000000000001</v>
      </c>
      <c r="L5" s="16">
        <v>151.56</v>
      </c>
      <c r="M5" s="16">
        <v>158.33000000000001</v>
      </c>
      <c r="N5" s="16">
        <v>167.09</v>
      </c>
      <c r="O5" s="16">
        <v>182.86</v>
      </c>
      <c r="P5" s="16">
        <v>192.95</v>
      </c>
      <c r="Q5" s="16">
        <v>195.15</v>
      </c>
      <c r="R5" s="16">
        <v>203.66</v>
      </c>
      <c r="S5" s="15">
        <v>207.64</v>
      </c>
      <c r="T5" s="15">
        <v>209.18</v>
      </c>
      <c r="U5" s="15">
        <v>213.56</v>
      </c>
      <c r="V5" s="15">
        <v>221.84</v>
      </c>
      <c r="W5" s="15">
        <v>221.64</v>
      </c>
      <c r="X5" s="15">
        <v>220.67</v>
      </c>
      <c r="Y5" s="15">
        <v>223.09</v>
      </c>
      <c r="Z5" s="15">
        <v>230.75</v>
      </c>
      <c r="AA5" s="15">
        <v>232.5</v>
      </c>
      <c r="AI5" s="15">
        <f>F5</f>
        <v>110.64</v>
      </c>
      <c r="AJ5" s="15">
        <f>J5</f>
        <v>139.26</v>
      </c>
      <c r="AK5" s="15">
        <f>N5</f>
        <v>167.09</v>
      </c>
      <c r="AL5" s="15">
        <f>R5</f>
        <v>203.66</v>
      </c>
      <c r="AM5" s="15">
        <f>V5</f>
        <v>221.84</v>
      </c>
      <c r="AN5" s="15">
        <f>Z5</f>
        <v>230.75</v>
      </c>
      <c r="AO5" s="15">
        <f>AN5*1.12</f>
        <v>258.44</v>
      </c>
      <c r="AP5" s="15">
        <f>AO5*1.12</f>
        <v>289.45280000000002</v>
      </c>
      <c r="AQ5" s="15">
        <f>AP5*1.12</f>
        <v>324.18713600000007</v>
      </c>
    </row>
    <row r="6" spans="1:48" s="15" customFormat="1" x14ac:dyDescent="0.3">
      <c r="A6" s="4"/>
      <c r="B6" s="4" t="s">
        <v>65</v>
      </c>
      <c r="C6" s="16">
        <v>5.3</v>
      </c>
      <c r="D6" s="16">
        <v>4.7</v>
      </c>
      <c r="E6" s="16">
        <v>5</v>
      </c>
      <c r="F6" s="16">
        <v>6.6</v>
      </c>
      <c r="G6" s="16">
        <v>8.3000000000000007</v>
      </c>
      <c r="H6" s="16">
        <v>5.5</v>
      </c>
      <c r="I6" s="16">
        <v>6.1</v>
      </c>
      <c r="J6" s="16">
        <v>8.8000000000000007</v>
      </c>
      <c r="K6" s="16">
        <v>9.6</v>
      </c>
      <c r="L6" s="16">
        <v>2.7</v>
      </c>
      <c r="M6" s="16">
        <v>6.8</v>
      </c>
      <c r="N6" s="16">
        <v>8.8000000000000007</v>
      </c>
      <c r="O6" s="16">
        <v>15.8</v>
      </c>
      <c r="P6" s="16">
        <v>10.1</v>
      </c>
      <c r="Q6" s="16">
        <v>2.2000000000000002</v>
      </c>
      <c r="R6" s="15">
        <v>8.51</v>
      </c>
      <c r="S6" s="15">
        <v>3.98</v>
      </c>
      <c r="T6" s="15">
        <v>1.54</v>
      </c>
      <c r="U6" s="15">
        <v>4.38</v>
      </c>
      <c r="V6" s="15">
        <v>8.2799999999999994</v>
      </c>
      <c r="W6" s="15">
        <v>-0.2</v>
      </c>
      <c r="X6" s="15">
        <v>-0.97</v>
      </c>
      <c r="Y6" s="15">
        <v>2.41</v>
      </c>
      <c r="Z6" s="15">
        <v>7.66</v>
      </c>
      <c r="AA6" s="15">
        <v>1.75</v>
      </c>
      <c r="AI6" s="15">
        <f>SUM(C6:F6)</f>
        <v>21.6</v>
      </c>
      <c r="AJ6" s="15">
        <f>SUM(G6:J6)</f>
        <v>28.7</v>
      </c>
      <c r="AK6" s="15">
        <f>SUM(K6:N6)</f>
        <v>27.900000000000002</v>
      </c>
      <c r="AL6" s="15">
        <f>SUM(O6:R6)</f>
        <v>36.61</v>
      </c>
      <c r="AM6" s="15">
        <f>SUM(S6:V6)</f>
        <v>18.18</v>
      </c>
      <c r="AN6" s="15">
        <f>SUM(W6:Z6)</f>
        <v>8.9</v>
      </c>
    </row>
    <row r="7" spans="1:48" s="15" customFormat="1" x14ac:dyDescent="0.3">
      <c r="A7" s="4"/>
      <c r="B7" s="4" t="s">
        <v>66</v>
      </c>
      <c r="C7" s="16">
        <v>6.3</v>
      </c>
      <c r="D7" s="16">
        <v>3.7</v>
      </c>
      <c r="E7" s="16">
        <v>4.5999999999999996</v>
      </c>
      <c r="F7" s="16">
        <v>5.0999999999999996</v>
      </c>
      <c r="G7" s="16">
        <v>7.9</v>
      </c>
      <c r="H7" s="16">
        <v>6.1</v>
      </c>
      <c r="I7" s="16">
        <v>5.2</v>
      </c>
      <c r="J7" s="16">
        <v>7.6</v>
      </c>
      <c r="K7" s="16">
        <v>8.9</v>
      </c>
      <c r="L7" s="16">
        <v>5</v>
      </c>
      <c r="M7" s="16">
        <v>7</v>
      </c>
      <c r="N7" s="16">
        <v>7.6</v>
      </c>
      <c r="O7" s="16">
        <v>7</v>
      </c>
      <c r="P7" s="16">
        <v>7.5</v>
      </c>
      <c r="Q7" s="16">
        <v>2.5</v>
      </c>
      <c r="R7" s="16">
        <v>6</v>
      </c>
      <c r="S7" s="15">
        <v>6</v>
      </c>
      <c r="T7" s="15">
        <v>1</v>
      </c>
      <c r="U7" s="15">
        <v>3.5</v>
      </c>
      <c r="V7" s="15">
        <v>8.5</v>
      </c>
      <c r="W7" s="15">
        <v>2.5</v>
      </c>
      <c r="X7" s="15">
        <v>-2</v>
      </c>
      <c r="Y7" s="15">
        <v>1</v>
      </c>
      <c r="Z7" s="15">
        <v>4.5</v>
      </c>
      <c r="AA7" s="8" t="s">
        <v>105</v>
      </c>
      <c r="AB7" s="8" t="s">
        <v>105</v>
      </c>
      <c r="AI7" s="15">
        <f>SUM(C7:F7)</f>
        <v>19.7</v>
      </c>
      <c r="AJ7" s="15">
        <f>SUM(G7:J7)</f>
        <v>26.799999999999997</v>
      </c>
      <c r="AK7" s="15">
        <f>SUM(K7:N7)</f>
        <v>28.5</v>
      </c>
      <c r="AL7" s="15">
        <f>SUM(O7:R7)</f>
        <v>23</v>
      </c>
      <c r="AM7" s="15">
        <f>SUM(S7:V7)</f>
        <v>19</v>
      </c>
      <c r="AN7" s="15">
        <f t="shared" ref="AN7:AQ7" si="0">AN5-AM5</f>
        <v>8.9099999999999966</v>
      </c>
      <c r="AO7" s="15">
        <f>AO5-AN5</f>
        <v>27.689999999999998</v>
      </c>
      <c r="AP7" s="15">
        <f t="shared" si="0"/>
        <v>31.012800000000027</v>
      </c>
      <c r="AQ7" s="15">
        <f t="shared" si="0"/>
        <v>34.734336000000042</v>
      </c>
    </row>
    <row r="8" spans="1:48" s="15" customFormat="1" x14ac:dyDescent="0.3">
      <c r="A8" s="4"/>
      <c r="B8" s="4" t="s">
        <v>70</v>
      </c>
      <c r="C8" s="17">
        <f>C6/C7-1</f>
        <v>-0.15873015873015872</v>
      </c>
      <c r="D8" s="17">
        <f t="shared" ref="D8:Q8" si="1">D6/D7-1</f>
        <v>0.27027027027027017</v>
      </c>
      <c r="E8" s="17">
        <f t="shared" si="1"/>
        <v>8.6956521739130599E-2</v>
      </c>
      <c r="F8" s="17">
        <f t="shared" si="1"/>
        <v>0.29411764705882359</v>
      </c>
      <c r="G8" s="17">
        <f t="shared" si="1"/>
        <v>5.0632911392405111E-2</v>
      </c>
      <c r="H8" s="17">
        <f t="shared" si="1"/>
        <v>-9.8360655737704916E-2</v>
      </c>
      <c r="I8" s="17">
        <f t="shared" si="1"/>
        <v>0.17307692307692291</v>
      </c>
      <c r="J8" s="17">
        <f t="shared" si="1"/>
        <v>0.15789473684210531</v>
      </c>
      <c r="K8" s="17">
        <f t="shared" si="1"/>
        <v>7.8651685393258397E-2</v>
      </c>
      <c r="L8" s="17">
        <f t="shared" si="1"/>
        <v>-0.45999999999999996</v>
      </c>
      <c r="M8" s="17">
        <f t="shared" si="1"/>
        <v>-2.8571428571428581E-2</v>
      </c>
      <c r="N8" s="17">
        <f t="shared" si="1"/>
        <v>0.15789473684210531</v>
      </c>
      <c r="O8" s="17">
        <f t="shared" si="1"/>
        <v>1.2571428571428571</v>
      </c>
      <c r="P8" s="17">
        <f t="shared" si="1"/>
        <v>0.34666666666666668</v>
      </c>
      <c r="Q8" s="17">
        <f t="shared" si="1"/>
        <v>-0.11999999999999988</v>
      </c>
      <c r="R8" s="17">
        <f>R6/R7-1</f>
        <v>0.41833333333333322</v>
      </c>
      <c r="S8" s="17">
        <f t="shared" ref="S8:W8" si="2">S6/S7-1</f>
        <v>-0.33666666666666667</v>
      </c>
      <c r="T8" s="17">
        <f t="shared" si="2"/>
        <v>0.54</v>
      </c>
      <c r="U8" s="17">
        <f t="shared" si="2"/>
        <v>0.25142857142857133</v>
      </c>
      <c r="V8" s="17">
        <f t="shared" si="2"/>
        <v>-2.5882352941176578E-2</v>
      </c>
      <c r="W8" s="17">
        <f t="shared" si="2"/>
        <v>-1.08</v>
      </c>
      <c r="X8" s="17">
        <f t="shared" ref="X8" si="3">X6/X7-1</f>
        <v>-0.51500000000000001</v>
      </c>
      <c r="Y8" s="17">
        <f t="shared" ref="Y8" si="4">Y6/Y7-1</f>
        <v>1.4100000000000001</v>
      </c>
      <c r="Z8" s="17">
        <f t="shared" ref="Z8" si="5">Z6/Z7-1</f>
        <v>0.7022222222222223</v>
      </c>
      <c r="AA8" s="17" t="e">
        <f t="shared" ref="AA8" si="6">AA6/AA7-1</f>
        <v>#VALUE!</v>
      </c>
      <c r="AI8" s="18">
        <f>AI6/AI7-1</f>
        <v>9.6446700507614391E-2</v>
      </c>
      <c r="AJ8" s="18">
        <f>AJ6/AJ7-1</f>
        <v>7.0895522388059851E-2</v>
      </c>
      <c r="AK8" s="18">
        <f>AK6/AK7-1</f>
        <v>-2.1052631578947323E-2</v>
      </c>
      <c r="AL8" s="18">
        <f>AL6/AL7-1</f>
        <v>0.59173913043478255</v>
      </c>
      <c r="AM8" s="18">
        <f t="shared" ref="AM8" si="7">AM6/AM7-1</f>
        <v>-4.3157894736842173E-2</v>
      </c>
      <c r="AN8" s="18">
        <f>AN6/AN7-1</f>
        <v>-1.1223344556673398E-3</v>
      </c>
      <c r="AO8" s="18"/>
    </row>
    <row r="10" spans="1:48" x14ac:dyDescent="0.3">
      <c r="B10" s="4" t="s">
        <v>90</v>
      </c>
      <c r="AI10" s="18">
        <f>AI5/AI3</f>
        <v>0.15543692048328184</v>
      </c>
      <c r="AJ10" s="18">
        <f t="shared" ref="AJ10:AN10" si="8">AJ5/AJ3</f>
        <v>0.18742934051144008</v>
      </c>
      <c r="AK10" s="18">
        <f t="shared" si="8"/>
        <v>0.21282639154247868</v>
      </c>
      <c r="AL10" s="18">
        <f>AL5/AL3</f>
        <v>0.23090702947845804</v>
      </c>
      <c r="AM10" s="18">
        <f t="shared" si="8"/>
        <v>0.23212305116668411</v>
      </c>
      <c r="AN10" s="18">
        <f t="shared" si="8"/>
        <v>0.22100373527439901</v>
      </c>
      <c r="AO10" s="18">
        <f>AO5/AO3</f>
        <v>0.22614630731536578</v>
      </c>
      <c r="AP10" s="18">
        <f>AP5/AP3</f>
        <v>0.232735225536705</v>
      </c>
      <c r="AQ10" s="18">
        <f>AQ5/AQ3</f>
        <v>0.24245541545134999</v>
      </c>
    </row>
    <row r="12" spans="1:48" s="15" customFormat="1" x14ac:dyDescent="0.3">
      <c r="B12" s="4" t="s">
        <v>68</v>
      </c>
      <c r="C12" s="16">
        <f t="shared" ref="C12:Q12" si="9">(C17/C5)*4</f>
        <v>111.76918185671896</v>
      </c>
      <c r="D12" s="16">
        <f t="shared" si="9"/>
        <v>112.49854604200323</v>
      </c>
      <c r="E12" s="16">
        <f t="shared" si="9"/>
        <v>114.78019611613152</v>
      </c>
      <c r="F12" s="16">
        <f t="shared" si="9"/>
        <v>118.79085321764281</v>
      </c>
      <c r="G12" s="16">
        <f t="shared" si="9"/>
        <v>124.50314550042053</v>
      </c>
      <c r="H12" s="16">
        <f t="shared" si="9"/>
        <v>125.68620828307198</v>
      </c>
      <c r="I12" s="16">
        <f t="shared" si="9"/>
        <v>122.66137095537495</v>
      </c>
      <c r="J12" s="16">
        <f t="shared" si="9"/>
        <v>120.25968691655898</v>
      </c>
      <c r="K12" s="16">
        <f t="shared" si="9"/>
        <v>121.48305790675802</v>
      </c>
      <c r="L12" s="16">
        <f>(L17/L5)*4</f>
        <v>129.9318025864344</v>
      </c>
      <c r="M12" s="16">
        <f t="shared" si="9"/>
        <v>132.5056527505842</v>
      </c>
      <c r="N12" s="16">
        <f t="shared" si="9"/>
        <v>130.88596564725597</v>
      </c>
      <c r="O12" s="16">
        <f t="shared" si="9"/>
        <v>126.16626927704253</v>
      </c>
      <c r="P12" s="16">
        <f>(P17/P5)*4</f>
        <v>127.4586369525784</v>
      </c>
      <c r="Q12" s="16">
        <f t="shared" si="9"/>
        <v>131.9115962080451</v>
      </c>
      <c r="R12" s="16">
        <f>(R17/R5)*4</f>
        <v>130.50067759992143</v>
      </c>
      <c r="S12" s="16">
        <f t="shared" ref="S12:AA12" si="10">(S17/S5)*4</f>
        <v>137.99425929493356</v>
      </c>
      <c r="T12" s="16">
        <f>(T17/T5)*4</f>
        <v>140.39156707142175</v>
      </c>
      <c r="U12" s="16">
        <f t="shared" si="10"/>
        <v>140.16607979022288</v>
      </c>
      <c r="V12" s="16">
        <f t="shared" si="10"/>
        <v>139.00681572304364</v>
      </c>
      <c r="W12" s="16">
        <f t="shared" si="10"/>
        <v>141.99182458040065</v>
      </c>
      <c r="X12" s="16">
        <f t="shared" si="10"/>
        <v>144.4716726333439</v>
      </c>
      <c r="Y12" s="16">
        <f>(Y17/Y5)*4</f>
        <v>142.10567932224663</v>
      </c>
      <c r="Z12" s="16">
        <f t="shared" si="10"/>
        <v>136.11359479956664</v>
      </c>
      <c r="AA12" s="16">
        <f t="shared" si="10"/>
        <v>140.41295483870968</v>
      </c>
      <c r="AB12" s="16"/>
      <c r="AC12" s="16"/>
      <c r="AD12" s="16"/>
      <c r="AE12" s="4"/>
      <c r="AF12" s="4"/>
      <c r="AG12" s="4"/>
      <c r="AH12" s="4"/>
      <c r="AI12" s="15">
        <f>AI17/AI5</f>
        <v>105.68251084598698</v>
      </c>
      <c r="AJ12" s="15">
        <f>AJ17/AJ5</f>
        <v>113.41620709464313</v>
      </c>
      <c r="AK12" s="15">
        <f>AK17/AK5</f>
        <v>120.63227601891197</v>
      </c>
      <c r="AL12" s="15">
        <f>AL17/AL5</f>
        <v>122.73424334675438</v>
      </c>
      <c r="AM12" s="15">
        <f>AL12</f>
        <v>122.73424334675438</v>
      </c>
      <c r="AN12" s="15">
        <f t="shared" ref="AN12:AP12" si="11">AM12*1.02</f>
        <v>125.18892821368948</v>
      </c>
      <c r="AO12" s="15">
        <f t="shared" si="11"/>
        <v>127.69270677796327</v>
      </c>
      <c r="AP12" s="15">
        <f t="shared" si="11"/>
        <v>130.24656091352253</v>
      </c>
      <c r="AQ12" s="15">
        <f>AP12*1.02</f>
        <v>132.85149213179298</v>
      </c>
    </row>
    <row r="13" spans="1:48" s="15" customFormat="1" x14ac:dyDescent="0.3">
      <c r="B13" s="4" t="s">
        <v>67</v>
      </c>
      <c r="C13" s="16"/>
      <c r="D13" s="16"/>
      <c r="E13" s="16"/>
      <c r="F13" s="16"/>
      <c r="G13" s="17">
        <f t="shared" ref="G13:R13" si="12">G5/C5-1</f>
        <v>0.26006782534972461</v>
      </c>
      <c r="H13" s="17">
        <f t="shared" si="12"/>
        <v>0.25555331179321472</v>
      </c>
      <c r="I13" s="17">
        <f t="shared" si="12"/>
        <v>0.25379734666410303</v>
      </c>
      <c r="J13" s="17">
        <f t="shared" si="12"/>
        <v>0.25867678958785234</v>
      </c>
      <c r="K13" s="17">
        <f t="shared" si="12"/>
        <v>0.25197645079899078</v>
      </c>
      <c r="L13" s="17">
        <f t="shared" si="12"/>
        <v>0.21881785283474064</v>
      </c>
      <c r="M13" s="17">
        <f t="shared" si="12"/>
        <v>0.21400092010427874</v>
      </c>
      <c r="N13" s="17">
        <f t="shared" si="12"/>
        <v>0.19984202211690372</v>
      </c>
      <c r="O13" s="17">
        <f t="shared" si="12"/>
        <v>0.22840252586322718</v>
      </c>
      <c r="P13" s="17">
        <f t="shared" si="12"/>
        <v>0.27309316442333054</v>
      </c>
      <c r="Q13" s="17">
        <f t="shared" si="12"/>
        <v>0.23255226425819475</v>
      </c>
      <c r="R13" s="17">
        <f t="shared" si="12"/>
        <v>0.21886408522353218</v>
      </c>
      <c r="S13" s="17">
        <f t="shared" ref="S13" si="13">S5/O5-1</f>
        <v>0.13551350760144354</v>
      </c>
      <c r="T13" s="17">
        <f t="shared" ref="T13" si="14">T5/P5-1</f>
        <v>8.4115055713915643E-2</v>
      </c>
      <c r="U13" s="17">
        <f t="shared" ref="U13" si="15">U5/Q5-1</f>
        <v>9.4337688957212285E-2</v>
      </c>
      <c r="V13" s="17">
        <f t="shared" ref="V13" si="16">V5/R5-1</f>
        <v>8.9266424432878466E-2</v>
      </c>
      <c r="W13" s="17">
        <f>W5/S5-1</f>
        <v>6.742438836447695E-2</v>
      </c>
      <c r="X13" s="17">
        <f>X5/T5-1</f>
        <v>5.4928769480829809E-2</v>
      </c>
      <c r="Y13" s="17">
        <f>Y5/U5-1</f>
        <v>4.4624461509646052E-2</v>
      </c>
      <c r="Z13" s="17">
        <f t="shared" ref="Z13:AA13" si="17">Z5/V5-1</f>
        <v>4.0164082221420871E-2</v>
      </c>
      <c r="AA13" s="17">
        <f t="shared" si="17"/>
        <v>4.899837574445054E-2</v>
      </c>
      <c r="AB13" s="17"/>
      <c r="AC13" s="17"/>
      <c r="AD13" s="17"/>
      <c r="AE13" s="4"/>
      <c r="AF13" s="4"/>
      <c r="AG13" s="4"/>
      <c r="AH13" s="4"/>
      <c r="AJ13" s="18">
        <f t="shared" ref="AJ13:AQ13" si="18">AJ5/AI5-1</f>
        <v>0.25867678958785234</v>
      </c>
      <c r="AK13" s="18">
        <f t="shared" si="18"/>
        <v>0.19984202211690372</v>
      </c>
      <c r="AL13" s="18">
        <f t="shared" si="18"/>
        <v>0.21886408522353218</v>
      </c>
      <c r="AM13" s="18">
        <f t="shared" si="18"/>
        <v>8.9266424432878466E-2</v>
      </c>
      <c r="AN13" s="18">
        <f t="shared" si="18"/>
        <v>4.0164082221420871E-2</v>
      </c>
      <c r="AO13" s="18">
        <f t="shared" si="18"/>
        <v>0.11999999999999988</v>
      </c>
      <c r="AP13" s="18">
        <f t="shared" si="18"/>
        <v>0.12000000000000011</v>
      </c>
      <c r="AQ13" s="18">
        <f t="shared" si="18"/>
        <v>0.12000000000000011</v>
      </c>
      <c r="AR13" s="18"/>
      <c r="AS13" s="18"/>
      <c r="AT13" s="18"/>
      <c r="AU13" s="18"/>
      <c r="AV13" s="18"/>
    </row>
    <row r="14" spans="1:48" s="15" customFormat="1" x14ac:dyDescent="0.3">
      <c r="B14" s="4" t="s">
        <v>69</v>
      </c>
      <c r="C14" s="16"/>
      <c r="D14" s="16"/>
      <c r="E14" s="16"/>
      <c r="F14" s="16"/>
      <c r="G14" s="17">
        <f t="shared" ref="G14:P14" si="19">G12/C12-1</f>
        <v>0.11393090145390627</v>
      </c>
      <c r="H14" s="17">
        <f t="shared" si="19"/>
        <v>0.11722517939160659</v>
      </c>
      <c r="I14" s="17">
        <f t="shared" si="19"/>
        <v>6.8663193703463188E-2</v>
      </c>
      <c r="J14" s="17">
        <f t="shared" si="19"/>
        <v>1.2364872034592134E-2</v>
      </c>
      <c r="K14" s="17">
        <f t="shared" si="19"/>
        <v>-2.4257118818353907E-2</v>
      </c>
      <c r="L14" s="17">
        <f t="shared" si="19"/>
        <v>3.3779317248559648E-2</v>
      </c>
      <c r="M14" s="17">
        <f t="shared" si="19"/>
        <v>8.025576200995399E-2</v>
      </c>
      <c r="N14" s="17">
        <f t="shared" si="19"/>
        <v>8.8361104233290799E-2</v>
      </c>
      <c r="O14" s="17">
        <f t="shared" si="19"/>
        <v>3.8550325049267586E-2</v>
      </c>
      <c r="P14" s="17">
        <f t="shared" si="19"/>
        <v>-1.9034336356649639E-2</v>
      </c>
      <c r="Q14" s="17">
        <f>Q12/M12-1</f>
        <v>-4.4832543382681278E-3</v>
      </c>
      <c r="R14" s="17">
        <f>R12/N12-1</f>
        <v>-2.9436925909452905E-3</v>
      </c>
      <c r="S14" s="17">
        <f t="shared" ref="S14" si="20">S12/O12-1</f>
        <v>9.3749225412368409E-2</v>
      </c>
      <c r="T14" s="17">
        <f t="shared" ref="T14" si="21">T12/P12-1</f>
        <v>0.10146766376965966</v>
      </c>
      <c r="U14" s="17">
        <f t="shared" ref="U14" si="22">U12/Q12-1</f>
        <v>6.2575875203262576E-2</v>
      </c>
      <c r="V14" s="17">
        <f t="shared" ref="V14" si="23">V12/R12-1</f>
        <v>6.5180796602448687E-2</v>
      </c>
      <c r="W14" s="17">
        <f>W12/S12-1</f>
        <v>2.8969069480804466E-2</v>
      </c>
      <c r="X14" s="17">
        <f t="shared" ref="X14:AA14" si="24">X12/T12-1</f>
        <v>2.9062326513147774E-2</v>
      </c>
      <c r="Y14" s="17">
        <f t="shared" si="24"/>
        <v>1.3837866728716453E-2</v>
      </c>
      <c r="Z14" s="17">
        <f t="shared" si="24"/>
        <v>-2.0813518448199231E-2</v>
      </c>
      <c r="AA14" s="17">
        <f t="shared" si="24"/>
        <v>-1.1119441181608014E-2</v>
      </c>
      <c r="AB14" s="17"/>
      <c r="AC14" s="17"/>
      <c r="AD14" s="17"/>
      <c r="AE14" s="4"/>
      <c r="AF14" s="4"/>
      <c r="AG14" s="4"/>
      <c r="AH14" s="4"/>
      <c r="AJ14" s="18">
        <f>AJ12/AI12-1</f>
        <v>7.3178581647502572E-2</v>
      </c>
      <c r="AK14" s="18">
        <f>AK12/AJ12-1</f>
        <v>6.3624671544933564E-2</v>
      </c>
      <c r="AL14" s="18">
        <f>AL12/AK12-1</f>
        <v>1.7424584839242252E-2</v>
      </c>
      <c r="AM14" s="18">
        <f t="shared" ref="AM14:AQ14" si="25">AM12/AL12-1</f>
        <v>0</v>
      </c>
      <c r="AN14" s="18">
        <f t="shared" si="25"/>
        <v>2.0000000000000018E-2</v>
      </c>
      <c r="AO14" s="18">
        <f t="shared" si="25"/>
        <v>2.0000000000000018E-2</v>
      </c>
      <c r="AP14" s="18">
        <f t="shared" si="25"/>
        <v>2.0000000000000018E-2</v>
      </c>
      <c r="AQ14" s="18">
        <f t="shared" si="25"/>
        <v>2.0000000000000018E-2</v>
      </c>
      <c r="AR14" s="18"/>
      <c r="AS14" s="18"/>
      <c r="AT14" s="18"/>
      <c r="AU14" s="18"/>
      <c r="AV14" s="18"/>
    </row>
    <row r="15" spans="1:48" s="15" customFormat="1" x14ac:dyDescent="0.3">
      <c r="B15" s="4" t="s">
        <v>93</v>
      </c>
      <c r="C15" s="16"/>
      <c r="D15" s="16"/>
      <c r="E15" s="16"/>
      <c r="F15" s="16"/>
      <c r="G15" s="17">
        <f t="shared" ref="G15:R15" si="26">G6/C6-1</f>
        <v>0.5660377358490567</v>
      </c>
      <c r="H15" s="17">
        <f t="shared" si="26"/>
        <v>0.17021276595744683</v>
      </c>
      <c r="I15" s="17">
        <f t="shared" si="26"/>
        <v>0.21999999999999997</v>
      </c>
      <c r="J15" s="17">
        <f t="shared" si="26"/>
        <v>0.33333333333333348</v>
      </c>
      <c r="K15" s="17">
        <f t="shared" si="26"/>
        <v>0.15662650602409633</v>
      </c>
      <c r="L15" s="17">
        <f t="shared" si="26"/>
        <v>-0.50909090909090904</v>
      </c>
      <c r="M15" s="17">
        <f t="shared" si="26"/>
        <v>0.11475409836065587</v>
      </c>
      <c r="N15" s="17">
        <f t="shared" si="26"/>
        <v>0</v>
      </c>
      <c r="O15" s="17">
        <f t="shared" si="26"/>
        <v>0.64583333333333348</v>
      </c>
      <c r="P15" s="17">
        <f t="shared" si="26"/>
        <v>2.7407407407407405</v>
      </c>
      <c r="Q15" s="17">
        <f t="shared" si="26"/>
        <v>-0.67647058823529416</v>
      </c>
      <c r="R15" s="17">
        <f t="shared" si="26"/>
        <v>-3.295454545454557E-2</v>
      </c>
      <c r="S15" s="17"/>
      <c r="T15" s="17"/>
      <c r="U15" s="17"/>
      <c r="V15" s="4"/>
      <c r="W15" s="4"/>
      <c r="X15" s="4"/>
      <c r="Y15" s="4"/>
      <c r="Z15" s="4"/>
      <c r="AA15" s="4"/>
      <c r="AB15" s="4"/>
      <c r="AC15" s="4"/>
      <c r="AD15" s="4"/>
      <c r="AE15" s="4"/>
      <c r="AF15" s="4"/>
      <c r="AG15" s="4"/>
      <c r="AH15" s="4"/>
      <c r="AJ15" s="18">
        <f>AJ6/AI6-1</f>
        <v>0.3287037037037035</v>
      </c>
      <c r="AK15" s="18">
        <f>AK6/AJ6-1</f>
        <v>-2.7874564459930196E-2</v>
      </c>
      <c r="AL15" s="18">
        <f>AL6/AK6-1</f>
        <v>0.31218637992831533</v>
      </c>
      <c r="AM15" s="18">
        <f>AM7/AL6-1</f>
        <v>-0.48101611581535098</v>
      </c>
      <c r="AN15" s="18">
        <f>AN7/AM7-1</f>
        <v>-0.53105263157894755</v>
      </c>
      <c r="AO15" s="18">
        <f>AO7/AN7-1</f>
        <v>2.1077441077441086</v>
      </c>
      <c r="AP15" s="18">
        <f>AP7/AO7-1</f>
        <v>0.12000000000000099</v>
      </c>
      <c r="AQ15" s="18">
        <f>AQ7/AP7-1</f>
        <v>0.12000000000000033</v>
      </c>
      <c r="AR15" s="18"/>
      <c r="AS15" s="18"/>
      <c r="AT15" s="18"/>
      <c r="AU15" s="18"/>
      <c r="AV15" s="18"/>
    </row>
    <row r="16" spans="1:48" s="15" customFormat="1" x14ac:dyDescent="0.3">
      <c r="A16" s="4"/>
      <c r="B16" s="4"/>
      <c r="C16" s="16"/>
      <c r="D16" s="16"/>
      <c r="E16" s="16"/>
      <c r="F16" s="16"/>
      <c r="G16" s="16"/>
      <c r="H16" s="16"/>
      <c r="I16" s="16"/>
      <c r="J16" s="16"/>
      <c r="K16" s="16"/>
      <c r="L16" s="16"/>
      <c r="M16" s="16"/>
      <c r="N16" s="16"/>
      <c r="O16" s="16"/>
      <c r="P16" s="16"/>
      <c r="Q16" s="16"/>
      <c r="R16" s="16"/>
    </row>
    <row r="17" spans="2:392" s="19" customFormat="1" x14ac:dyDescent="0.3">
      <c r="B17" s="19" t="s">
        <v>9</v>
      </c>
      <c r="C17" s="20">
        <v>2636.6350000000002</v>
      </c>
      <c r="D17" s="20">
        <v>2785.4639999999999</v>
      </c>
      <c r="E17" s="20">
        <v>2984.8589999999999</v>
      </c>
      <c r="F17" s="20">
        <v>3285.7550000000001</v>
      </c>
      <c r="G17" s="20">
        <v>3700.8560000000002</v>
      </c>
      <c r="H17" s="20">
        <v>3907.27</v>
      </c>
      <c r="I17" s="20">
        <v>3999.3739999999998</v>
      </c>
      <c r="J17" s="20">
        <v>4186.8410000000003</v>
      </c>
      <c r="K17" s="20">
        <v>4520.9920000000002</v>
      </c>
      <c r="L17" s="20">
        <v>4923.116</v>
      </c>
      <c r="M17" s="20">
        <v>5244.9049999999997</v>
      </c>
      <c r="N17" s="20">
        <v>5467.4340000000002</v>
      </c>
      <c r="O17" s="20">
        <v>5767.6909999999998</v>
      </c>
      <c r="P17" s="20">
        <v>6148.2860000000001</v>
      </c>
      <c r="Q17" s="20">
        <v>6435.6369999999997</v>
      </c>
      <c r="R17" s="20">
        <v>6644.442</v>
      </c>
      <c r="S17" s="21">
        <v>7163.2820000000002</v>
      </c>
      <c r="T17" s="21">
        <v>7341.777</v>
      </c>
      <c r="U17" s="21">
        <v>7483.4669999999996</v>
      </c>
      <c r="V17" s="21">
        <v>7709.3180000000002</v>
      </c>
      <c r="W17" s="21">
        <v>7867.7669999999998</v>
      </c>
      <c r="X17" s="21">
        <v>7970.1409999999996</v>
      </c>
      <c r="Y17" s="21">
        <v>7925.5889999999999</v>
      </c>
      <c r="Z17" s="21">
        <v>7852.0529999999999</v>
      </c>
      <c r="AA17" s="21">
        <v>8161.5029999999997</v>
      </c>
      <c r="AB17" s="21">
        <f>X17*1.03</f>
        <v>8209.2452300000004</v>
      </c>
      <c r="AC17" s="21">
        <f>Y17*1.08</f>
        <v>8559.636120000001</v>
      </c>
      <c r="AD17" s="21">
        <f>Z17*1.12</f>
        <v>8794.2993600000009</v>
      </c>
      <c r="AE17" s="21"/>
      <c r="AF17" s="21"/>
      <c r="AI17" s="21">
        <f>SUM(C17:F17)</f>
        <v>11692.713</v>
      </c>
      <c r="AJ17" s="21">
        <f>SUM(G17:J17)</f>
        <v>15794.341</v>
      </c>
      <c r="AK17" s="21">
        <f>SUM(K17:N17)</f>
        <v>20156.447</v>
      </c>
      <c r="AL17" s="21">
        <f>SUM(O17:R17)</f>
        <v>24996.055999999997</v>
      </c>
      <c r="AM17" s="21">
        <f>SUM(S17:V17)</f>
        <v>29697.844000000001</v>
      </c>
      <c r="AN17" s="21">
        <f>SUM(W17:Z17)</f>
        <v>31615.55</v>
      </c>
      <c r="AO17" s="21">
        <f>AO5*AO12</f>
        <v>33000.903139696828</v>
      </c>
      <c r="AP17" s="21">
        <f>AP5*AP12</f>
        <v>37700.231746789657</v>
      </c>
      <c r="AQ17" s="21">
        <f>AQ5*AQ12</f>
        <v>43068.74474753251</v>
      </c>
      <c r="AR17" s="21"/>
      <c r="AS17" s="21"/>
      <c r="AT17" s="21"/>
      <c r="AU17" s="21"/>
      <c r="AV17" s="21"/>
    </row>
    <row r="18" spans="2:392" x14ac:dyDescent="0.3">
      <c r="B18" s="4" t="s">
        <v>10</v>
      </c>
      <c r="C18" s="16">
        <v>1657.0239999999999</v>
      </c>
      <c r="D18" s="16">
        <v>1902.308</v>
      </c>
      <c r="E18" s="16">
        <v>1992.98</v>
      </c>
      <c r="F18" s="16">
        <v>2214.3339999999998</v>
      </c>
      <c r="G18" s="16">
        <v>2300.5790000000002</v>
      </c>
      <c r="H18" s="16">
        <v>2402.431</v>
      </c>
      <c r="I18" s="16">
        <v>2531.1280000000002</v>
      </c>
      <c r="J18" s="16">
        <v>2733.4</v>
      </c>
      <c r="K18" s="16">
        <v>2870.614</v>
      </c>
      <c r="L18" s="16">
        <v>3005.6570000000002</v>
      </c>
      <c r="M18" s="16">
        <v>3097.9189999999999</v>
      </c>
      <c r="N18" s="16">
        <v>3466.0230000000001</v>
      </c>
      <c r="O18" s="16">
        <v>3599.701</v>
      </c>
      <c r="P18" s="16">
        <v>3643.7069999999999</v>
      </c>
      <c r="Q18" s="16">
        <v>3867.7510000000002</v>
      </c>
      <c r="R18" s="16">
        <v>4165.16</v>
      </c>
      <c r="S18" s="15">
        <v>3868.511</v>
      </c>
      <c r="T18" s="15">
        <v>4018.0079999999998</v>
      </c>
      <c r="U18" s="15">
        <v>4206.5889999999999</v>
      </c>
      <c r="V18" s="15">
        <v>5239.5749999999998</v>
      </c>
      <c r="W18" s="15">
        <v>4284.7049999999999</v>
      </c>
      <c r="X18" s="15">
        <v>4690.7550000000001</v>
      </c>
      <c r="Y18" s="15">
        <v>4788.665</v>
      </c>
      <c r="Z18" s="15">
        <v>5404.16</v>
      </c>
      <c r="AA18" s="15">
        <v>4803.625</v>
      </c>
      <c r="AB18" s="15"/>
      <c r="AC18" s="15"/>
      <c r="AD18" s="15"/>
      <c r="AE18" s="15"/>
      <c r="AF18" s="15"/>
      <c r="AI18" s="15">
        <f>SUM(C18:F18)</f>
        <v>7766.6459999999997</v>
      </c>
      <c r="AJ18" s="15">
        <f>SUM(G18:J18)</f>
        <v>9967.5380000000005</v>
      </c>
      <c r="AK18" s="15">
        <f>SUM(K18:N18)</f>
        <v>12440.213</v>
      </c>
      <c r="AL18" s="15">
        <f>SUM(O18:R18)</f>
        <v>15276.319</v>
      </c>
      <c r="AM18" s="15">
        <f>AL18*1.15</f>
        <v>17567.766849999996</v>
      </c>
      <c r="AN18" s="15">
        <f t="shared" ref="AN18" si="27">AM18*1.15</f>
        <v>20202.931877499996</v>
      </c>
      <c r="AO18" s="15">
        <f>AN18*1.15</f>
        <v>23233.371659124994</v>
      </c>
      <c r="AP18" s="15">
        <f t="shared" ref="AP18" si="28">AO18*1.15</f>
        <v>26718.377407993739</v>
      </c>
      <c r="AQ18" s="15">
        <f t="shared" ref="AQ18" si="29">AP18*1.15</f>
        <v>30726.134019192799</v>
      </c>
      <c r="AR18" s="15"/>
      <c r="AS18" s="15"/>
      <c r="AT18" s="15"/>
      <c r="AU18" s="15"/>
      <c r="AV18" s="15"/>
    </row>
    <row r="19" spans="2:392" x14ac:dyDescent="0.3">
      <c r="B19" s="4" t="s">
        <v>14</v>
      </c>
      <c r="C19" s="16">
        <f t="shared" ref="C19:E19" si="30">+C17-C18</f>
        <v>979.61100000000033</v>
      </c>
      <c r="D19" s="16">
        <f t="shared" si="30"/>
        <v>883.15599999999995</v>
      </c>
      <c r="E19" s="16">
        <f t="shared" si="30"/>
        <v>991.87899999999991</v>
      </c>
      <c r="F19" s="16">
        <f t="shared" ref="F19:AD19" si="31">+F17-F18</f>
        <v>1071.4210000000003</v>
      </c>
      <c r="G19" s="16">
        <f t="shared" si="31"/>
        <v>1400.277</v>
      </c>
      <c r="H19" s="16">
        <f t="shared" si="31"/>
        <v>1504.8389999999999</v>
      </c>
      <c r="I19" s="16">
        <f t="shared" si="31"/>
        <v>1468.2459999999996</v>
      </c>
      <c r="J19" s="16">
        <f t="shared" si="31"/>
        <v>1453.4410000000003</v>
      </c>
      <c r="K19" s="16">
        <f t="shared" si="31"/>
        <v>1650.3780000000002</v>
      </c>
      <c r="L19" s="16">
        <f t="shared" si="31"/>
        <v>1917.4589999999998</v>
      </c>
      <c r="M19" s="16">
        <f t="shared" si="31"/>
        <v>2146.9859999999999</v>
      </c>
      <c r="N19" s="16">
        <f t="shared" si="31"/>
        <v>2001.4110000000001</v>
      </c>
      <c r="O19" s="16">
        <f t="shared" si="31"/>
        <v>2167.9899999999998</v>
      </c>
      <c r="P19" s="16">
        <f t="shared" si="31"/>
        <v>2504.5790000000002</v>
      </c>
      <c r="Q19" s="16">
        <f t="shared" si="31"/>
        <v>2567.8859999999995</v>
      </c>
      <c r="R19" s="16">
        <f t="shared" si="31"/>
        <v>2479.2820000000002</v>
      </c>
      <c r="S19" s="16">
        <f t="shared" si="31"/>
        <v>3294.7710000000002</v>
      </c>
      <c r="T19" s="16">
        <f t="shared" si="31"/>
        <v>3323.7690000000002</v>
      </c>
      <c r="U19" s="16">
        <f t="shared" si="31"/>
        <v>3276.8779999999997</v>
      </c>
      <c r="V19" s="16">
        <f t="shared" si="31"/>
        <v>2469.7430000000004</v>
      </c>
      <c r="W19" s="16">
        <f t="shared" si="31"/>
        <v>3583.0619999999999</v>
      </c>
      <c r="X19" s="16">
        <f t="shared" ref="X19" si="32">+X17-X18</f>
        <v>3279.3859999999995</v>
      </c>
      <c r="Y19" s="16">
        <f t="shared" si="31"/>
        <v>3136.924</v>
      </c>
      <c r="Z19" s="16">
        <f t="shared" ref="Z19" si="33">+Z17-Z18</f>
        <v>2447.893</v>
      </c>
      <c r="AA19" s="16">
        <f t="shared" si="31"/>
        <v>3357.8779999999997</v>
      </c>
      <c r="AB19" s="16">
        <f t="shared" si="31"/>
        <v>8209.2452300000004</v>
      </c>
      <c r="AC19" s="16">
        <f t="shared" si="31"/>
        <v>8559.636120000001</v>
      </c>
      <c r="AD19" s="16">
        <f t="shared" si="31"/>
        <v>8794.2993600000009</v>
      </c>
      <c r="AE19" s="15"/>
      <c r="AF19" s="15"/>
      <c r="AI19" s="15">
        <f>+AI17-AI18</f>
        <v>3926.067</v>
      </c>
      <c r="AJ19" s="15">
        <f t="shared" ref="AJ19:AK19" si="34">+AJ17-AJ18</f>
        <v>5826.8029999999999</v>
      </c>
      <c r="AK19" s="15">
        <f t="shared" si="34"/>
        <v>7716.2340000000004</v>
      </c>
      <c r="AL19" s="15">
        <f>+AL17-AL18</f>
        <v>9719.7369999999974</v>
      </c>
      <c r="AM19" s="15">
        <f t="shared" ref="AM19:AQ19" si="35">+AM17-AM18</f>
        <v>12130.077150000005</v>
      </c>
      <c r="AN19" s="15">
        <f t="shared" si="35"/>
        <v>11412.618122500004</v>
      </c>
      <c r="AO19" s="15">
        <f t="shared" si="35"/>
        <v>9767.5314805718335</v>
      </c>
      <c r="AP19" s="15">
        <f t="shared" si="35"/>
        <v>10981.854338795918</v>
      </c>
      <c r="AQ19" s="15">
        <f t="shared" si="35"/>
        <v>12342.61072833971</v>
      </c>
      <c r="AR19" s="15"/>
      <c r="AS19" s="15"/>
      <c r="AT19" s="15"/>
      <c r="AU19" s="15"/>
      <c r="AV19" s="15"/>
    </row>
    <row r="20" spans="2:392" x14ac:dyDescent="0.3">
      <c r="B20" s="4" t="s">
        <v>12</v>
      </c>
      <c r="C20" s="16">
        <v>271.27</v>
      </c>
      <c r="D20" s="16">
        <v>274.32299999999998</v>
      </c>
      <c r="E20" s="16">
        <v>312.49</v>
      </c>
      <c r="F20" s="16">
        <v>466.52699999999999</v>
      </c>
      <c r="G20" s="16">
        <v>536.77700000000004</v>
      </c>
      <c r="H20" s="16">
        <v>592.00699999999995</v>
      </c>
      <c r="I20" s="16">
        <v>510.33</v>
      </c>
      <c r="J20" s="16">
        <v>730.35500000000002</v>
      </c>
      <c r="K20" s="16">
        <v>616.57799999999997</v>
      </c>
      <c r="L20" s="16">
        <v>603.15</v>
      </c>
      <c r="M20" s="16">
        <v>553.79700000000003</v>
      </c>
      <c r="N20" s="16">
        <v>878.93700000000001</v>
      </c>
      <c r="O20" s="16">
        <v>503.83</v>
      </c>
      <c r="P20" s="16">
        <v>434.37</v>
      </c>
      <c r="Q20" s="16">
        <v>527.59699999999998</v>
      </c>
      <c r="R20" s="16">
        <v>762.56500000000005</v>
      </c>
      <c r="S20" s="15">
        <v>512.51199999999994</v>
      </c>
      <c r="T20" s="15">
        <v>603.97299999999996</v>
      </c>
      <c r="U20" s="15">
        <v>635.94799999999998</v>
      </c>
      <c r="V20" s="15">
        <v>792.71299999999997</v>
      </c>
      <c r="W20" s="15">
        <v>555.97799999999995</v>
      </c>
      <c r="X20" s="15">
        <v>574.96</v>
      </c>
      <c r="Y20" s="15">
        <v>567.95399999999995</v>
      </c>
      <c r="Z20" s="15">
        <v>831.61</v>
      </c>
      <c r="AA20" s="15">
        <v>555.36199999999997</v>
      </c>
      <c r="AB20" s="15"/>
      <c r="AC20" s="15"/>
      <c r="AD20" s="15"/>
      <c r="AE20" s="15"/>
      <c r="AF20" s="15"/>
      <c r="AI20" s="15">
        <f>SUM(C20:F20)</f>
        <v>1324.61</v>
      </c>
      <c r="AJ20" s="15">
        <f>SUM(G20:J20)</f>
        <v>2369.4690000000001</v>
      </c>
      <c r="AK20" s="15">
        <f>SUM(K20:N20)</f>
        <v>2652.462</v>
      </c>
      <c r="AL20" s="15">
        <f>SUM(O20:R20)</f>
        <v>2228.3620000000001</v>
      </c>
      <c r="AM20" s="15">
        <f>AL20*1.2</f>
        <v>2674.0344</v>
      </c>
      <c r="AN20" s="15">
        <f t="shared" ref="AN20:AQ20" si="36">AM20*0.99</f>
        <v>2647.2940560000002</v>
      </c>
      <c r="AO20" s="15">
        <f t="shared" si="36"/>
        <v>2620.8211154400001</v>
      </c>
      <c r="AP20" s="15">
        <f t="shared" si="36"/>
        <v>2594.6129042856001</v>
      </c>
      <c r="AQ20" s="15">
        <f t="shared" si="36"/>
        <v>2568.6667752427438</v>
      </c>
      <c r="AR20" s="15"/>
      <c r="AS20" s="15"/>
      <c r="AT20" s="15"/>
      <c r="AU20" s="15"/>
      <c r="AV20" s="15"/>
    </row>
    <row r="21" spans="2:392" x14ac:dyDescent="0.3">
      <c r="B21" s="4" t="s">
        <v>11</v>
      </c>
      <c r="C21" s="16">
        <v>257.108</v>
      </c>
      <c r="D21" s="16">
        <v>267.08300000000003</v>
      </c>
      <c r="E21" s="16">
        <v>255.23599999999999</v>
      </c>
      <c r="F21" s="16">
        <v>247.13200000000001</v>
      </c>
      <c r="G21" s="16">
        <v>282.31</v>
      </c>
      <c r="H21" s="16">
        <v>299.09500000000003</v>
      </c>
      <c r="I21" s="16">
        <v>308.62</v>
      </c>
      <c r="J21" s="16">
        <v>331.78899999999999</v>
      </c>
      <c r="K21" s="16">
        <v>372.76400000000001</v>
      </c>
      <c r="L21" s="16">
        <v>383.233</v>
      </c>
      <c r="M21" s="16">
        <v>379.77600000000001</v>
      </c>
      <c r="N21" s="16">
        <v>409.37599999999998</v>
      </c>
      <c r="O21" s="16">
        <v>453.81700000000001</v>
      </c>
      <c r="P21" s="16">
        <v>435.04500000000002</v>
      </c>
      <c r="Q21" s="16">
        <v>453.80200000000002</v>
      </c>
      <c r="R21" s="16">
        <v>486.93599999999998</v>
      </c>
      <c r="S21" s="15">
        <v>525.20699999999999</v>
      </c>
      <c r="T21" s="15">
        <v>537.32100000000003</v>
      </c>
      <c r="U21" s="15">
        <v>563.88699999999994</v>
      </c>
      <c r="V21" s="15">
        <v>647.47</v>
      </c>
      <c r="W21" s="15">
        <v>657.53</v>
      </c>
      <c r="X21" s="15">
        <v>716.846</v>
      </c>
      <c r="Y21" s="15">
        <v>662.73900000000003</v>
      </c>
      <c r="Z21" s="15">
        <v>673.92600000000004</v>
      </c>
      <c r="AA21" s="15">
        <v>687.27499999999998</v>
      </c>
      <c r="AB21" s="15"/>
      <c r="AC21" s="15"/>
      <c r="AD21" s="15"/>
      <c r="AE21" s="15"/>
      <c r="AF21" s="15"/>
      <c r="AI21" s="15">
        <f>SUM(C21:F21)</f>
        <v>1026.559</v>
      </c>
      <c r="AJ21" s="15">
        <f>SUM(G21:J21)</f>
        <v>1221.8139999999999</v>
      </c>
      <c r="AK21" s="15">
        <f>SUM(K21:N21)</f>
        <v>1545.1490000000001</v>
      </c>
      <c r="AL21" s="15">
        <f>SUM(O21:R21)</f>
        <v>1829.6000000000001</v>
      </c>
      <c r="AM21" s="15">
        <f>AL21*1.15</f>
        <v>2104.04</v>
      </c>
      <c r="AN21" s="15">
        <f t="shared" ref="AN21:AQ21" si="37">AM21*1.13</f>
        <v>2377.5651999999995</v>
      </c>
      <c r="AO21" s="15">
        <f t="shared" si="37"/>
        <v>2686.6486759999993</v>
      </c>
      <c r="AP21" s="15">
        <f t="shared" si="37"/>
        <v>3035.913003879999</v>
      </c>
      <c r="AQ21" s="15">
        <f t="shared" si="37"/>
        <v>3430.5816943843984</v>
      </c>
      <c r="AR21" s="15"/>
      <c r="AS21" s="15"/>
      <c r="AT21" s="15"/>
      <c r="AU21" s="15"/>
      <c r="AV21" s="15"/>
    </row>
    <row r="22" spans="2:392" x14ac:dyDescent="0.3">
      <c r="B22" s="4" t="s">
        <v>13</v>
      </c>
      <c r="C22" s="16">
        <v>194.291</v>
      </c>
      <c r="D22" s="16">
        <v>213.94300000000001</v>
      </c>
      <c r="E22" s="16">
        <v>215.52600000000001</v>
      </c>
      <c r="F22" s="16">
        <v>112.459</v>
      </c>
      <c r="G22" s="16">
        <v>134.61199999999999</v>
      </c>
      <c r="H22" s="16">
        <v>151.524</v>
      </c>
      <c r="I22" s="16">
        <v>168.62799999999999</v>
      </c>
      <c r="J22" s="16">
        <v>175.53</v>
      </c>
      <c r="K22" s="16">
        <v>201.952</v>
      </c>
      <c r="L22" s="16">
        <v>224.65700000000001</v>
      </c>
      <c r="M22" s="16">
        <v>233.17400000000001</v>
      </c>
      <c r="N22" s="16">
        <v>254.58600000000001</v>
      </c>
      <c r="O22" s="16">
        <v>252.08699999999999</v>
      </c>
      <c r="P22" s="16">
        <v>277.23599999999999</v>
      </c>
      <c r="Q22" s="16">
        <v>271.62400000000002</v>
      </c>
      <c r="R22" s="16">
        <v>275.53899999999999</v>
      </c>
      <c r="S22" s="15">
        <v>297.19600000000003</v>
      </c>
      <c r="T22" s="15">
        <v>334.84500000000003</v>
      </c>
      <c r="U22" s="15">
        <v>321.79000000000002</v>
      </c>
      <c r="V22" s="15">
        <v>397.79</v>
      </c>
      <c r="W22" s="15">
        <v>397.928</v>
      </c>
      <c r="X22" s="15">
        <v>409.29700000000003</v>
      </c>
      <c r="Y22" s="15">
        <v>373.21300000000002</v>
      </c>
      <c r="Z22" s="15">
        <v>392.45299999999997</v>
      </c>
      <c r="AA22" s="15">
        <v>400.92399999999998</v>
      </c>
      <c r="AB22" s="15"/>
      <c r="AC22" s="15"/>
      <c r="AD22" s="15"/>
      <c r="AE22" s="15"/>
      <c r="AF22" s="15"/>
      <c r="AI22" s="15">
        <f>SUM(C22:F22)</f>
        <v>736.21900000000005</v>
      </c>
      <c r="AJ22" s="15">
        <f>SUM(G22:J22)</f>
        <v>630.29399999999998</v>
      </c>
      <c r="AK22" s="15">
        <f>SUM(K22:N22)</f>
        <v>914.36900000000003</v>
      </c>
      <c r="AL22" s="15">
        <f>SUM(O22:R22)</f>
        <v>1076.4859999999999</v>
      </c>
      <c r="AM22" s="15">
        <f>AL22*1.15</f>
        <v>1237.9588999999999</v>
      </c>
      <c r="AN22" s="15">
        <f t="shared" ref="AN22:AQ22" si="38">AM22*1.15</f>
        <v>1423.6527349999997</v>
      </c>
      <c r="AO22" s="15">
        <f t="shared" si="38"/>
        <v>1637.2006452499995</v>
      </c>
      <c r="AP22" s="15">
        <f t="shared" si="38"/>
        <v>1882.7807420374993</v>
      </c>
      <c r="AQ22" s="15">
        <f t="shared" si="38"/>
        <v>2165.1978533431238</v>
      </c>
      <c r="AR22" s="15"/>
      <c r="AS22" s="15"/>
      <c r="AT22" s="15"/>
      <c r="AU22" s="15"/>
      <c r="AV22" s="15"/>
    </row>
    <row r="23" spans="2:392" x14ac:dyDescent="0.3">
      <c r="B23" s="4" t="s">
        <v>16</v>
      </c>
      <c r="C23" s="16">
        <f t="shared" ref="C23:E23" si="39">SUM(C20:C22)</f>
        <v>722.66899999999987</v>
      </c>
      <c r="D23" s="16">
        <f t="shared" si="39"/>
        <v>755.34899999999993</v>
      </c>
      <c r="E23" s="16">
        <f t="shared" si="39"/>
        <v>783.25199999999995</v>
      </c>
      <c r="F23" s="16">
        <f t="shared" ref="F23:Q23" si="40">SUM(F20:F22)</f>
        <v>826.11799999999994</v>
      </c>
      <c r="G23" s="16">
        <f t="shared" si="40"/>
        <v>953.69899999999996</v>
      </c>
      <c r="H23" s="16">
        <f t="shared" si="40"/>
        <v>1042.626</v>
      </c>
      <c r="I23" s="16">
        <f t="shared" si="40"/>
        <v>987.57799999999997</v>
      </c>
      <c r="J23" s="16">
        <f t="shared" si="40"/>
        <v>1237.674</v>
      </c>
      <c r="K23" s="16">
        <f t="shared" si="40"/>
        <v>1191.2939999999999</v>
      </c>
      <c r="L23" s="16">
        <f t="shared" si="40"/>
        <v>1211.04</v>
      </c>
      <c r="M23" s="16">
        <f t="shared" si="40"/>
        <v>1166.7470000000001</v>
      </c>
      <c r="N23" s="16">
        <f t="shared" si="40"/>
        <v>1542.8990000000001</v>
      </c>
      <c r="O23" s="16">
        <f t="shared" si="40"/>
        <v>1209.7339999999999</v>
      </c>
      <c r="P23" s="16">
        <f t="shared" si="40"/>
        <v>1146.6509999999998</v>
      </c>
      <c r="Q23" s="16">
        <f t="shared" si="40"/>
        <v>1253.0230000000001</v>
      </c>
      <c r="R23" s="16">
        <f>SUM(R20:R22)</f>
        <v>1525.04</v>
      </c>
      <c r="S23" s="16">
        <f t="shared" ref="S23:V23" si="41">SUM(S20:S22)</f>
        <v>1334.915</v>
      </c>
      <c r="T23" s="16">
        <f t="shared" si="41"/>
        <v>1476.1389999999999</v>
      </c>
      <c r="U23" s="16">
        <f t="shared" si="41"/>
        <v>1521.625</v>
      </c>
      <c r="V23" s="16">
        <f t="shared" si="41"/>
        <v>1837.973</v>
      </c>
      <c r="W23" s="16">
        <f t="shared" ref="W23:AD23" si="42">SUM(W20:W22)</f>
        <v>1611.4359999999997</v>
      </c>
      <c r="X23" s="16">
        <f t="shared" si="42"/>
        <v>1701.1030000000001</v>
      </c>
      <c r="Y23" s="16">
        <f t="shared" si="42"/>
        <v>1603.9059999999999</v>
      </c>
      <c r="Z23" s="16">
        <f t="shared" si="42"/>
        <v>1897.989</v>
      </c>
      <c r="AA23" s="16">
        <f t="shared" si="42"/>
        <v>1643.5609999999999</v>
      </c>
      <c r="AB23" s="16">
        <f t="shared" si="42"/>
        <v>0</v>
      </c>
      <c r="AC23" s="16">
        <f t="shared" si="42"/>
        <v>0</v>
      </c>
      <c r="AD23" s="16">
        <f t="shared" si="42"/>
        <v>0</v>
      </c>
      <c r="AE23" s="15"/>
      <c r="AF23" s="15"/>
      <c r="AI23" s="15">
        <f>SUM(AI20:AI22)</f>
        <v>3087.3879999999999</v>
      </c>
      <c r="AJ23" s="15">
        <f t="shared" ref="AJ23:AK23" si="43">SUM(AJ20:AJ22)</f>
        <v>4221.5770000000002</v>
      </c>
      <c r="AK23" s="15">
        <f t="shared" si="43"/>
        <v>5111.9799999999996</v>
      </c>
      <c r="AL23" s="15">
        <f>SUM(AL20:AL22)</f>
        <v>5134.4480000000003</v>
      </c>
      <c r="AM23" s="15">
        <f t="shared" ref="AM23:AQ23" si="44">SUM(AM20:AM22)</f>
        <v>6016.0332999999991</v>
      </c>
      <c r="AN23" s="15">
        <f t="shared" si="44"/>
        <v>6448.5119909999994</v>
      </c>
      <c r="AO23" s="15">
        <f t="shared" si="44"/>
        <v>6944.6704366899994</v>
      </c>
      <c r="AP23" s="15">
        <f t="shared" si="44"/>
        <v>7513.3066502030979</v>
      </c>
      <c r="AQ23" s="15">
        <f t="shared" si="44"/>
        <v>8164.446322970266</v>
      </c>
      <c r="AR23" s="15"/>
      <c r="AS23" s="15"/>
      <c r="AT23" s="15"/>
      <c r="AU23" s="15"/>
      <c r="AV23" s="15"/>
    </row>
    <row r="24" spans="2:392" x14ac:dyDescent="0.3">
      <c r="B24" s="4" t="s">
        <v>15</v>
      </c>
      <c r="C24" s="16">
        <f t="shared" ref="C24:E24" si="45">+C19-C23</f>
        <v>256.94200000000046</v>
      </c>
      <c r="D24" s="16">
        <f t="shared" si="45"/>
        <v>127.80700000000002</v>
      </c>
      <c r="E24" s="16">
        <f t="shared" si="45"/>
        <v>208.62699999999995</v>
      </c>
      <c r="F24" s="16">
        <f t="shared" ref="F24:Q24" si="46">+F19-F23</f>
        <v>245.30300000000034</v>
      </c>
      <c r="G24" s="16">
        <f t="shared" si="46"/>
        <v>446.57800000000009</v>
      </c>
      <c r="H24" s="16">
        <f t="shared" si="46"/>
        <v>462.21299999999997</v>
      </c>
      <c r="I24" s="16">
        <f t="shared" si="46"/>
        <v>480.66799999999967</v>
      </c>
      <c r="J24" s="16">
        <f t="shared" si="46"/>
        <v>215.76700000000028</v>
      </c>
      <c r="K24" s="16">
        <f t="shared" si="46"/>
        <v>459.08400000000029</v>
      </c>
      <c r="L24" s="16">
        <f t="shared" si="46"/>
        <v>706.41899999999987</v>
      </c>
      <c r="M24" s="16">
        <f t="shared" si="46"/>
        <v>980.23899999999981</v>
      </c>
      <c r="N24" s="16">
        <f t="shared" si="46"/>
        <v>458.51199999999994</v>
      </c>
      <c r="O24" s="16">
        <f t="shared" si="46"/>
        <v>958.25599999999986</v>
      </c>
      <c r="P24" s="16">
        <f t="shared" si="46"/>
        <v>1357.9280000000003</v>
      </c>
      <c r="Q24" s="16">
        <f t="shared" si="46"/>
        <v>1314.8629999999994</v>
      </c>
      <c r="R24" s="15">
        <f>R19-R23</f>
        <v>954.24200000000019</v>
      </c>
      <c r="S24" s="15">
        <f t="shared" ref="S24:V24" si="47">S19-S23</f>
        <v>1959.8560000000002</v>
      </c>
      <c r="T24" s="15">
        <f t="shared" si="47"/>
        <v>1847.6300000000003</v>
      </c>
      <c r="U24" s="15">
        <f t="shared" si="47"/>
        <v>1755.2529999999997</v>
      </c>
      <c r="V24" s="15">
        <f t="shared" si="47"/>
        <v>631.77000000000044</v>
      </c>
      <c r="W24" s="15">
        <f t="shared" ref="W24:AD24" si="48">W19-W23</f>
        <v>1971.6260000000002</v>
      </c>
      <c r="X24" s="15">
        <f t="shared" si="48"/>
        <v>1578.2829999999994</v>
      </c>
      <c r="Y24" s="15">
        <f t="shared" si="48"/>
        <v>1533.018</v>
      </c>
      <c r="Z24" s="15">
        <f t="shared" si="48"/>
        <v>549.904</v>
      </c>
      <c r="AA24" s="15">
        <f t="shared" si="48"/>
        <v>1714.3169999999998</v>
      </c>
      <c r="AB24" s="15">
        <f t="shared" si="48"/>
        <v>8209.2452300000004</v>
      </c>
      <c r="AC24" s="15">
        <f t="shared" si="48"/>
        <v>8559.636120000001</v>
      </c>
      <c r="AD24" s="15">
        <f t="shared" si="48"/>
        <v>8794.2993600000009</v>
      </c>
      <c r="AE24" s="15"/>
      <c r="AF24" s="15"/>
      <c r="AI24" s="15">
        <f>AI19-AI23</f>
        <v>838.67900000000009</v>
      </c>
      <c r="AJ24" s="15">
        <f t="shared" ref="AJ24:AK24" si="49">AJ19-AJ23</f>
        <v>1605.2259999999997</v>
      </c>
      <c r="AK24" s="15">
        <f t="shared" si="49"/>
        <v>2604.2540000000008</v>
      </c>
      <c r="AL24" s="15">
        <f>AL19-AL23</f>
        <v>4585.288999999997</v>
      </c>
      <c r="AM24" s="15">
        <f>AM19-AM23</f>
        <v>6114.0438500000055</v>
      </c>
      <c r="AN24" s="15">
        <f t="shared" ref="AN24:AQ24" si="50">AN19-AN23</f>
        <v>4964.1061315000043</v>
      </c>
      <c r="AO24" s="15">
        <f t="shared" si="50"/>
        <v>2822.8610438818341</v>
      </c>
      <c r="AP24" s="15">
        <f t="shared" si="50"/>
        <v>3468.5476885928201</v>
      </c>
      <c r="AQ24" s="15">
        <f t="shared" si="50"/>
        <v>4178.1644053694445</v>
      </c>
      <c r="AR24" s="15"/>
      <c r="AS24" s="15"/>
      <c r="AT24" s="15"/>
      <c r="AU24" s="15"/>
      <c r="AV24" s="15"/>
    </row>
    <row r="25" spans="2:392" x14ac:dyDescent="0.3">
      <c r="B25" s="4" t="s">
        <v>35</v>
      </c>
      <c r="C25" s="16">
        <f>-46.742+13.592</f>
        <v>-33.15</v>
      </c>
      <c r="D25" s="16">
        <f>-55.482-58.363</f>
        <v>-113.845</v>
      </c>
      <c r="E25" s="16">
        <f>-60.688-31.702</f>
        <v>-92.39</v>
      </c>
      <c r="F25" s="16">
        <f>-75.292-38.681</f>
        <v>-113.973</v>
      </c>
      <c r="G25" s="16">
        <f>-81.219-65.743</f>
        <v>-146.96199999999999</v>
      </c>
      <c r="H25" s="16">
        <f>-101.605+68.028</f>
        <v>-33.576999999999998</v>
      </c>
      <c r="I25" s="16">
        <f>-108.862+7.004</f>
        <v>-101.85799999999999</v>
      </c>
      <c r="J25" s="16">
        <f>-128.807+32.436</f>
        <v>-96.370999999999981</v>
      </c>
      <c r="K25" s="16">
        <f>-135.529+76.104</f>
        <v>-59.424999999999997</v>
      </c>
      <c r="L25" s="16">
        <f>-152.033-53.47</f>
        <v>-205.50299999999999</v>
      </c>
      <c r="M25" s="16">
        <f>-160.66+192.744</f>
        <v>32.084000000000003</v>
      </c>
      <c r="N25" s="16">
        <f>-177.801-131.378</f>
        <v>-309.17899999999997</v>
      </c>
      <c r="O25" s="16">
        <f>-184.083+21.697</f>
        <v>-162.386</v>
      </c>
      <c r="P25" s="16">
        <f>-189.151-133.175</f>
        <v>-322.32600000000002</v>
      </c>
      <c r="Q25" s="16">
        <f>-197.079-256.324</f>
        <v>-453.40300000000002</v>
      </c>
      <c r="R25" s="16">
        <f>-197.186-250.639</f>
        <v>-447.82500000000005</v>
      </c>
      <c r="S25" s="15">
        <f>-194.44+269.086</f>
        <v>74.646000000000015</v>
      </c>
      <c r="T25" s="15">
        <f>-191.322-62.519</f>
        <v>-253.84100000000001</v>
      </c>
      <c r="U25" s="15">
        <f>-190.429+96.135</f>
        <v>-94.293999999999997</v>
      </c>
      <c r="V25" s="15">
        <f>-189.429+108.512</f>
        <v>-80.917000000000002</v>
      </c>
      <c r="W25" s="15">
        <f>-187.579+195.645</f>
        <v>8.0660000000000025</v>
      </c>
      <c r="X25" s="15">
        <f>-175.455+220.226</f>
        <v>44.770999999999987</v>
      </c>
      <c r="Y25" s="15">
        <f>-172.575+261.404</f>
        <v>88.829000000000008</v>
      </c>
      <c r="Z25" s="15">
        <f>-170.603-339.965</f>
        <v>-510.56799999999998</v>
      </c>
      <c r="AA25" s="15">
        <f>-174.239-71.204</f>
        <v>-245.44299999999998</v>
      </c>
      <c r="AB25" s="15"/>
      <c r="AC25" s="15"/>
      <c r="AD25" s="15"/>
      <c r="AE25" s="15"/>
      <c r="AF25" s="15"/>
      <c r="AI25" s="15">
        <f>SUM(C25:F25)</f>
        <v>-353.358</v>
      </c>
      <c r="AJ25" s="15">
        <f>SUM(G25:J25)</f>
        <v>-378.76799999999997</v>
      </c>
      <c r="AK25" s="15">
        <f>SUM(K25:N25)</f>
        <v>-542.02299999999991</v>
      </c>
      <c r="AL25" s="15">
        <f>SUM(O25:R25)</f>
        <v>-1385.94</v>
      </c>
      <c r="AM25" s="15">
        <v>-770</v>
      </c>
      <c r="AN25" s="15">
        <v>-800</v>
      </c>
      <c r="AO25" s="15">
        <v>-850</v>
      </c>
      <c r="AP25" s="15">
        <v>-900</v>
      </c>
      <c r="AQ25" s="15">
        <v>-950</v>
      </c>
      <c r="AR25" s="15"/>
      <c r="AS25" s="15"/>
      <c r="AT25" s="15"/>
      <c r="AU25" s="15"/>
      <c r="AV25" s="15"/>
    </row>
    <row r="26" spans="2:392" x14ac:dyDescent="0.3">
      <c r="B26" s="4" t="s">
        <v>17</v>
      </c>
      <c r="C26" s="16">
        <f t="shared" ref="C26:E26" si="51">+C24+C25</f>
        <v>223.79200000000046</v>
      </c>
      <c r="D26" s="16">
        <f t="shared" si="51"/>
        <v>13.962000000000018</v>
      </c>
      <c r="E26" s="16">
        <f t="shared" si="51"/>
        <v>116.23699999999995</v>
      </c>
      <c r="F26" s="16">
        <f t="shared" ref="F26:Q26" si="52">+F24+F25</f>
        <v>131.33000000000033</v>
      </c>
      <c r="G26" s="16">
        <f t="shared" si="52"/>
        <v>299.6160000000001</v>
      </c>
      <c r="H26" s="16">
        <f t="shared" si="52"/>
        <v>428.63599999999997</v>
      </c>
      <c r="I26" s="16">
        <f t="shared" si="52"/>
        <v>378.80999999999966</v>
      </c>
      <c r="J26" s="16">
        <f t="shared" si="52"/>
        <v>119.3960000000003</v>
      </c>
      <c r="K26" s="16">
        <f t="shared" si="52"/>
        <v>399.65900000000028</v>
      </c>
      <c r="L26" s="16">
        <f t="shared" si="52"/>
        <v>500.91599999999988</v>
      </c>
      <c r="M26" s="16">
        <f t="shared" si="52"/>
        <v>1012.3229999999999</v>
      </c>
      <c r="N26" s="16">
        <f t="shared" si="52"/>
        <v>149.33299999999997</v>
      </c>
      <c r="O26" s="16">
        <f t="shared" si="52"/>
        <v>795.86999999999989</v>
      </c>
      <c r="P26" s="16">
        <f t="shared" si="52"/>
        <v>1035.6020000000003</v>
      </c>
      <c r="Q26" s="16">
        <f t="shared" si="52"/>
        <v>861.45999999999935</v>
      </c>
      <c r="R26" s="16">
        <f>+R24+R25</f>
        <v>506.41700000000014</v>
      </c>
      <c r="S26" s="16">
        <f t="shared" ref="S26:V26" si="53">+S24+S25</f>
        <v>2034.5020000000002</v>
      </c>
      <c r="T26" s="16">
        <f t="shared" si="53"/>
        <v>1593.7890000000002</v>
      </c>
      <c r="U26" s="16">
        <f t="shared" si="53"/>
        <v>1660.9589999999996</v>
      </c>
      <c r="V26" s="16">
        <f t="shared" si="53"/>
        <v>550.85300000000041</v>
      </c>
      <c r="W26" s="16">
        <f t="shared" ref="W26:AD26" si="54">+W24+W25</f>
        <v>1979.6920000000002</v>
      </c>
      <c r="X26" s="16">
        <f t="shared" si="54"/>
        <v>1623.0539999999994</v>
      </c>
      <c r="Y26" s="16">
        <f t="shared" si="54"/>
        <v>1621.847</v>
      </c>
      <c r="Z26" s="16">
        <f t="shared" si="54"/>
        <v>39.336000000000013</v>
      </c>
      <c r="AA26" s="16">
        <f t="shared" si="54"/>
        <v>1468.8739999999998</v>
      </c>
      <c r="AB26" s="16">
        <f t="shared" si="54"/>
        <v>8209.2452300000004</v>
      </c>
      <c r="AC26" s="16">
        <f t="shared" si="54"/>
        <v>8559.636120000001</v>
      </c>
      <c r="AD26" s="16">
        <f t="shared" si="54"/>
        <v>8794.2993600000009</v>
      </c>
      <c r="AE26" s="15"/>
      <c r="AF26" s="15"/>
      <c r="AI26" s="15">
        <f>AI24-AI25</f>
        <v>1192.037</v>
      </c>
      <c r="AJ26" s="15">
        <f t="shared" ref="AJ26:AK26" si="55">AJ24-AJ25</f>
        <v>1983.9939999999997</v>
      </c>
      <c r="AK26" s="15">
        <f t="shared" si="55"/>
        <v>3146.277000000001</v>
      </c>
      <c r="AL26" s="15">
        <f>AL24-AL25</f>
        <v>5971.2289999999975</v>
      </c>
      <c r="AM26" s="15">
        <f t="shared" ref="AM26:AQ26" si="56">AM24-AM25</f>
        <v>6884.0438500000055</v>
      </c>
      <c r="AN26" s="15">
        <f t="shared" si="56"/>
        <v>5764.1061315000043</v>
      </c>
      <c r="AO26" s="15">
        <f t="shared" si="56"/>
        <v>3672.8610438818341</v>
      </c>
      <c r="AP26" s="15">
        <f t="shared" si="56"/>
        <v>4368.5476885928201</v>
      </c>
      <c r="AQ26" s="15">
        <f t="shared" si="56"/>
        <v>5128.1644053694445</v>
      </c>
      <c r="AR26" s="15"/>
      <c r="AS26" s="15"/>
      <c r="AT26" s="15"/>
      <c r="AU26" s="15"/>
      <c r="AV26" s="15"/>
    </row>
    <row r="27" spans="2:392" x14ac:dyDescent="0.3">
      <c r="B27" s="4" t="s">
        <v>18</v>
      </c>
      <c r="C27" s="16">
        <v>45.57</v>
      </c>
      <c r="D27" s="16">
        <v>-51.637999999999998</v>
      </c>
      <c r="E27" s="16">
        <v>-13.353</v>
      </c>
      <c r="F27" s="16">
        <v>-54.186999999999998</v>
      </c>
      <c r="G27" s="16">
        <v>9.4920000000000009</v>
      </c>
      <c r="H27" s="16">
        <v>44.286999999999999</v>
      </c>
      <c r="I27" s="16">
        <v>-24.024999999999999</v>
      </c>
      <c r="J27" s="16">
        <v>-14.538</v>
      </c>
      <c r="K27" s="16">
        <v>55.606999999999999</v>
      </c>
      <c r="L27" s="16">
        <v>230.26599999999999</v>
      </c>
      <c r="M27" s="16">
        <v>347.07900000000001</v>
      </c>
      <c r="N27" s="16">
        <v>-437.637</v>
      </c>
      <c r="O27" s="16">
        <v>86.802999999999997</v>
      </c>
      <c r="P27" s="16">
        <v>315.40600000000001</v>
      </c>
      <c r="Q27" s="16">
        <v>71.483999999999995</v>
      </c>
      <c r="R27" s="16">
        <v>-35.738999999999997</v>
      </c>
      <c r="S27" s="15">
        <v>327.78699999999998</v>
      </c>
      <c r="T27" s="15">
        <v>240.77600000000001</v>
      </c>
      <c r="U27" s="15">
        <v>211.88800000000001</v>
      </c>
      <c r="V27" s="15">
        <v>-56.576000000000001</v>
      </c>
      <c r="W27" s="15">
        <v>382.245</v>
      </c>
      <c r="X27" s="15">
        <v>182.10300000000001</v>
      </c>
      <c r="Y27" s="15">
        <v>223.60499999999999</v>
      </c>
      <c r="Z27" s="15">
        <v>-15.948</v>
      </c>
      <c r="AA27" s="15">
        <v>163.75399999999999</v>
      </c>
      <c r="AB27" s="15"/>
      <c r="AC27" s="15"/>
      <c r="AD27" s="15"/>
      <c r="AE27" s="15"/>
      <c r="AF27" s="15"/>
      <c r="AI27" s="15">
        <f>SUM(C27:F27)</f>
        <v>-73.608000000000004</v>
      </c>
      <c r="AJ27" s="15">
        <f>SUM(G27:J27)</f>
        <v>15.215999999999998</v>
      </c>
      <c r="AK27" s="15">
        <f>SUM(K27:N27)</f>
        <v>195.315</v>
      </c>
      <c r="AL27" s="15">
        <f>SUM(O27:R27)</f>
        <v>437.95400000000001</v>
      </c>
      <c r="AM27" s="15">
        <f>AM26*$AL$43</f>
        <v>504.90351990903446</v>
      </c>
      <c r="AN27" s="15">
        <f>AN26*$AL$43</f>
        <v>422.76277408134138</v>
      </c>
      <c r="AO27" s="15">
        <f>AO26*$AL$43</f>
        <v>269.38243125698671</v>
      </c>
      <c r="AP27" s="15">
        <f>AP26*$AL$43</f>
        <v>320.40689352392627</v>
      </c>
      <c r="AQ27" s="15">
        <f>AQ26*$AL$43</f>
        <v>376.12024492598943</v>
      </c>
      <c r="AR27" s="15"/>
      <c r="AS27" s="15"/>
      <c r="AT27" s="15"/>
      <c r="AU27" s="15"/>
      <c r="AV27" s="15"/>
    </row>
    <row r="28" spans="2:392" s="19" customFormat="1" x14ac:dyDescent="0.3">
      <c r="B28" s="19" t="s">
        <v>19</v>
      </c>
      <c r="C28" s="20">
        <f t="shared" ref="C28:E28" si="57">+C26-C27</f>
        <v>178.22200000000046</v>
      </c>
      <c r="D28" s="20">
        <f t="shared" si="57"/>
        <v>65.600000000000023</v>
      </c>
      <c r="E28" s="20">
        <f t="shared" si="57"/>
        <v>129.58999999999995</v>
      </c>
      <c r="F28" s="20">
        <f t="shared" ref="F28:AD28" si="58">+F26-F27</f>
        <v>185.51700000000034</v>
      </c>
      <c r="G28" s="20">
        <f t="shared" si="58"/>
        <v>290.12400000000008</v>
      </c>
      <c r="H28" s="20">
        <f t="shared" si="58"/>
        <v>384.34899999999999</v>
      </c>
      <c r="I28" s="20">
        <f t="shared" si="58"/>
        <v>402.83499999999964</v>
      </c>
      <c r="J28" s="20">
        <f t="shared" si="58"/>
        <v>133.93400000000031</v>
      </c>
      <c r="K28" s="20">
        <f t="shared" si="58"/>
        <v>344.05200000000025</v>
      </c>
      <c r="L28" s="20">
        <f t="shared" si="58"/>
        <v>270.64999999999986</v>
      </c>
      <c r="M28" s="20">
        <f t="shared" si="58"/>
        <v>665.24399999999991</v>
      </c>
      <c r="N28" s="20">
        <f t="shared" si="58"/>
        <v>586.97</v>
      </c>
      <c r="O28" s="20">
        <f t="shared" si="58"/>
        <v>709.06699999999989</v>
      </c>
      <c r="P28" s="20">
        <f t="shared" si="58"/>
        <v>720.19600000000037</v>
      </c>
      <c r="Q28" s="20">
        <f t="shared" si="58"/>
        <v>789.97599999999932</v>
      </c>
      <c r="R28" s="20">
        <f t="shared" si="58"/>
        <v>542.15600000000018</v>
      </c>
      <c r="S28" s="20">
        <f t="shared" si="58"/>
        <v>1706.7150000000001</v>
      </c>
      <c r="T28" s="20">
        <f t="shared" si="58"/>
        <v>1353.0130000000001</v>
      </c>
      <c r="U28" s="20">
        <f t="shared" si="58"/>
        <v>1449.0709999999997</v>
      </c>
      <c r="V28" s="20">
        <f t="shared" si="58"/>
        <v>607.42900000000043</v>
      </c>
      <c r="W28" s="20">
        <f t="shared" si="58"/>
        <v>1597.4470000000001</v>
      </c>
      <c r="X28" s="20">
        <f t="shared" si="58"/>
        <v>1440.9509999999993</v>
      </c>
      <c r="Y28" s="20">
        <f t="shared" si="58"/>
        <v>1398.242</v>
      </c>
      <c r="Z28" s="20">
        <f t="shared" ref="Z28" si="59">+Z26-Z27</f>
        <v>55.284000000000013</v>
      </c>
      <c r="AA28" s="20">
        <f t="shared" si="58"/>
        <v>1305.1199999999999</v>
      </c>
      <c r="AB28" s="20">
        <f t="shared" si="58"/>
        <v>8209.2452300000004</v>
      </c>
      <c r="AC28" s="20">
        <f t="shared" si="58"/>
        <v>8559.636120000001</v>
      </c>
      <c r="AD28" s="20">
        <f t="shared" si="58"/>
        <v>8794.2993600000009</v>
      </c>
      <c r="AE28" s="21"/>
      <c r="AF28" s="21"/>
      <c r="AI28" s="21">
        <f>AI26-AI27</f>
        <v>1265.645</v>
      </c>
      <c r="AJ28" s="21">
        <f t="shared" ref="AJ28:AK28" si="60">AJ26-AJ27</f>
        <v>1968.7779999999998</v>
      </c>
      <c r="AK28" s="21">
        <f t="shared" si="60"/>
        <v>2950.9620000000009</v>
      </c>
      <c r="AL28" s="21">
        <f>AL26-AL27</f>
        <v>5533.2749999999978</v>
      </c>
      <c r="AM28" s="21">
        <f>AM26-AM27</f>
        <v>6379.1403300909715</v>
      </c>
      <c r="AN28" s="21">
        <f t="shared" ref="AN28:AQ28" si="61">AN26-AN27</f>
        <v>5341.3433574186629</v>
      </c>
      <c r="AO28" s="21">
        <f t="shared" si="61"/>
        <v>3403.4786126248473</v>
      </c>
      <c r="AP28" s="21">
        <f t="shared" si="61"/>
        <v>4048.140795068894</v>
      </c>
      <c r="AQ28" s="21">
        <f t="shared" si="61"/>
        <v>4752.0441604434554</v>
      </c>
      <c r="AR28" s="21">
        <f t="shared" ref="AR28:DC28" si="62">AQ28*(1+$AU$35)</f>
        <v>4704.5237188390211</v>
      </c>
      <c r="AS28" s="21">
        <f t="shared" si="62"/>
        <v>4657.4784816506308</v>
      </c>
      <c r="AT28" s="21">
        <f t="shared" si="62"/>
        <v>4610.9036968341243</v>
      </c>
      <c r="AU28" s="21">
        <f t="shared" si="62"/>
        <v>4564.7946598657827</v>
      </c>
      <c r="AV28" s="21">
        <f t="shared" si="62"/>
        <v>4519.1467132671251</v>
      </c>
      <c r="AW28" s="21">
        <f t="shared" si="62"/>
        <v>4473.9552461344538</v>
      </c>
      <c r="AX28" s="21">
        <f t="shared" si="62"/>
        <v>4429.2156936731089</v>
      </c>
      <c r="AY28" s="21">
        <f t="shared" si="62"/>
        <v>4384.9235367363781</v>
      </c>
      <c r="AZ28" s="21">
        <f t="shared" si="62"/>
        <v>4341.0743013690144</v>
      </c>
      <c r="BA28" s="21">
        <f t="shared" si="62"/>
        <v>4297.6635583553243</v>
      </c>
      <c r="BB28" s="21">
        <f t="shared" si="62"/>
        <v>4254.6869227717707</v>
      </c>
      <c r="BC28" s="21">
        <f t="shared" si="62"/>
        <v>4212.1400535440525</v>
      </c>
      <c r="BD28" s="21">
        <f t="shared" si="62"/>
        <v>4170.0186530086121</v>
      </c>
      <c r="BE28" s="21">
        <f t="shared" si="62"/>
        <v>4128.3184664785258</v>
      </c>
      <c r="BF28" s="21">
        <f t="shared" si="62"/>
        <v>4087.0352818137403</v>
      </c>
      <c r="BG28" s="21">
        <f t="shared" si="62"/>
        <v>4046.1649289956031</v>
      </c>
      <c r="BH28" s="21">
        <f t="shared" si="62"/>
        <v>4005.7032797056472</v>
      </c>
      <c r="BI28" s="21">
        <f t="shared" si="62"/>
        <v>3965.6462469085909</v>
      </c>
      <c r="BJ28" s="21">
        <f t="shared" si="62"/>
        <v>3925.989784439505</v>
      </c>
      <c r="BK28" s="21">
        <f t="shared" si="62"/>
        <v>3886.7298865951097</v>
      </c>
      <c r="BL28" s="21">
        <f t="shared" si="62"/>
        <v>3847.8625877291588</v>
      </c>
      <c r="BM28" s="21">
        <f t="shared" si="62"/>
        <v>3809.3839618518673</v>
      </c>
      <c r="BN28" s="21">
        <f t="shared" si="62"/>
        <v>3771.2901222333485</v>
      </c>
      <c r="BO28" s="21">
        <f t="shared" si="62"/>
        <v>3733.5772210110149</v>
      </c>
      <c r="BP28" s="21">
        <f t="shared" si="62"/>
        <v>3696.2414488009049</v>
      </c>
      <c r="BQ28" s="21">
        <f t="shared" si="62"/>
        <v>3659.2790343128959</v>
      </c>
      <c r="BR28" s="21">
        <f t="shared" si="62"/>
        <v>3622.686243969767</v>
      </c>
      <c r="BS28" s="21">
        <f t="shared" si="62"/>
        <v>3586.4593815300691</v>
      </c>
      <c r="BT28" s="21">
        <f t="shared" si="62"/>
        <v>3550.5947877147682</v>
      </c>
      <c r="BU28" s="21">
        <f t="shared" si="62"/>
        <v>3515.0888398376205</v>
      </c>
      <c r="BV28" s="21">
        <f t="shared" si="62"/>
        <v>3479.9379514392444</v>
      </c>
      <c r="BW28" s="21">
        <f t="shared" si="62"/>
        <v>3445.1385719248519</v>
      </c>
      <c r="BX28" s="21">
        <f t="shared" si="62"/>
        <v>3410.6871862056032</v>
      </c>
      <c r="BY28" s="21">
        <f t="shared" si="62"/>
        <v>3376.5803143435473</v>
      </c>
      <c r="BZ28" s="21">
        <f t="shared" si="62"/>
        <v>3342.8145112001121</v>
      </c>
      <c r="CA28" s="21">
        <f t="shared" si="62"/>
        <v>3309.3863660881111</v>
      </c>
      <c r="CB28" s="21">
        <f t="shared" si="62"/>
        <v>3276.2925024272299</v>
      </c>
      <c r="CC28" s="21">
        <f t="shared" si="62"/>
        <v>3243.5295774029578</v>
      </c>
      <c r="CD28" s="21">
        <f t="shared" si="62"/>
        <v>3211.094281628928</v>
      </c>
      <c r="CE28" s="21">
        <f t="shared" si="62"/>
        <v>3178.9833388126385</v>
      </c>
      <c r="CF28" s="21">
        <f t="shared" si="62"/>
        <v>3147.1935054245123</v>
      </c>
      <c r="CG28" s="21">
        <f t="shared" si="62"/>
        <v>3115.7215703702673</v>
      </c>
      <c r="CH28" s="21">
        <f t="shared" si="62"/>
        <v>3084.5643546665647</v>
      </c>
      <c r="CI28" s="21">
        <f t="shared" si="62"/>
        <v>3053.7187111198991</v>
      </c>
      <c r="CJ28" s="21">
        <f t="shared" si="62"/>
        <v>3023.1815240087003</v>
      </c>
      <c r="CK28" s="21">
        <f t="shared" si="62"/>
        <v>2992.9497087686132</v>
      </c>
      <c r="CL28" s="21">
        <f t="shared" si="62"/>
        <v>2963.0202116809269</v>
      </c>
      <c r="CM28" s="21">
        <f t="shared" si="62"/>
        <v>2933.3900095641175</v>
      </c>
      <c r="CN28" s="21">
        <f t="shared" si="62"/>
        <v>2904.0561094684763</v>
      </c>
      <c r="CO28" s="21">
        <f t="shared" si="62"/>
        <v>2875.0155483737917</v>
      </c>
      <c r="CP28" s="21">
        <f t="shared" si="62"/>
        <v>2846.2653928900536</v>
      </c>
      <c r="CQ28" s="21">
        <f t="shared" si="62"/>
        <v>2817.802738961153</v>
      </c>
      <c r="CR28" s="21">
        <f t="shared" si="62"/>
        <v>2789.6247115715414</v>
      </c>
      <c r="CS28" s="21">
        <f t="shared" si="62"/>
        <v>2761.7284644558258</v>
      </c>
      <c r="CT28" s="21">
        <f t="shared" si="62"/>
        <v>2734.1111798112674</v>
      </c>
      <c r="CU28" s="21">
        <f t="shared" si="62"/>
        <v>2706.7700680131547</v>
      </c>
      <c r="CV28" s="21">
        <f t="shared" si="62"/>
        <v>2679.7023673330232</v>
      </c>
      <c r="CW28" s="21">
        <f t="shared" si="62"/>
        <v>2652.9053436596928</v>
      </c>
      <c r="CX28" s="21">
        <f t="shared" si="62"/>
        <v>2626.376290223096</v>
      </c>
      <c r="CY28" s="21">
        <f t="shared" si="62"/>
        <v>2600.112527320865</v>
      </c>
      <c r="CZ28" s="21">
        <f t="shared" si="62"/>
        <v>2574.1114020476562</v>
      </c>
      <c r="DA28" s="21">
        <f t="shared" si="62"/>
        <v>2548.3702880271794</v>
      </c>
      <c r="DB28" s="21">
        <f t="shared" si="62"/>
        <v>2522.8865851469077</v>
      </c>
      <c r="DC28" s="21">
        <f t="shared" si="62"/>
        <v>2497.6577192954387</v>
      </c>
      <c r="DD28" s="21">
        <f t="shared" ref="DD28:FO28" si="63">DC28*(1+$AU$35)</f>
        <v>2472.6811421024845</v>
      </c>
      <c r="DE28" s="21">
        <f t="shared" si="63"/>
        <v>2447.9543306814599</v>
      </c>
      <c r="DF28" s="21">
        <f t="shared" si="63"/>
        <v>2423.4747873746451</v>
      </c>
      <c r="DG28" s="21">
        <f t="shared" si="63"/>
        <v>2399.2400395008985</v>
      </c>
      <c r="DH28" s="21">
        <f t="shared" si="63"/>
        <v>2375.2476391058894</v>
      </c>
      <c r="DI28" s="21">
        <f t="shared" si="63"/>
        <v>2351.4951627148307</v>
      </c>
      <c r="DJ28" s="21">
        <f t="shared" si="63"/>
        <v>2327.9802110876822</v>
      </c>
      <c r="DK28" s="21">
        <f t="shared" si="63"/>
        <v>2304.7004089768052</v>
      </c>
      <c r="DL28" s="21">
        <f t="shared" si="63"/>
        <v>2281.6534048870371</v>
      </c>
      <c r="DM28" s="21">
        <f t="shared" si="63"/>
        <v>2258.8368708381668</v>
      </c>
      <c r="DN28" s="21">
        <f t="shared" si="63"/>
        <v>2236.2485021297853</v>
      </c>
      <c r="DO28" s="21">
        <f t="shared" si="63"/>
        <v>2213.8860171084875</v>
      </c>
      <c r="DP28" s="21">
        <f t="shared" si="63"/>
        <v>2191.7471569374025</v>
      </c>
      <c r="DQ28" s="21">
        <f t="shared" si="63"/>
        <v>2169.8296853680285</v>
      </c>
      <c r="DR28" s="21">
        <f t="shared" si="63"/>
        <v>2148.1313885143481</v>
      </c>
      <c r="DS28" s="21">
        <f t="shared" si="63"/>
        <v>2126.6500746292045</v>
      </c>
      <c r="DT28" s="21">
        <f t="shared" si="63"/>
        <v>2105.3835738829125</v>
      </c>
      <c r="DU28" s="21">
        <f t="shared" si="63"/>
        <v>2084.3297381440834</v>
      </c>
      <c r="DV28" s="21">
        <f t="shared" si="63"/>
        <v>2063.4864407626424</v>
      </c>
      <c r="DW28" s="21">
        <f t="shared" si="63"/>
        <v>2042.8515763550158</v>
      </c>
      <c r="DX28" s="21">
        <f t="shared" si="63"/>
        <v>2022.4230605914656</v>
      </c>
      <c r="DY28" s="21">
        <f t="shared" si="63"/>
        <v>2002.1988299855509</v>
      </c>
      <c r="DZ28" s="21">
        <f t="shared" si="63"/>
        <v>1982.1768416856953</v>
      </c>
      <c r="EA28" s="21">
        <f t="shared" si="63"/>
        <v>1962.3550732688384</v>
      </c>
      <c r="EB28" s="21">
        <f t="shared" si="63"/>
        <v>1942.7315225361499</v>
      </c>
      <c r="EC28" s="21">
        <f t="shared" si="63"/>
        <v>1923.3042073107883</v>
      </c>
      <c r="ED28" s="21">
        <f t="shared" si="63"/>
        <v>1904.0711652376804</v>
      </c>
      <c r="EE28" s="21">
        <f t="shared" si="63"/>
        <v>1885.0304535853036</v>
      </c>
      <c r="EF28" s="21">
        <f t="shared" si="63"/>
        <v>1866.1801490494506</v>
      </c>
      <c r="EG28" s="21">
        <f t="shared" si="63"/>
        <v>1847.5183475589561</v>
      </c>
      <c r="EH28" s="21">
        <f t="shared" si="63"/>
        <v>1829.0431640833665</v>
      </c>
      <c r="EI28" s="21">
        <f t="shared" si="63"/>
        <v>1810.7527324425328</v>
      </c>
      <c r="EJ28" s="21">
        <f t="shared" si="63"/>
        <v>1792.6452051181075</v>
      </c>
      <c r="EK28" s="21">
        <f t="shared" si="63"/>
        <v>1774.7187530669264</v>
      </c>
      <c r="EL28" s="21">
        <f t="shared" si="63"/>
        <v>1756.9715655362572</v>
      </c>
      <c r="EM28" s="21">
        <f t="shared" si="63"/>
        <v>1739.4018498808946</v>
      </c>
      <c r="EN28" s="21">
        <f t="shared" si="63"/>
        <v>1722.0078313820857</v>
      </c>
      <c r="EO28" s="21">
        <f t="shared" si="63"/>
        <v>1704.7877530682647</v>
      </c>
      <c r="EP28" s="21">
        <f t="shared" si="63"/>
        <v>1687.7398755375821</v>
      </c>
      <c r="EQ28" s="21">
        <f t="shared" si="63"/>
        <v>1670.8624767822062</v>
      </c>
      <c r="ER28" s="21">
        <f t="shared" si="63"/>
        <v>1654.153852014384</v>
      </c>
      <c r="ES28" s="21">
        <f t="shared" si="63"/>
        <v>1637.6123134942402</v>
      </c>
      <c r="ET28" s="21">
        <f t="shared" si="63"/>
        <v>1621.2361903592978</v>
      </c>
      <c r="EU28" s="21">
        <f t="shared" si="63"/>
        <v>1605.0238284557047</v>
      </c>
      <c r="EV28" s="21">
        <f t="shared" si="63"/>
        <v>1588.9735901711476</v>
      </c>
      <c r="EW28" s="21">
        <f t="shared" si="63"/>
        <v>1573.0838542694362</v>
      </c>
      <c r="EX28" s="21">
        <f t="shared" si="63"/>
        <v>1557.3530157267419</v>
      </c>
      <c r="EY28" s="21">
        <f t="shared" si="63"/>
        <v>1541.7794855694744</v>
      </c>
      <c r="EZ28" s="21">
        <f t="shared" si="63"/>
        <v>1526.3616907137796</v>
      </c>
      <c r="FA28" s="21">
        <f t="shared" si="63"/>
        <v>1511.0980738066419</v>
      </c>
      <c r="FB28" s="21">
        <f t="shared" si="63"/>
        <v>1495.9870930685754</v>
      </c>
      <c r="FC28" s="21">
        <f t="shared" si="63"/>
        <v>1481.0272221378896</v>
      </c>
      <c r="FD28" s="21">
        <f t="shared" si="63"/>
        <v>1466.2169499165107</v>
      </c>
      <c r="FE28" s="21">
        <f t="shared" si="63"/>
        <v>1451.5547804173455</v>
      </c>
      <c r="FF28" s="21">
        <f t="shared" si="63"/>
        <v>1437.0392326131721</v>
      </c>
      <c r="FG28" s="21">
        <f t="shared" si="63"/>
        <v>1422.6688402870404</v>
      </c>
      <c r="FH28" s="21">
        <f t="shared" si="63"/>
        <v>1408.44215188417</v>
      </c>
      <c r="FI28" s="21">
        <f t="shared" si="63"/>
        <v>1394.3577303653283</v>
      </c>
      <c r="FJ28" s="21">
        <f t="shared" si="63"/>
        <v>1380.4141530616751</v>
      </c>
      <c r="FK28" s="21">
        <f t="shared" si="63"/>
        <v>1366.6100115310583</v>
      </c>
      <c r="FL28" s="21">
        <f t="shared" si="63"/>
        <v>1352.9439114157476</v>
      </c>
      <c r="FM28" s="21">
        <f t="shared" si="63"/>
        <v>1339.4144723015902</v>
      </c>
      <c r="FN28" s="21">
        <f t="shared" si="63"/>
        <v>1326.0203275785743</v>
      </c>
      <c r="FO28" s="21">
        <f t="shared" si="63"/>
        <v>1312.7601243027887</v>
      </c>
      <c r="FP28" s="21">
        <f t="shared" ref="FP28:IA28" si="64">FO28*(1+$AU$35)</f>
        <v>1299.6325230597608</v>
      </c>
      <c r="FQ28" s="21">
        <f t="shared" si="64"/>
        <v>1286.6361978291632</v>
      </c>
      <c r="FR28" s="21">
        <f t="shared" si="64"/>
        <v>1273.7698358508715</v>
      </c>
      <c r="FS28" s="21">
        <f t="shared" si="64"/>
        <v>1261.0321374923628</v>
      </c>
      <c r="FT28" s="21">
        <f t="shared" si="64"/>
        <v>1248.4218161174392</v>
      </c>
      <c r="FU28" s="21">
        <f t="shared" si="64"/>
        <v>1235.9375979562649</v>
      </c>
      <c r="FV28" s="21">
        <f t="shared" si="64"/>
        <v>1223.5782219767023</v>
      </c>
      <c r="FW28" s="21">
        <f t="shared" si="64"/>
        <v>1211.3424397569352</v>
      </c>
      <c r="FX28" s="21">
        <f t="shared" si="64"/>
        <v>1199.2290153593658</v>
      </c>
      <c r="FY28" s="21">
        <f t="shared" si="64"/>
        <v>1187.2367252057722</v>
      </c>
      <c r="FZ28" s="21">
        <f t="shared" si="64"/>
        <v>1175.3643579537145</v>
      </c>
      <c r="GA28" s="21">
        <f t="shared" si="64"/>
        <v>1163.6107143741774</v>
      </c>
      <c r="GB28" s="21">
        <f t="shared" si="64"/>
        <v>1151.9746072304356</v>
      </c>
      <c r="GC28" s="21">
        <f t="shared" si="64"/>
        <v>1140.4548611581313</v>
      </c>
      <c r="GD28" s="21">
        <f t="shared" si="64"/>
        <v>1129.05031254655</v>
      </c>
      <c r="GE28" s="21">
        <f t="shared" si="64"/>
        <v>1117.7598094210846</v>
      </c>
      <c r="GF28" s="21">
        <f t="shared" si="64"/>
        <v>1106.5822113268737</v>
      </c>
      <c r="GG28" s="21">
        <f t="shared" si="64"/>
        <v>1095.516389213605</v>
      </c>
      <c r="GH28" s="21">
        <f t="shared" si="64"/>
        <v>1084.5612253214688</v>
      </c>
      <c r="GI28" s="21">
        <f t="shared" si="64"/>
        <v>1073.715613068254</v>
      </c>
      <c r="GJ28" s="21">
        <f t="shared" si="64"/>
        <v>1062.9784569375715</v>
      </c>
      <c r="GK28" s="21">
        <f t="shared" si="64"/>
        <v>1052.3486723681958</v>
      </c>
      <c r="GL28" s="21">
        <f t="shared" si="64"/>
        <v>1041.8251856445138</v>
      </c>
      <c r="GM28" s="21">
        <f t="shared" si="64"/>
        <v>1031.4069337880687</v>
      </c>
      <c r="GN28" s="21">
        <f t="shared" si="64"/>
        <v>1021.092864450188</v>
      </c>
      <c r="GO28" s="21">
        <f t="shared" si="64"/>
        <v>1010.8819358056861</v>
      </c>
      <c r="GP28" s="21">
        <f t="shared" si="64"/>
        <v>1000.7731164476293</v>
      </c>
      <c r="GQ28" s="21">
        <f t="shared" si="64"/>
        <v>990.76538528315291</v>
      </c>
      <c r="GR28" s="21">
        <f t="shared" si="64"/>
        <v>980.85773143032134</v>
      </c>
      <c r="GS28" s="21">
        <f t="shared" si="64"/>
        <v>971.04915411601814</v>
      </c>
      <c r="GT28" s="21">
        <f t="shared" si="64"/>
        <v>961.33866257485795</v>
      </c>
      <c r="GU28" s="21">
        <f t="shared" si="64"/>
        <v>951.72527594910935</v>
      </c>
      <c r="GV28" s="21">
        <f t="shared" si="64"/>
        <v>942.20802318961819</v>
      </c>
      <c r="GW28" s="21">
        <f t="shared" si="64"/>
        <v>932.785942957722</v>
      </c>
      <c r="GX28" s="21">
        <f t="shared" si="64"/>
        <v>923.45808352814481</v>
      </c>
      <c r="GY28" s="21">
        <f t="shared" si="64"/>
        <v>914.22350269286335</v>
      </c>
      <c r="GZ28" s="21">
        <f t="shared" si="64"/>
        <v>905.08126766593466</v>
      </c>
      <c r="HA28" s="21">
        <f t="shared" si="64"/>
        <v>896.03045498927531</v>
      </c>
      <c r="HB28" s="21">
        <f t="shared" si="64"/>
        <v>887.07015043938259</v>
      </c>
      <c r="HC28" s="21">
        <f t="shared" si="64"/>
        <v>878.19944893498871</v>
      </c>
      <c r="HD28" s="21">
        <f t="shared" si="64"/>
        <v>869.41745444563878</v>
      </c>
      <c r="HE28" s="21">
        <f t="shared" si="64"/>
        <v>860.72327990118242</v>
      </c>
      <c r="HF28" s="21">
        <f t="shared" si="64"/>
        <v>852.11604710217057</v>
      </c>
      <c r="HG28" s="21">
        <f t="shared" si="64"/>
        <v>843.59488663114882</v>
      </c>
      <c r="HH28" s="21">
        <f t="shared" si="64"/>
        <v>835.15893776483733</v>
      </c>
      <c r="HI28" s="21">
        <f t="shared" si="64"/>
        <v>826.80734838718899</v>
      </c>
      <c r="HJ28" s="21">
        <f t="shared" si="64"/>
        <v>818.53927490331705</v>
      </c>
      <c r="HK28" s="21">
        <f t="shared" si="64"/>
        <v>810.35388215428384</v>
      </c>
      <c r="HL28" s="21">
        <f t="shared" si="64"/>
        <v>802.25034333274095</v>
      </c>
      <c r="HM28" s="21">
        <f t="shared" si="64"/>
        <v>794.22783989941354</v>
      </c>
      <c r="HN28" s="21">
        <f t="shared" si="64"/>
        <v>786.28556150041936</v>
      </c>
      <c r="HO28" s="21">
        <f t="shared" si="64"/>
        <v>778.42270588541521</v>
      </c>
      <c r="HP28" s="21">
        <f t="shared" si="64"/>
        <v>770.63847882656103</v>
      </c>
      <c r="HQ28" s="21">
        <f t="shared" si="64"/>
        <v>762.93209403829542</v>
      </c>
      <c r="HR28" s="21">
        <f t="shared" si="64"/>
        <v>755.30277309791245</v>
      </c>
      <c r="HS28" s="21">
        <f t="shared" si="64"/>
        <v>747.74974536693333</v>
      </c>
      <c r="HT28" s="21">
        <f t="shared" si="64"/>
        <v>740.27224791326398</v>
      </c>
      <c r="HU28" s="21">
        <f t="shared" si="64"/>
        <v>732.86952543413133</v>
      </c>
      <c r="HV28" s="21">
        <f t="shared" si="64"/>
        <v>725.54083017978996</v>
      </c>
      <c r="HW28" s="21">
        <f t="shared" si="64"/>
        <v>718.28542187799201</v>
      </c>
      <c r="HX28" s="21">
        <f t="shared" si="64"/>
        <v>711.10256765921213</v>
      </c>
      <c r="HY28" s="21">
        <f t="shared" si="64"/>
        <v>703.99154198261999</v>
      </c>
      <c r="HZ28" s="21">
        <f t="shared" si="64"/>
        <v>696.95162656279376</v>
      </c>
      <c r="IA28" s="21">
        <f t="shared" si="64"/>
        <v>689.98211029716583</v>
      </c>
      <c r="IB28" s="21">
        <f t="shared" ref="IB28:KM28" si="65">IA28*(1+$AU$35)</f>
        <v>683.08228919419412</v>
      </c>
      <c r="IC28" s="21">
        <f t="shared" si="65"/>
        <v>676.2514663022522</v>
      </c>
      <c r="ID28" s="21">
        <f t="shared" si="65"/>
        <v>669.48895163922964</v>
      </c>
      <c r="IE28" s="21">
        <f t="shared" si="65"/>
        <v>662.79406212283732</v>
      </c>
      <c r="IF28" s="21">
        <f t="shared" si="65"/>
        <v>656.16612150160893</v>
      </c>
      <c r="IG28" s="21">
        <f t="shared" si="65"/>
        <v>649.60446028659283</v>
      </c>
      <c r="IH28" s="21">
        <f t="shared" si="65"/>
        <v>643.10841568372689</v>
      </c>
      <c r="II28" s="21">
        <f t="shared" si="65"/>
        <v>636.67733152688959</v>
      </c>
      <c r="IJ28" s="21">
        <f t="shared" si="65"/>
        <v>630.31055821162067</v>
      </c>
      <c r="IK28" s="21">
        <f t="shared" si="65"/>
        <v>624.00745262950443</v>
      </c>
      <c r="IL28" s="21">
        <f t="shared" si="65"/>
        <v>617.76737810320935</v>
      </c>
      <c r="IM28" s="21">
        <f t="shared" si="65"/>
        <v>611.58970432217723</v>
      </c>
      <c r="IN28" s="21">
        <f t="shared" si="65"/>
        <v>605.47380727895541</v>
      </c>
      <c r="IO28" s="21">
        <f t="shared" si="65"/>
        <v>599.41906920616589</v>
      </c>
      <c r="IP28" s="21">
        <f t="shared" si="65"/>
        <v>593.42487851410419</v>
      </c>
      <c r="IQ28" s="21">
        <f t="shared" si="65"/>
        <v>587.4906297289632</v>
      </c>
      <c r="IR28" s="21">
        <f t="shared" si="65"/>
        <v>581.61572343167359</v>
      </c>
      <c r="IS28" s="21">
        <f t="shared" si="65"/>
        <v>575.79956619735685</v>
      </c>
      <c r="IT28" s="21">
        <f t="shared" si="65"/>
        <v>570.04157053538324</v>
      </c>
      <c r="IU28" s="21">
        <f t="shared" si="65"/>
        <v>564.34115483002938</v>
      </c>
      <c r="IV28" s="21">
        <f t="shared" si="65"/>
        <v>558.69774328172912</v>
      </c>
      <c r="IW28" s="21">
        <f t="shared" si="65"/>
        <v>553.1107658489118</v>
      </c>
      <c r="IX28" s="21">
        <f t="shared" si="65"/>
        <v>547.57965819042272</v>
      </c>
      <c r="IY28" s="21">
        <f t="shared" si="65"/>
        <v>542.10386160851851</v>
      </c>
      <c r="IZ28" s="21">
        <f t="shared" si="65"/>
        <v>536.68282299243333</v>
      </c>
      <c r="JA28" s="21">
        <f t="shared" si="65"/>
        <v>531.31599476250904</v>
      </c>
      <c r="JB28" s="21">
        <f t="shared" si="65"/>
        <v>526.00283481488395</v>
      </c>
      <c r="JC28" s="21">
        <f t="shared" si="65"/>
        <v>520.74280646673515</v>
      </c>
      <c r="JD28" s="21">
        <f t="shared" si="65"/>
        <v>515.53537840206775</v>
      </c>
      <c r="JE28" s="21">
        <f t="shared" si="65"/>
        <v>510.38002461804706</v>
      </c>
      <c r="JF28" s="21">
        <f t="shared" si="65"/>
        <v>505.27622437186659</v>
      </c>
      <c r="JG28" s="21">
        <f t="shared" si="65"/>
        <v>500.2234621281479</v>
      </c>
      <c r="JH28" s="21">
        <f t="shared" si="65"/>
        <v>495.2212275068664</v>
      </c>
      <c r="JI28" s="21">
        <f t="shared" si="65"/>
        <v>490.26901523179771</v>
      </c>
      <c r="JJ28" s="21">
        <f t="shared" si="65"/>
        <v>485.36632507947974</v>
      </c>
      <c r="JK28" s="21">
        <f t="shared" si="65"/>
        <v>480.51266182868494</v>
      </c>
      <c r="JL28" s="21">
        <f t="shared" si="65"/>
        <v>475.70753521039808</v>
      </c>
      <c r="JM28" s="21">
        <f t="shared" si="65"/>
        <v>470.9504598582941</v>
      </c>
      <c r="JN28" s="21">
        <f t="shared" si="65"/>
        <v>466.24095525971114</v>
      </c>
      <c r="JO28" s="21">
        <f t="shared" si="65"/>
        <v>461.57854570711402</v>
      </c>
      <c r="JP28" s="21">
        <f t="shared" si="65"/>
        <v>456.96276025004289</v>
      </c>
      <c r="JQ28" s="21">
        <f t="shared" si="65"/>
        <v>452.39313264754247</v>
      </c>
      <c r="JR28" s="21">
        <f t="shared" si="65"/>
        <v>447.86920132106707</v>
      </c>
      <c r="JS28" s="21">
        <f t="shared" si="65"/>
        <v>443.39050930785641</v>
      </c>
      <c r="JT28" s="21">
        <f t="shared" si="65"/>
        <v>438.95660421477783</v>
      </c>
      <c r="JU28" s="21">
        <f t="shared" si="65"/>
        <v>434.56703817263002</v>
      </c>
      <c r="JV28" s="21">
        <f t="shared" si="65"/>
        <v>430.22136779090374</v>
      </c>
      <c r="JW28" s="21">
        <f t="shared" si="65"/>
        <v>425.9191541129947</v>
      </c>
      <c r="JX28" s="21">
        <f t="shared" si="65"/>
        <v>421.65996257186475</v>
      </c>
      <c r="JY28" s="21">
        <f t="shared" si="65"/>
        <v>417.44336294614612</v>
      </c>
      <c r="JZ28" s="21">
        <f t="shared" si="65"/>
        <v>413.26892931668465</v>
      </c>
      <c r="KA28" s="21">
        <f t="shared" si="65"/>
        <v>409.13624002351781</v>
      </c>
      <c r="KB28" s="21">
        <f t="shared" si="65"/>
        <v>405.04487762328262</v>
      </c>
      <c r="KC28" s="21">
        <f t="shared" si="65"/>
        <v>400.99442884704979</v>
      </c>
      <c r="KD28" s="21">
        <f t="shared" si="65"/>
        <v>396.98448455857931</v>
      </c>
      <c r="KE28" s="21">
        <f t="shared" si="65"/>
        <v>393.01463971299353</v>
      </c>
      <c r="KF28" s="21">
        <f t="shared" si="65"/>
        <v>389.0844933158636</v>
      </c>
      <c r="KG28" s="21">
        <f t="shared" si="65"/>
        <v>385.19364838270496</v>
      </c>
      <c r="KH28" s="21">
        <f t="shared" si="65"/>
        <v>381.34171189887792</v>
      </c>
      <c r="KI28" s="21">
        <f t="shared" si="65"/>
        <v>377.52829477988911</v>
      </c>
      <c r="KJ28" s="21">
        <f t="shared" si="65"/>
        <v>373.75301183209024</v>
      </c>
      <c r="KK28" s="21">
        <f t="shared" si="65"/>
        <v>370.0154817137693</v>
      </c>
      <c r="KL28" s="21">
        <f t="shared" si="65"/>
        <v>366.31532689663163</v>
      </c>
      <c r="KM28" s="21">
        <f t="shared" si="65"/>
        <v>362.65217362766532</v>
      </c>
      <c r="KN28" s="21">
        <f t="shared" ref="KN28:MY28" si="66">KM28*(1+$AU$35)</f>
        <v>359.02565189138869</v>
      </c>
      <c r="KO28" s="21">
        <f t="shared" si="66"/>
        <v>355.43539537247477</v>
      </c>
      <c r="KP28" s="21">
        <f t="shared" si="66"/>
        <v>351.88104141875004</v>
      </c>
      <c r="KQ28" s="21">
        <f t="shared" si="66"/>
        <v>348.36223100456255</v>
      </c>
      <c r="KR28" s="21">
        <f t="shared" si="66"/>
        <v>344.87860869451691</v>
      </c>
      <c r="KS28" s="21">
        <f t="shared" si="66"/>
        <v>341.42982260757174</v>
      </c>
      <c r="KT28" s="21">
        <f t="shared" si="66"/>
        <v>338.01552438149599</v>
      </c>
      <c r="KU28" s="21">
        <f t="shared" si="66"/>
        <v>334.63536913768104</v>
      </c>
      <c r="KV28" s="21">
        <f t="shared" si="66"/>
        <v>331.28901544630423</v>
      </c>
      <c r="KW28" s="21">
        <f t="shared" si="66"/>
        <v>327.97612529184119</v>
      </c>
      <c r="KX28" s="21">
        <f t="shared" si="66"/>
        <v>324.69636403892275</v>
      </c>
      <c r="KY28" s="21">
        <f t="shared" si="66"/>
        <v>321.4494003985335</v>
      </c>
      <c r="KZ28" s="21">
        <f t="shared" si="66"/>
        <v>318.23490639454815</v>
      </c>
      <c r="LA28" s="21">
        <f t="shared" si="66"/>
        <v>315.05255733060267</v>
      </c>
      <c r="LB28" s="21">
        <f t="shared" si="66"/>
        <v>311.90203175729664</v>
      </c>
      <c r="LC28" s="21">
        <f t="shared" si="66"/>
        <v>308.78301143972368</v>
      </c>
      <c r="LD28" s="21">
        <f t="shared" si="66"/>
        <v>305.69518132532642</v>
      </c>
      <c r="LE28" s="21">
        <f t="shared" si="66"/>
        <v>302.63822951207317</v>
      </c>
      <c r="LF28" s="21">
        <f t="shared" si="66"/>
        <v>299.61184721695241</v>
      </c>
      <c r="LG28" s="21">
        <f t="shared" si="66"/>
        <v>296.61572874478287</v>
      </c>
      <c r="LH28" s="21">
        <f t="shared" si="66"/>
        <v>293.64957145733501</v>
      </c>
      <c r="LI28" s="21">
        <f t="shared" si="66"/>
        <v>290.71307574276165</v>
      </c>
      <c r="LJ28" s="21">
        <f t="shared" si="66"/>
        <v>287.80594498533401</v>
      </c>
      <c r="LK28" s="21">
        <f t="shared" si="66"/>
        <v>284.92788553548064</v>
      </c>
      <c r="LL28" s="21">
        <f t="shared" si="66"/>
        <v>282.07860668012586</v>
      </c>
      <c r="LM28" s="21">
        <f t="shared" si="66"/>
        <v>279.25782061332461</v>
      </c>
      <c r="LN28" s="21">
        <f t="shared" si="66"/>
        <v>276.46524240719134</v>
      </c>
      <c r="LO28" s="21">
        <f t="shared" si="66"/>
        <v>273.70058998311941</v>
      </c>
      <c r="LP28" s="21">
        <f t="shared" si="66"/>
        <v>270.9635840832882</v>
      </c>
      <c r="LQ28" s="21">
        <f t="shared" si="66"/>
        <v>268.25394824245529</v>
      </c>
      <c r="LR28" s="21">
        <f t="shared" si="66"/>
        <v>265.57140876003075</v>
      </c>
      <c r="LS28" s="21">
        <f t="shared" si="66"/>
        <v>262.91569467243045</v>
      </c>
      <c r="LT28" s="21">
        <f t="shared" si="66"/>
        <v>260.28653772570613</v>
      </c>
      <c r="LU28" s="21">
        <f t="shared" si="66"/>
        <v>257.68367234844908</v>
      </c>
      <c r="LV28" s="21">
        <f t="shared" si="66"/>
        <v>255.10683562496459</v>
      </c>
      <c r="LW28" s="21">
        <f t="shared" si="66"/>
        <v>252.55576726871493</v>
      </c>
      <c r="LX28" s="21">
        <f t="shared" si="66"/>
        <v>250.03020959602779</v>
      </c>
      <c r="LY28" s="21">
        <f t="shared" si="66"/>
        <v>247.52990750006751</v>
      </c>
      <c r="LZ28" s="21">
        <f t="shared" si="66"/>
        <v>245.05460842506685</v>
      </c>
      <c r="MA28" s="21">
        <f t="shared" si="66"/>
        <v>242.60406234081617</v>
      </c>
      <c r="MB28" s="21">
        <f t="shared" si="66"/>
        <v>240.178021717408</v>
      </c>
      <c r="MC28" s="21">
        <f t="shared" si="66"/>
        <v>237.77624150023391</v>
      </c>
      <c r="MD28" s="21">
        <f t="shared" si="66"/>
        <v>235.39847908523157</v>
      </c>
      <c r="ME28" s="21">
        <f t="shared" si="66"/>
        <v>233.04449429437926</v>
      </c>
      <c r="MF28" s="21">
        <f t="shared" si="66"/>
        <v>230.71404935143548</v>
      </c>
      <c r="MG28" s="21">
        <f t="shared" si="66"/>
        <v>228.40690885792111</v>
      </c>
      <c r="MH28" s="21">
        <f t="shared" si="66"/>
        <v>226.12283976934191</v>
      </c>
      <c r="MI28" s="21">
        <f t="shared" si="66"/>
        <v>223.86161137164848</v>
      </c>
      <c r="MJ28" s="21">
        <f t="shared" si="66"/>
        <v>221.62299525793199</v>
      </c>
      <c r="MK28" s="21">
        <f t="shared" si="66"/>
        <v>219.40676530535268</v>
      </c>
      <c r="ML28" s="21">
        <f t="shared" si="66"/>
        <v>217.21269765229914</v>
      </c>
      <c r="MM28" s="21">
        <f t="shared" si="66"/>
        <v>215.04057067577614</v>
      </c>
      <c r="MN28" s="21">
        <f t="shared" si="66"/>
        <v>212.89016496901837</v>
      </c>
      <c r="MO28" s="21">
        <f t="shared" si="66"/>
        <v>210.76126331932818</v>
      </c>
      <c r="MP28" s="21">
        <f t="shared" si="66"/>
        <v>208.65365068613491</v>
      </c>
      <c r="MQ28" s="21">
        <f t="shared" si="66"/>
        <v>206.56711417927355</v>
      </c>
      <c r="MR28" s="21">
        <f t="shared" si="66"/>
        <v>204.50144303748081</v>
      </c>
      <c r="MS28" s="21">
        <f t="shared" si="66"/>
        <v>202.45642860710601</v>
      </c>
      <c r="MT28" s="21">
        <f t="shared" si="66"/>
        <v>200.43186432103494</v>
      </c>
      <c r="MU28" s="21">
        <f t="shared" si="66"/>
        <v>198.42754567782458</v>
      </c>
      <c r="MV28" s="21">
        <f t="shared" si="66"/>
        <v>196.44327022104633</v>
      </c>
      <c r="MW28" s="21">
        <f t="shared" si="66"/>
        <v>194.47883751883586</v>
      </c>
      <c r="MX28" s="21">
        <f t="shared" si="66"/>
        <v>192.53404914364751</v>
      </c>
      <c r="MY28" s="21">
        <f t="shared" si="66"/>
        <v>190.60870865221102</v>
      </c>
      <c r="MZ28" s="21">
        <f t="shared" ref="MZ28:OB28" si="67">MY28*(1+$AU$35)</f>
        <v>188.7026215656889</v>
      </c>
      <c r="NA28" s="21">
        <f t="shared" si="67"/>
        <v>186.815595350032</v>
      </c>
      <c r="NB28" s="21">
        <f t="shared" si="67"/>
        <v>184.94743939653168</v>
      </c>
      <c r="NC28" s="21">
        <f t="shared" si="67"/>
        <v>183.09796500256635</v>
      </c>
      <c r="ND28" s="21">
        <f t="shared" si="67"/>
        <v>181.2669853525407</v>
      </c>
      <c r="NE28" s="21">
        <f t="shared" si="67"/>
        <v>179.45431549901528</v>
      </c>
      <c r="NF28" s="21">
        <f t="shared" si="67"/>
        <v>177.65977234402513</v>
      </c>
      <c r="NG28" s="21">
        <f t="shared" si="67"/>
        <v>175.88317462058487</v>
      </c>
      <c r="NH28" s="21">
        <f t="shared" si="67"/>
        <v>174.12434287437901</v>
      </c>
      <c r="NI28" s="21">
        <f t="shared" si="67"/>
        <v>172.38309944563522</v>
      </c>
      <c r="NJ28" s="21">
        <f t="shared" si="67"/>
        <v>170.65926845117886</v>
      </c>
      <c r="NK28" s="21">
        <f t="shared" si="67"/>
        <v>168.95267576666706</v>
      </c>
      <c r="NL28" s="21">
        <f t="shared" si="67"/>
        <v>167.26314900900039</v>
      </c>
      <c r="NM28" s="21">
        <f t="shared" si="67"/>
        <v>165.59051751891039</v>
      </c>
      <c r="NN28" s="21">
        <f t="shared" si="67"/>
        <v>163.93461234372128</v>
      </c>
      <c r="NO28" s="21">
        <f t="shared" si="67"/>
        <v>162.29526622028408</v>
      </c>
      <c r="NP28" s="21">
        <f t="shared" si="67"/>
        <v>160.67231355808124</v>
      </c>
      <c r="NQ28" s="21">
        <f t="shared" si="67"/>
        <v>159.06559042250043</v>
      </c>
      <c r="NR28" s="21">
        <f t="shared" si="67"/>
        <v>157.47493451827543</v>
      </c>
      <c r="NS28" s="21">
        <f t="shared" si="67"/>
        <v>155.90018517309267</v>
      </c>
      <c r="NT28" s="21">
        <f t="shared" si="67"/>
        <v>154.34118332136174</v>
      </c>
      <c r="NU28" s="21">
        <f t="shared" si="67"/>
        <v>152.79777148814813</v>
      </c>
      <c r="NV28" s="21">
        <f t="shared" si="67"/>
        <v>151.26979377326666</v>
      </c>
      <c r="NW28" s="21">
        <f t="shared" si="67"/>
        <v>149.75709583553399</v>
      </c>
      <c r="NX28" s="21">
        <f t="shared" si="67"/>
        <v>148.25952487717865</v>
      </c>
      <c r="NY28" s="21">
        <f t="shared" si="67"/>
        <v>146.77692962840686</v>
      </c>
      <c r="NZ28" s="21">
        <f t="shared" si="67"/>
        <v>145.30916033212279</v>
      </c>
      <c r="OA28" s="21">
        <f t="shared" si="67"/>
        <v>143.85606872880155</v>
      </c>
      <c r="OB28" s="21">
        <f t="shared" si="67"/>
        <v>142.41750804151354</v>
      </c>
    </row>
    <row r="29" spans="2:392" x14ac:dyDescent="0.3">
      <c r="B29" s="4" t="s">
        <v>2</v>
      </c>
      <c r="C29" s="16">
        <v>445.45800000000003</v>
      </c>
      <c r="D29" s="16">
        <v>446.262</v>
      </c>
      <c r="E29" s="16">
        <v>447.36200000000002</v>
      </c>
      <c r="F29" s="16">
        <v>448.142</v>
      </c>
      <c r="G29" s="16">
        <v>450.35899999999998</v>
      </c>
      <c r="H29" s="16">
        <v>451.55200000000002</v>
      </c>
      <c r="I29" s="16">
        <v>451.91899999999998</v>
      </c>
      <c r="J29" s="16">
        <v>451.11599999999999</v>
      </c>
      <c r="K29" s="16">
        <v>451.92200000000003</v>
      </c>
      <c r="L29" s="16">
        <v>452.19499999999999</v>
      </c>
      <c r="M29" s="16">
        <v>451.55200000000002</v>
      </c>
      <c r="N29" s="16">
        <v>451.36700000000002</v>
      </c>
      <c r="O29" s="16">
        <v>452.49400000000003</v>
      </c>
      <c r="P29" s="16">
        <v>453.94499999999999</v>
      </c>
      <c r="Q29" s="16">
        <v>455.08800000000002</v>
      </c>
      <c r="R29" s="16">
        <v>455.28300000000002</v>
      </c>
      <c r="S29" s="15">
        <v>455.64100000000002</v>
      </c>
      <c r="T29" s="15">
        <v>455.12900000000002</v>
      </c>
      <c r="U29" s="15">
        <v>454.92500000000001</v>
      </c>
      <c r="V29" s="15">
        <v>455.79500000000002</v>
      </c>
      <c r="W29" s="15">
        <v>452.98399999999998</v>
      </c>
      <c r="X29" s="15">
        <v>450.16899999999998</v>
      </c>
      <c r="Y29" s="15">
        <v>450.34399999999999</v>
      </c>
      <c r="Z29" s="15">
        <v>451.649</v>
      </c>
      <c r="AA29" s="15">
        <v>452.41699999999997</v>
      </c>
      <c r="AB29" s="15"/>
      <c r="AC29" s="15"/>
      <c r="AD29" s="15"/>
      <c r="AE29" s="15"/>
      <c r="AF29" s="15"/>
      <c r="AI29" s="15">
        <f>F29</f>
        <v>448.142</v>
      </c>
      <c r="AJ29" s="15">
        <f>J29</f>
        <v>451.11599999999999</v>
      </c>
      <c r="AK29" s="15">
        <f>N29</f>
        <v>451.36700000000002</v>
      </c>
      <c r="AL29" s="15">
        <f>R29</f>
        <v>455.28300000000002</v>
      </c>
      <c r="AM29" s="15">
        <f>AL29*1.01</f>
        <v>459.83583000000004</v>
      </c>
      <c r="AN29" s="15">
        <f t="shared" ref="AN29:AP29" si="68">AM29*1.01</f>
        <v>464.43418830000007</v>
      </c>
      <c r="AO29" s="15">
        <f t="shared" si="68"/>
        <v>469.07853018300005</v>
      </c>
      <c r="AP29" s="15">
        <f t="shared" si="68"/>
        <v>473.76931548483009</v>
      </c>
      <c r="AQ29" s="15">
        <f t="shared" ref="AQ29" si="69">AP29*1.01</f>
        <v>478.50700863967842</v>
      </c>
      <c r="AR29" s="15"/>
      <c r="AS29" s="15"/>
      <c r="AT29" s="15"/>
      <c r="AU29" s="15"/>
      <c r="AV29" s="15"/>
    </row>
    <row r="30" spans="2:392" x14ac:dyDescent="0.3">
      <c r="B30" s="4" t="s">
        <v>20</v>
      </c>
      <c r="C30" s="22">
        <f t="shared" ref="C30:E30" si="70">C28/C29</f>
        <v>0.40008710136533737</v>
      </c>
      <c r="D30" s="22">
        <f t="shared" si="70"/>
        <v>0.14699884821024425</v>
      </c>
      <c r="E30" s="22">
        <f t="shared" si="70"/>
        <v>0.28967592240735679</v>
      </c>
      <c r="F30" s="22">
        <f t="shared" ref="F30:AD30" si="71">F28/F29</f>
        <v>0.41396923296633731</v>
      </c>
      <c r="G30" s="22">
        <f t="shared" si="71"/>
        <v>0.64420606671566483</v>
      </c>
      <c r="H30" s="22">
        <f t="shared" si="71"/>
        <v>0.85117328679753379</v>
      </c>
      <c r="I30" s="22">
        <f t="shared" si="71"/>
        <v>0.89138761592232163</v>
      </c>
      <c r="J30" s="22">
        <f t="shared" si="71"/>
        <v>0.29689481197740786</v>
      </c>
      <c r="K30" s="22">
        <f t="shared" si="71"/>
        <v>0.76130836737313123</v>
      </c>
      <c r="L30" s="22">
        <f t="shared" si="71"/>
        <v>0.59852497263348747</v>
      </c>
      <c r="M30" s="22">
        <f t="shared" si="71"/>
        <v>1.4732389625115156</v>
      </c>
      <c r="N30" s="22">
        <f t="shared" si="71"/>
        <v>1.3004273684163885</v>
      </c>
      <c r="O30" s="22">
        <f t="shared" si="71"/>
        <v>1.5670196731890365</v>
      </c>
      <c r="P30" s="22">
        <f t="shared" si="71"/>
        <v>1.5865270021698672</v>
      </c>
      <c r="Q30" s="22">
        <f t="shared" si="71"/>
        <v>1.7358752592905093</v>
      </c>
      <c r="R30" s="22">
        <f t="shared" si="71"/>
        <v>1.1908109900874844</v>
      </c>
      <c r="S30" s="22">
        <f t="shared" si="71"/>
        <v>3.7457450053880139</v>
      </c>
      <c r="T30" s="22">
        <f t="shared" si="71"/>
        <v>2.9728121038211146</v>
      </c>
      <c r="U30" s="22">
        <f t="shared" si="71"/>
        <v>3.1852964774413359</v>
      </c>
      <c r="V30" s="22">
        <f t="shared" si="71"/>
        <v>1.3326802619598732</v>
      </c>
      <c r="W30" s="22">
        <f t="shared" si="71"/>
        <v>3.5264976246401645</v>
      </c>
      <c r="X30" s="22">
        <f t="shared" si="71"/>
        <v>3.2009112133443205</v>
      </c>
      <c r="Y30" s="22">
        <f t="shared" si="71"/>
        <v>3.104830973655694</v>
      </c>
      <c r="Z30" s="22">
        <f t="shared" ref="Z30" si="72">Z28/Z29</f>
        <v>0.12240478778874749</v>
      </c>
      <c r="AA30" s="22">
        <f t="shared" si="71"/>
        <v>2.8847722344651063</v>
      </c>
      <c r="AB30" s="22" t="e">
        <f t="shared" si="71"/>
        <v>#DIV/0!</v>
      </c>
      <c r="AC30" s="22" t="e">
        <f t="shared" si="71"/>
        <v>#DIV/0!</v>
      </c>
      <c r="AD30" s="22" t="e">
        <f t="shared" si="71"/>
        <v>#DIV/0!</v>
      </c>
      <c r="AE30" s="15"/>
      <c r="AF30" s="15"/>
      <c r="AI30" s="23">
        <f>SUM(C30:F30)</f>
        <v>1.2507311049492758</v>
      </c>
      <c r="AJ30" s="23">
        <f>SUM(G30:J30)</f>
        <v>2.683661781412928</v>
      </c>
      <c r="AK30" s="23">
        <f>SUM(K30:N30)</f>
        <v>4.1334996709345226</v>
      </c>
      <c r="AL30" s="23">
        <f>SUM(O30:R30)</f>
        <v>6.0802329247368974</v>
      </c>
      <c r="AM30" s="23">
        <f>AM28/AM29</f>
        <v>13.872647396987249</v>
      </c>
      <c r="AN30" s="23">
        <f t="shared" ref="AN30:AQ30" si="73">AN28/AN29</f>
        <v>11.500754018497096</v>
      </c>
      <c r="AO30" s="23">
        <f t="shared" si="73"/>
        <v>7.2556691334754957</v>
      </c>
      <c r="AP30" s="23">
        <f t="shared" si="73"/>
        <v>8.5445398483146668</v>
      </c>
      <c r="AQ30" s="23">
        <f t="shared" si="73"/>
        <v>9.9309813119619363</v>
      </c>
      <c r="AR30" s="23"/>
      <c r="AS30" s="23"/>
      <c r="AT30" s="23"/>
      <c r="AU30" s="23"/>
      <c r="AV30" s="23"/>
    </row>
    <row r="31" spans="2:392" x14ac:dyDescent="0.3">
      <c r="C31" s="16"/>
      <c r="D31" s="16"/>
      <c r="E31" s="16"/>
      <c r="F31" s="16"/>
      <c r="G31" s="16"/>
      <c r="H31" s="16"/>
      <c r="I31" s="16"/>
      <c r="J31" s="16"/>
      <c r="K31" s="16"/>
      <c r="L31" s="16"/>
      <c r="M31" s="16"/>
      <c r="N31" s="16"/>
      <c r="O31" s="16"/>
      <c r="P31" s="16"/>
      <c r="Q31" s="16"/>
      <c r="R31" s="16"/>
      <c r="AI31" s="15"/>
      <c r="AJ31" s="15"/>
      <c r="AK31" s="15"/>
      <c r="AM31" s="15"/>
      <c r="AN31" s="15"/>
      <c r="AO31" s="15"/>
      <c r="AP31" s="15"/>
      <c r="AQ31" s="15"/>
      <c r="AR31" s="15"/>
      <c r="AS31" s="15"/>
      <c r="AT31" s="15"/>
      <c r="AU31" s="15"/>
      <c r="AV31" s="15"/>
    </row>
    <row r="32" spans="2:392" x14ac:dyDescent="0.3">
      <c r="C32" s="16"/>
      <c r="D32" s="16"/>
      <c r="E32" s="16"/>
      <c r="F32" s="16"/>
      <c r="G32" s="16"/>
      <c r="H32" s="16"/>
      <c r="I32" s="16"/>
      <c r="J32" s="16"/>
      <c r="K32" s="16"/>
      <c r="L32" s="16"/>
      <c r="M32" s="16"/>
      <c r="N32" s="16"/>
      <c r="O32" s="16"/>
      <c r="P32" s="16"/>
      <c r="Q32" s="16"/>
      <c r="R32" s="16"/>
      <c r="AI32" s="15"/>
      <c r="AJ32" s="15"/>
      <c r="AK32" s="15"/>
      <c r="AL32" s="15"/>
      <c r="AM32" s="15"/>
      <c r="AN32" s="15"/>
      <c r="AO32" s="15"/>
      <c r="AP32" s="15"/>
      <c r="AQ32" s="15"/>
      <c r="AR32" s="15"/>
      <c r="AS32" s="15"/>
      <c r="AT32" s="15"/>
      <c r="AU32" s="15"/>
      <c r="AV32" s="15"/>
    </row>
    <row r="33" spans="2:48" s="19" customFormat="1" x14ac:dyDescent="0.3">
      <c r="B33" s="19" t="s">
        <v>36</v>
      </c>
      <c r="C33" s="20"/>
      <c r="D33" s="20"/>
      <c r="E33" s="20"/>
      <c r="F33" s="20"/>
      <c r="G33" s="24">
        <f t="shared" ref="G33:S33" si="74">G17/C17-1</f>
        <v>0.40362848858488176</v>
      </c>
      <c r="H33" s="24">
        <f t="shared" si="74"/>
        <v>0.40273577400390037</v>
      </c>
      <c r="I33" s="24">
        <f t="shared" si="74"/>
        <v>0.33988707674298846</v>
      </c>
      <c r="J33" s="24">
        <f t="shared" si="74"/>
        <v>0.27424016702401732</v>
      </c>
      <c r="K33" s="24">
        <f t="shared" si="74"/>
        <v>0.2216071092741787</v>
      </c>
      <c r="L33" s="24">
        <f t="shared" si="74"/>
        <v>0.25998868775385375</v>
      </c>
      <c r="M33" s="24">
        <f t="shared" si="74"/>
        <v>0.31143148902803297</v>
      </c>
      <c r="N33" s="24">
        <f t="shared" si="74"/>
        <v>0.30586138809665808</v>
      </c>
      <c r="O33" s="24">
        <f t="shared" si="74"/>
        <v>0.27575784252659585</v>
      </c>
      <c r="P33" s="24">
        <f t="shared" si="74"/>
        <v>0.24886068091834512</v>
      </c>
      <c r="Q33" s="24">
        <f t="shared" si="74"/>
        <v>0.22702641897231701</v>
      </c>
      <c r="R33" s="24">
        <f t="shared" si="74"/>
        <v>0.21527612404649044</v>
      </c>
      <c r="S33" s="24">
        <f t="shared" si="74"/>
        <v>0.24196701938436038</v>
      </c>
      <c r="T33" s="24">
        <f t="shared" ref="T33:T34" si="75">T17/P17-1</f>
        <v>0.1941176776747211</v>
      </c>
      <c r="U33" s="24">
        <f t="shared" ref="U33:U34" si="76">U17/Q17-1</f>
        <v>0.16281682761162575</v>
      </c>
      <c r="V33" s="24">
        <f t="shared" ref="V33:W34" si="77">V17/R17-1</f>
        <v>0.16026567768971423</v>
      </c>
      <c r="W33" s="24">
        <f t="shared" si="77"/>
        <v>9.834667963651289E-2</v>
      </c>
      <c r="X33" s="24">
        <f t="shared" ref="X33:X34" si="78">X17/T17-1</f>
        <v>8.5587453827595139E-2</v>
      </c>
      <c r="Y33" s="24">
        <f t="shared" ref="Y33:Y34" si="79">Y17/U17-1</f>
        <v>5.9079835589573637E-2</v>
      </c>
      <c r="Z33" s="24">
        <f t="shared" ref="Z33:Z34" si="80">Z17/V17-1</f>
        <v>1.851460790695092E-2</v>
      </c>
      <c r="AA33" s="24">
        <f t="shared" ref="AA33:AA34" si="81">AA17/W17-1</f>
        <v>3.7334100005757653E-2</v>
      </c>
      <c r="AB33" s="24">
        <f t="shared" ref="AB33:AB34" si="82">AB17/X17-1</f>
        <v>3.0000000000000027E-2</v>
      </c>
      <c r="AC33" s="24">
        <f t="shared" ref="AC33:AC34" si="83">AC17/Y17-1</f>
        <v>8.0000000000000071E-2</v>
      </c>
      <c r="AD33" s="24">
        <f t="shared" ref="AD33:AD34" si="84">AD17/Z17-1</f>
        <v>0.12000000000000011</v>
      </c>
      <c r="AI33" s="21"/>
      <c r="AJ33" s="25">
        <f t="shared" ref="AJ33:AQ33" si="85">AJ17/AI17-1</f>
        <v>0.35078497180252355</v>
      </c>
      <c r="AK33" s="25">
        <f t="shared" si="85"/>
        <v>0.27618157667990073</v>
      </c>
      <c r="AL33" s="25">
        <f t="shared" si="85"/>
        <v>0.24010228588401494</v>
      </c>
      <c r="AM33" s="25">
        <f t="shared" si="85"/>
        <v>0.18810119484449883</v>
      </c>
      <c r="AN33" s="25">
        <f t="shared" si="85"/>
        <v>6.45739131769969E-2</v>
      </c>
      <c r="AO33" s="25">
        <f t="shared" si="85"/>
        <v>4.3818726534785135E-2</v>
      </c>
      <c r="AP33" s="25">
        <f t="shared" si="85"/>
        <v>0.14240000000000008</v>
      </c>
      <c r="AQ33" s="25">
        <f t="shared" si="85"/>
        <v>0.14240000000000008</v>
      </c>
      <c r="AR33" s="25"/>
      <c r="AS33" s="25"/>
      <c r="AT33" s="25"/>
      <c r="AU33" s="25"/>
      <c r="AV33" s="25"/>
    </row>
    <row r="34" spans="2:48" x14ac:dyDescent="0.3">
      <c r="B34" s="4" t="s">
        <v>37</v>
      </c>
      <c r="C34" s="16"/>
      <c r="D34" s="16"/>
      <c r="E34" s="16"/>
      <c r="F34" s="16"/>
      <c r="G34" s="17">
        <f t="shared" ref="G34:I34" si="86">G18/C18-1</f>
        <v>0.38838001139392087</v>
      </c>
      <c r="H34" s="17">
        <f t="shared" si="86"/>
        <v>0.2629032732869756</v>
      </c>
      <c r="I34" s="17">
        <f t="shared" si="86"/>
        <v>0.27002177643528791</v>
      </c>
      <c r="J34" s="17">
        <f t="shared" ref="J34:S34" si="87">J18/F18-1</f>
        <v>0.234411791536417</v>
      </c>
      <c r="K34" s="17">
        <f t="shared" si="87"/>
        <v>0.24777892869577611</v>
      </c>
      <c r="L34" s="17">
        <f t="shared" si="87"/>
        <v>0.25108983358939341</v>
      </c>
      <c r="M34" s="17">
        <f t="shared" si="87"/>
        <v>0.22392822488629571</v>
      </c>
      <c r="N34" s="17">
        <f t="shared" si="87"/>
        <v>0.26802626765200843</v>
      </c>
      <c r="O34" s="17">
        <f t="shared" si="87"/>
        <v>0.25398294580880609</v>
      </c>
      <c r="P34" s="17">
        <f t="shared" si="87"/>
        <v>0.21228303828414208</v>
      </c>
      <c r="Q34" s="17">
        <f t="shared" si="87"/>
        <v>0.24849971868212184</v>
      </c>
      <c r="R34" s="17">
        <f t="shared" si="87"/>
        <v>0.2017115870263988</v>
      </c>
      <c r="S34" s="17">
        <f t="shared" si="87"/>
        <v>7.4675646671765294E-2</v>
      </c>
      <c r="T34" s="17">
        <f t="shared" si="75"/>
        <v>0.1027253289026806</v>
      </c>
      <c r="U34" s="17">
        <f t="shared" si="76"/>
        <v>8.7605949814246076E-2</v>
      </c>
      <c r="V34" s="17">
        <f t="shared" si="77"/>
        <v>0.2579528757598748</v>
      </c>
      <c r="W34" s="17">
        <f t="shared" si="77"/>
        <v>0.1075850630901658</v>
      </c>
      <c r="X34" s="17">
        <f t="shared" si="78"/>
        <v>0.16743296678354058</v>
      </c>
      <c r="Y34" s="17">
        <f t="shared" si="79"/>
        <v>0.13837244380185476</v>
      </c>
      <c r="Z34" s="17">
        <f t="shared" si="80"/>
        <v>3.1411898865843169E-2</v>
      </c>
      <c r="AA34" s="17">
        <f t="shared" si="81"/>
        <v>0.12110985470411628</v>
      </c>
      <c r="AB34" s="17">
        <f t="shared" si="82"/>
        <v>-1</v>
      </c>
      <c r="AC34" s="17">
        <f t="shared" si="83"/>
        <v>-1</v>
      </c>
      <c r="AD34" s="17">
        <f t="shared" si="84"/>
        <v>-1</v>
      </c>
      <c r="AI34" s="15"/>
      <c r="AJ34" s="18">
        <f t="shared" ref="AJ34:AQ34" si="88">AJ18/AI18-1</f>
        <v>0.28337740641198272</v>
      </c>
      <c r="AK34" s="18">
        <f t="shared" si="88"/>
        <v>0.24807279390356962</v>
      </c>
      <c r="AL34" s="18">
        <f t="shared" si="88"/>
        <v>0.22797889393051385</v>
      </c>
      <c r="AM34" s="18">
        <f t="shared" si="88"/>
        <v>0.14999999999999969</v>
      </c>
      <c r="AN34" s="18">
        <f t="shared" si="88"/>
        <v>0.14999999999999991</v>
      </c>
      <c r="AO34" s="18">
        <f t="shared" si="88"/>
        <v>0.14999999999999991</v>
      </c>
      <c r="AP34" s="18">
        <f t="shared" si="88"/>
        <v>0.14999999999999991</v>
      </c>
      <c r="AQ34" s="18">
        <f t="shared" si="88"/>
        <v>0.14999999999999991</v>
      </c>
      <c r="AR34" s="18"/>
      <c r="AS34" s="18"/>
      <c r="AT34" s="18"/>
      <c r="AU34" s="18"/>
      <c r="AV34" s="18"/>
    </row>
    <row r="35" spans="2:48" x14ac:dyDescent="0.3">
      <c r="B35" s="4" t="s">
        <v>71</v>
      </c>
      <c r="C35" s="16"/>
      <c r="D35" s="16"/>
      <c r="E35" s="16"/>
      <c r="F35" s="16"/>
      <c r="G35" s="17">
        <f>G20/C20-1</f>
        <v>0.97875548346665719</v>
      </c>
      <c r="H35" s="17">
        <f t="shared" ref="H35:S35" si="89">H20/D20-1</f>
        <v>1.1580654921388289</v>
      </c>
      <c r="I35" s="17">
        <f t="shared" si="89"/>
        <v>0.63310825946430271</v>
      </c>
      <c r="J35" s="17">
        <f t="shared" si="89"/>
        <v>0.56551496483590458</v>
      </c>
      <c r="K35" s="17">
        <f t="shared" si="89"/>
        <v>0.14866695108024364</v>
      </c>
      <c r="L35" s="17">
        <f t="shared" si="89"/>
        <v>1.8822412572824465E-2</v>
      </c>
      <c r="M35" s="17">
        <f t="shared" si="89"/>
        <v>8.5174298983011099E-2</v>
      </c>
      <c r="N35" s="17">
        <f t="shared" si="89"/>
        <v>0.20343805409698024</v>
      </c>
      <c r="O35" s="17">
        <f t="shared" si="89"/>
        <v>-0.18286088702483705</v>
      </c>
      <c r="P35" s="17">
        <f t="shared" si="89"/>
        <v>-0.27983088783884602</v>
      </c>
      <c r="Q35" s="17">
        <f t="shared" si="89"/>
        <v>-4.7309754296249396E-2</v>
      </c>
      <c r="R35" s="17">
        <f t="shared" si="89"/>
        <v>-0.13240084329138491</v>
      </c>
      <c r="S35" s="17">
        <f t="shared" si="89"/>
        <v>1.7232002858106776E-2</v>
      </c>
      <c r="T35" s="17">
        <f t="shared" ref="T35:T37" si="90">T20/P20-1</f>
        <v>0.39045744411446459</v>
      </c>
      <c r="U35" s="17">
        <f t="shared" ref="U35:U37" si="91">U20/Q20-1</f>
        <v>0.20536697517233793</v>
      </c>
      <c r="V35" s="17">
        <f t="shared" ref="V35:W37" si="92">V20/R20-1</f>
        <v>3.9534990459829444E-2</v>
      </c>
      <c r="W35" s="17">
        <f t="shared" si="92"/>
        <v>8.4809721528471549E-2</v>
      </c>
      <c r="X35" s="17">
        <f t="shared" ref="X35:X37" si="93">X20/T20-1</f>
        <v>-4.8036915557483351E-2</v>
      </c>
      <c r="Y35" s="17">
        <f t="shared" ref="Y35:Y37" si="94">Y20/U20-1</f>
        <v>-0.10691754671765619</v>
      </c>
      <c r="Z35" s="17">
        <f t="shared" ref="Z35:Z37" si="95">Z20/V20-1</f>
        <v>4.9068199966444404E-2</v>
      </c>
      <c r="AA35" s="17">
        <f t="shared" ref="AA35:AA37" si="96">AA20/W20-1</f>
        <v>-1.1079575091100802E-3</v>
      </c>
      <c r="AB35" s="17">
        <f t="shared" ref="AB35:AB37" si="97">AB20/X20-1</f>
        <v>-1</v>
      </c>
      <c r="AC35" s="17">
        <f t="shared" ref="AC35:AC37" si="98">AC20/Y20-1</f>
        <v>-1</v>
      </c>
      <c r="AD35" s="17">
        <f t="shared" ref="AD35:AD37" si="99">AD20/Z20-1</f>
        <v>-1</v>
      </c>
      <c r="AI35" s="18"/>
      <c r="AJ35" s="18">
        <f>AJ20/AI20-1</f>
        <v>0.78880500675670584</v>
      </c>
      <c r="AK35" s="18">
        <f t="shared" ref="AK35:AQ35" si="100">AK20/AJ20-1</f>
        <v>0.11943308817291975</v>
      </c>
      <c r="AL35" s="18">
        <f>AL20/AK20-1</f>
        <v>-0.15988918974145527</v>
      </c>
      <c r="AM35" s="18">
        <f t="shared" si="100"/>
        <v>0.19999999999999996</v>
      </c>
      <c r="AN35" s="18">
        <f t="shared" si="100"/>
        <v>-9.9999999999998979E-3</v>
      </c>
      <c r="AO35" s="18">
        <f t="shared" si="100"/>
        <v>-1.0000000000000009E-2</v>
      </c>
      <c r="AP35" s="18">
        <f t="shared" si="100"/>
        <v>-1.0000000000000009E-2</v>
      </c>
      <c r="AQ35" s="18">
        <f t="shared" si="100"/>
        <v>-1.000000000000012E-2</v>
      </c>
      <c r="AR35" s="18"/>
      <c r="AS35" s="18"/>
      <c r="AT35" s="4" t="s">
        <v>43</v>
      </c>
      <c r="AU35" s="18">
        <v>-0.01</v>
      </c>
      <c r="AV35" s="18"/>
    </row>
    <row r="36" spans="2:48" x14ac:dyDescent="0.3">
      <c r="B36" s="4" t="s">
        <v>72</v>
      </c>
      <c r="G36" s="17">
        <f>G21/C21-1</f>
        <v>9.8021065077710468E-2</v>
      </c>
      <c r="H36" s="17">
        <f t="shared" ref="H36:S36" si="101">H21/D21-1</f>
        <v>0.11985787189750008</v>
      </c>
      <c r="I36" s="17">
        <f>I21/E21-1</f>
        <v>0.20915544829099342</v>
      </c>
      <c r="J36" s="17">
        <f t="shared" si="101"/>
        <v>0.34255782334946505</v>
      </c>
      <c r="K36" s="17">
        <f t="shared" si="101"/>
        <v>0.32040664517728734</v>
      </c>
      <c r="L36" s="17">
        <f t="shared" si="101"/>
        <v>0.28130861431986487</v>
      </c>
      <c r="M36" s="17">
        <f t="shared" si="101"/>
        <v>0.23056185600414758</v>
      </c>
      <c r="N36" s="17">
        <f t="shared" si="101"/>
        <v>0.23384440111034421</v>
      </c>
      <c r="O36" s="17">
        <f t="shared" si="101"/>
        <v>0.21743784271013289</v>
      </c>
      <c r="P36" s="17">
        <f t="shared" si="101"/>
        <v>0.13519712550850271</v>
      </c>
      <c r="Q36" s="17">
        <f t="shared" si="101"/>
        <v>0.19492016346477925</v>
      </c>
      <c r="R36" s="17">
        <f t="shared" si="101"/>
        <v>0.18945907918392879</v>
      </c>
      <c r="S36" s="17">
        <f t="shared" si="101"/>
        <v>0.15731010517455268</v>
      </c>
      <c r="T36" s="17">
        <f t="shared" si="90"/>
        <v>0.23509292142192195</v>
      </c>
      <c r="U36" s="17">
        <f t="shared" si="91"/>
        <v>0.24258377001423503</v>
      </c>
      <c r="V36" s="17">
        <f t="shared" si="92"/>
        <v>0.32968192945274133</v>
      </c>
      <c r="W36" s="17">
        <f t="shared" si="92"/>
        <v>0.25194447141793619</v>
      </c>
      <c r="X36" s="17">
        <f t="shared" si="93"/>
        <v>0.33411126682188108</v>
      </c>
      <c r="Y36" s="17">
        <f t="shared" si="94"/>
        <v>0.17530462663618795</v>
      </c>
      <c r="Z36" s="17">
        <f t="shared" si="95"/>
        <v>4.0860580412992231E-2</v>
      </c>
      <c r="AA36" s="17">
        <f t="shared" si="96"/>
        <v>4.5237479658722712E-2</v>
      </c>
      <c r="AB36" s="17">
        <f t="shared" si="97"/>
        <v>-1</v>
      </c>
      <c r="AC36" s="17">
        <f t="shared" si="98"/>
        <v>-1</v>
      </c>
      <c r="AD36" s="17">
        <f t="shared" si="99"/>
        <v>-1</v>
      </c>
      <c r="AJ36" s="18">
        <f>AJ21/AI21-1</f>
        <v>0.19020338821246496</v>
      </c>
      <c r="AK36" s="18">
        <f>AK21/AJ21-1</f>
        <v>0.26463520634073623</v>
      </c>
      <c r="AL36" s="18">
        <f t="shared" ref="AL36:AQ36" si="102">AL21/AK21-1</f>
        <v>0.18409292566606839</v>
      </c>
      <c r="AM36" s="18">
        <f t="shared" si="102"/>
        <v>0.14999999999999991</v>
      </c>
      <c r="AN36" s="18">
        <f t="shared" si="102"/>
        <v>0.12999999999999989</v>
      </c>
      <c r="AO36" s="18">
        <f t="shared" si="102"/>
        <v>0.12999999999999989</v>
      </c>
      <c r="AP36" s="18">
        <f t="shared" si="102"/>
        <v>0.12999999999999989</v>
      </c>
      <c r="AQ36" s="18">
        <f t="shared" si="102"/>
        <v>0.12999999999999989</v>
      </c>
      <c r="AR36" s="18"/>
      <c r="AS36" s="18"/>
      <c r="AT36" s="4" t="s">
        <v>44</v>
      </c>
      <c r="AU36" s="26">
        <f>WACC!C18</f>
        <v>6.3979615181970456E-2</v>
      </c>
      <c r="AV36" s="18"/>
    </row>
    <row r="37" spans="2:48" x14ac:dyDescent="0.3">
      <c r="B37" s="4" t="s">
        <v>73</v>
      </c>
      <c r="G37" s="17">
        <f>G22/C22-1</f>
        <v>-0.30716296688987144</v>
      </c>
      <c r="H37" s="17">
        <f t="shared" ref="H37:S37" si="103">H22/D22-1</f>
        <v>-0.29175528061212574</v>
      </c>
      <c r="I37" s="17">
        <f>I22/E22-1</f>
        <v>-0.21759787682228604</v>
      </c>
      <c r="J37" s="17">
        <f t="shared" si="103"/>
        <v>0.56083550449497155</v>
      </c>
      <c r="K37" s="17">
        <f t="shared" si="103"/>
        <v>0.50025257777909848</v>
      </c>
      <c r="L37" s="17">
        <f t="shared" si="103"/>
        <v>0.48264961326258549</v>
      </c>
      <c r="M37" s="17">
        <f t="shared" si="103"/>
        <v>0.38277154446473904</v>
      </c>
      <c r="N37" s="17">
        <f t="shared" si="103"/>
        <v>0.45038454964963259</v>
      </c>
      <c r="O37" s="17">
        <f t="shared" si="103"/>
        <v>0.24825205989542054</v>
      </c>
      <c r="P37" s="17">
        <f t="shared" si="103"/>
        <v>0.23404122729316246</v>
      </c>
      <c r="Q37" s="17">
        <f t="shared" si="103"/>
        <v>0.16489831627883045</v>
      </c>
      <c r="R37" s="17">
        <f t="shared" si="103"/>
        <v>8.2302247570565479E-2</v>
      </c>
      <c r="S37" s="17">
        <f t="shared" si="103"/>
        <v>0.17894219059293048</v>
      </c>
      <c r="T37" s="17">
        <f t="shared" si="90"/>
        <v>0.20779768861186865</v>
      </c>
      <c r="U37" s="17">
        <f t="shared" si="91"/>
        <v>0.18468912909021284</v>
      </c>
      <c r="V37" s="17">
        <f t="shared" si="92"/>
        <v>0.44367947912999628</v>
      </c>
      <c r="W37" s="17">
        <f t="shared" si="92"/>
        <v>0.33894130472819262</v>
      </c>
      <c r="X37" s="17">
        <f t="shared" si="93"/>
        <v>0.22234765339186779</v>
      </c>
      <c r="Y37" s="17">
        <f t="shared" si="94"/>
        <v>0.15980297709686431</v>
      </c>
      <c r="Z37" s="17">
        <f t="shared" si="95"/>
        <v>-1.3416626863420489E-2</v>
      </c>
      <c r="AA37" s="17">
        <f t="shared" si="96"/>
        <v>7.5290002211454432E-3</v>
      </c>
      <c r="AB37" s="17">
        <f t="shared" si="97"/>
        <v>-1</v>
      </c>
      <c r="AC37" s="17">
        <f t="shared" si="98"/>
        <v>-1</v>
      </c>
      <c r="AD37" s="17">
        <f t="shared" si="99"/>
        <v>-1</v>
      </c>
      <c r="AJ37" s="18">
        <f>AJ22/AI22-1</f>
        <v>-0.14387702572196592</v>
      </c>
      <c r="AK37" s="18">
        <f>AK22/AJ22-1</f>
        <v>0.45070237063973329</v>
      </c>
      <c r="AL37" s="18">
        <f t="shared" ref="AL37:AQ37" si="104">AL22/AK22-1</f>
        <v>0.17729931789026065</v>
      </c>
      <c r="AM37" s="18">
        <f t="shared" si="104"/>
        <v>0.14999999999999991</v>
      </c>
      <c r="AN37" s="18">
        <f t="shared" si="104"/>
        <v>0.14999999999999991</v>
      </c>
      <c r="AO37" s="18">
        <f t="shared" si="104"/>
        <v>0.14999999999999991</v>
      </c>
      <c r="AP37" s="18">
        <f t="shared" si="104"/>
        <v>0.14999999999999991</v>
      </c>
      <c r="AQ37" s="18">
        <f t="shared" si="104"/>
        <v>0.14999999999999991</v>
      </c>
      <c r="AR37" s="18"/>
      <c r="AS37" s="18"/>
      <c r="AT37" s="4" t="s">
        <v>45</v>
      </c>
      <c r="AU37" s="15">
        <f>NPV(AU36,AK28:OB28)</f>
        <v>66687.829945585327</v>
      </c>
      <c r="AV37" s="18"/>
    </row>
    <row r="38" spans="2:48" x14ac:dyDescent="0.3">
      <c r="B38" s="4" t="s">
        <v>74</v>
      </c>
      <c r="C38" s="14"/>
      <c r="D38" s="14"/>
      <c r="E38" s="14"/>
      <c r="F38" s="14"/>
      <c r="G38" s="17">
        <f t="shared" ref="G38:S38" si="105">G28/C28-1</f>
        <v>0.62787983526163615</v>
      </c>
      <c r="H38" s="17">
        <f t="shared" si="105"/>
        <v>4.8589786585365831</v>
      </c>
      <c r="I38" s="17">
        <f t="shared" si="105"/>
        <v>2.1085346091519392</v>
      </c>
      <c r="J38" s="17">
        <f t="shared" si="105"/>
        <v>-0.27804999002786768</v>
      </c>
      <c r="K38" s="17">
        <f t="shared" si="105"/>
        <v>0.18587914133267214</v>
      </c>
      <c r="L38" s="17">
        <f t="shared" si="105"/>
        <v>-0.29582228651564102</v>
      </c>
      <c r="M38" s="17">
        <f t="shared" si="105"/>
        <v>0.65140566236796826</v>
      </c>
      <c r="N38" s="17">
        <f t="shared" si="105"/>
        <v>3.3825316947152979</v>
      </c>
      <c r="O38" s="17">
        <f t="shared" si="105"/>
        <v>1.0609297431783551</v>
      </c>
      <c r="P38" s="17">
        <f t="shared" si="105"/>
        <v>1.6609865139479059</v>
      </c>
      <c r="Q38" s="17">
        <f t="shared" si="105"/>
        <v>0.18749812099019225</v>
      </c>
      <c r="R38" s="17">
        <f t="shared" si="105"/>
        <v>-7.6348024600916276E-2</v>
      </c>
      <c r="S38" s="17">
        <f t="shared" si="105"/>
        <v>1.4069869278925693</v>
      </c>
      <c r="T38" s="17">
        <f t="shared" ref="T38:T40" si="106">T28/P28-1</f>
        <v>0.87867330560014145</v>
      </c>
      <c r="U38" s="17">
        <f t="shared" ref="U38:U40" si="107">U28/Q28-1</f>
        <v>0.83432281487032633</v>
      </c>
      <c r="V38" s="17">
        <f t="shared" ref="V38:W40" si="108">V28/R28-1</f>
        <v>0.12039523679531405</v>
      </c>
      <c r="W38" s="17">
        <f t="shared" si="108"/>
        <v>-6.4022405615466016E-2</v>
      </c>
      <c r="X38" s="17">
        <f t="shared" ref="X38:X40" si="109">X28/T28-1</f>
        <v>6.4994201829545739E-2</v>
      </c>
      <c r="Y38" s="17">
        <f t="shared" ref="Y38:Y40" si="110">Y28/U28-1</f>
        <v>-3.507695620159379E-2</v>
      </c>
      <c r="Z38" s="17">
        <f t="shared" ref="Z38:Z40" si="111">Z28/V28-1</f>
        <v>-0.90898689394151422</v>
      </c>
      <c r="AA38" s="17">
        <f t="shared" ref="AA38:AA40" si="112">AA28/W28-1</f>
        <v>-0.18299636858061652</v>
      </c>
      <c r="AB38" s="17">
        <f t="shared" ref="AB38:AB40" si="113">AB28/X28-1</f>
        <v>4.6971022817569814</v>
      </c>
      <c r="AC38" s="17">
        <f t="shared" ref="AC38:AC40" si="114">AC28/Y28-1</f>
        <v>5.121712922369662</v>
      </c>
      <c r="AD38" s="17">
        <f t="shared" ref="AD38:AD40" si="115">AD28/Z28-1</f>
        <v>158.07494682005643</v>
      </c>
      <c r="AI38" s="15"/>
      <c r="AJ38" s="18">
        <f t="shared" ref="AJ38:AQ38" si="116">AJ28/AI28-1</f>
        <v>0.55555309743253423</v>
      </c>
      <c r="AK38" s="18">
        <f t="shared" si="116"/>
        <v>0.49888001592866305</v>
      </c>
      <c r="AL38" s="18">
        <f t="shared" si="116"/>
        <v>0.87507497555034464</v>
      </c>
      <c r="AM38" s="18">
        <f t="shared" si="116"/>
        <v>0.15286883989878941</v>
      </c>
      <c r="AN38" s="18">
        <f t="shared" si="116"/>
        <v>-0.16268602334658289</v>
      </c>
      <c r="AO38" s="18">
        <f t="shared" si="116"/>
        <v>-0.36280475062556861</v>
      </c>
      <c r="AP38" s="18">
        <f t="shared" si="116"/>
        <v>0.18941273203619957</v>
      </c>
      <c r="AQ38" s="18">
        <f t="shared" si="116"/>
        <v>0.17388312339135958</v>
      </c>
      <c r="AR38" s="18"/>
      <c r="AS38" s="18"/>
      <c r="AT38" s="4" t="s">
        <v>46</v>
      </c>
      <c r="AU38" s="15">
        <f>Main!C7-Main!C8</f>
        <v>-6609.6240000000007</v>
      </c>
      <c r="AV38" s="18"/>
    </row>
    <row r="39" spans="2:48" x14ac:dyDescent="0.3">
      <c r="B39" s="4" t="s">
        <v>41</v>
      </c>
      <c r="C39" s="14"/>
      <c r="D39" s="14"/>
      <c r="E39" s="14"/>
      <c r="F39" s="14"/>
      <c r="G39" s="17">
        <f t="shared" ref="G39:I39" si="117">G29/C29-1</f>
        <v>1.1002159575088877E-2</v>
      </c>
      <c r="H39" s="17">
        <f t="shared" si="117"/>
        <v>1.1854022973051714E-2</v>
      </c>
      <c r="I39" s="17">
        <f t="shared" si="117"/>
        <v>1.0186381498652031E-2</v>
      </c>
      <c r="J39" s="17">
        <f t="shared" ref="J39:S40" si="118">J29/F29-1</f>
        <v>6.6362893904163833E-3</v>
      </c>
      <c r="K39" s="17">
        <f t="shared" si="118"/>
        <v>3.4705645940240615E-3</v>
      </c>
      <c r="L39" s="17">
        <f t="shared" si="118"/>
        <v>1.4239777478561866E-3</v>
      </c>
      <c r="M39" s="17">
        <f t="shared" si="118"/>
        <v>-8.1209243249336094E-4</v>
      </c>
      <c r="N39" s="17">
        <f t="shared" si="118"/>
        <v>5.5639791095862812E-4</v>
      </c>
      <c r="O39" s="17">
        <f t="shared" si="118"/>
        <v>1.2657051438080824E-3</v>
      </c>
      <c r="P39" s="17">
        <f t="shared" si="118"/>
        <v>3.8700118311789655E-3</v>
      </c>
      <c r="Q39" s="17">
        <f t="shared" si="118"/>
        <v>7.8307703210260815E-3</v>
      </c>
      <c r="R39" s="17">
        <f t="shared" si="118"/>
        <v>8.6758668666517824E-3</v>
      </c>
      <c r="S39" s="17">
        <f t="shared" si="118"/>
        <v>6.9547883507847796E-3</v>
      </c>
      <c r="T39" s="17">
        <f t="shared" si="106"/>
        <v>2.6082454922953247E-3</v>
      </c>
      <c r="U39" s="17">
        <f t="shared" si="107"/>
        <v>-3.5817248532155066E-4</v>
      </c>
      <c r="V39" s="17">
        <f t="shared" si="108"/>
        <v>1.1245752641764195E-3</v>
      </c>
      <c r="W39" s="17">
        <f t="shared" si="108"/>
        <v>-5.8313452915783603E-3</v>
      </c>
      <c r="X39" s="17">
        <f t="shared" si="109"/>
        <v>-1.0898009135871467E-2</v>
      </c>
      <c r="Y39" s="17">
        <f t="shared" si="110"/>
        <v>-1.0069791723910537E-2</v>
      </c>
      <c r="Z39" s="17">
        <f t="shared" si="111"/>
        <v>-9.096194561151405E-3</v>
      </c>
      <c r="AA39" s="17">
        <f t="shared" si="112"/>
        <v>-1.2516998392879675E-3</v>
      </c>
      <c r="AB39" s="17">
        <f t="shared" si="113"/>
        <v>-1</v>
      </c>
      <c r="AC39" s="17">
        <f t="shared" si="114"/>
        <v>-1</v>
      </c>
      <c r="AD39" s="17">
        <f t="shared" si="115"/>
        <v>-1</v>
      </c>
      <c r="AI39" s="15"/>
      <c r="AJ39" s="18">
        <f t="shared" ref="AJ39:AQ39" si="119">AJ29/AI29-1</f>
        <v>6.6362893904163833E-3</v>
      </c>
      <c r="AK39" s="18">
        <f t="shared" si="119"/>
        <v>5.5639791095862812E-4</v>
      </c>
      <c r="AL39" s="18">
        <f t="shared" si="119"/>
        <v>8.6758668666517824E-3</v>
      </c>
      <c r="AM39" s="18">
        <f t="shared" si="119"/>
        <v>1.0000000000000009E-2</v>
      </c>
      <c r="AN39" s="18">
        <f t="shared" si="119"/>
        <v>1.0000000000000009E-2</v>
      </c>
      <c r="AO39" s="18">
        <f t="shared" si="119"/>
        <v>1.0000000000000009E-2</v>
      </c>
      <c r="AP39" s="18">
        <f t="shared" si="119"/>
        <v>1.0000000000000009E-2</v>
      </c>
      <c r="AQ39" s="18">
        <f t="shared" si="119"/>
        <v>1.0000000000000009E-2</v>
      </c>
      <c r="AR39" s="18"/>
      <c r="AS39" s="18"/>
      <c r="AT39" s="4" t="s">
        <v>47</v>
      </c>
      <c r="AU39" s="15">
        <f>+AU37+AU38</f>
        <v>60078.205945585323</v>
      </c>
      <c r="AV39" s="18"/>
    </row>
    <row r="40" spans="2:48" x14ac:dyDescent="0.3">
      <c r="B40" s="4" t="s">
        <v>42</v>
      </c>
      <c r="C40" s="14"/>
      <c r="D40" s="14"/>
      <c r="E40" s="14"/>
      <c r="F40" s="14"/>
      <c r="G40" s="17">
        <f t="shared" ref="G40:I40" si="120">G30/C30-1</f>
        <v>0.61016454796279862</v>
      </c>
      <c r="H40" s="17">
        <f t="shared" si="120"/>
        <v>4.7903398370859893</v>
      </c>
      <c r="I40" s="17">
        <f t="shared" si="120"/>
        <v>2.077189186158205</v>
      </c>
      <c r="J40" s="17">
        <f t="shared" si="118"/>
        <v>-0.28280947390708522</v>
      </c>
      <c r="K40" s="17">
        <f t="shared" si="118"/>
        <v>0.18177770547006067</v>
      </c>
      <c r="L40" s="17">
        <f t="shared" si="118"/>
        <v>-0.29682359407050218</v>
      </c>
      <c r="M40" s="17">
        <f t="shared" si="118"/>
        <v>0.6527478463868388</v>
      </c>
      <c r="N40" s="17">
        <f t="shared" si="118"/>
        <v>3.3800946192193626</v>
      </c>
      <c r="O40" s="17">
        <f t="shared" si="118"/>
        <v>1.0583245112568314</v>
      </c>
      <c r="P40" s="17">
        <f t="shared" si="118"/>
        <v>1.6507281645897041</v>
      </c>
      <c r="Q40" s="17">
        <f t="shared" si="118"/>
        <v>0.17827134868281136</v>
      </c>
      <c r="R40" s="17">
        <f t="shared" si="118"/>
        <v>-8.4292580263356731E-2</v>
      </c>
      <c r="S40" s="17">
        <f t="shared" si="118"/>
        <v>1.3903624628815674</v>
      </c>
      <c r="T40" s="17">
        <f t="shared" si="106"/>
        <v>0.87378601168164671</v>
      </c>
      <c r="U40" s="17">
        <f t="shared" si="107"/>
        <v>0.83498005423686794</v>
      </c>
      <c r="V40" s="17">
        <f t="shared" si="108"/>
        <v>0.11913668336397043</v>
      </c>
      <c r="W40" s="17">
        <f t="shared" si="108"/>
        <v>-5.8532382859077692E-2</v>
      </c>
      <c r="X40" s="17">
        <f t="shared" si="109"/>
        <v>7.6728397745023269E-2</v>
      </c>
      <c r="Y40" s="17">
        <f t="shared" si="110"/>
        <v>-2.52615429538533E-2</v>
      </c>
      <c r="Z40" s="17">
        <f t="shared" si="111"/>
        <v>-0.90815142140040706</v>
      </c>
      <c r="AA40" s="17">
        <f t="shared" si="112"/>
        <v>-0.18197244361976239</v>
      </c>
      <c r="AB40" s="17" t="e">
        <f t="shared" si="113"/>
        <v>#DIV/0!</v>
      </c>
      <c r="AC40" s="17" t="e">
        <f t="shared" si="114"/>
        <v>#DIV/0!</v>
      </c>
      <c r="AD40" s="17" t="e">
        <f t="shared" si="115"/>
        <v>#DIV/0!</v>
      </c>
      <c r="AI40" s="15"/>
      <c r="AJ40" s="18">
        <f t="shared" ref="AJ40:AQ40" si="121">AJ30/AI30-1</f>
        <v>1.1456744545597317</v>
      </c>
      <c r="AK40" s="18">
        <f t="shared" si="121"/>
        <v>0.54024612921165716</v>
      </c>
      <c r="AL40" s="18">
        <f t="shared" si="121"/>
        <v>0.47096489870101954</v>
      </c>
      <c r="AM40" s="18">
        <f t="shared" si="121"/>
        <v>1.2815980191396275</v>
      </c>
      <c r="AN40" s="18">
        <f t="shared" si="121"/>
        <v>-0.17097626073919114</v>
      </c>
      <c r="AO40" s="18">
        <f t="shared" si="121"/>
        <v>-0.36911361448076108</v>
      </c>
      <c r="AP40" s="18">
        <f t="shared" si="121"/>
        <v>0.17763636835267271</v>
      </c>
      <c r="AQ40" s="18">
        <f t="shared" si="121"/>
        <v>0.1622605182092669</v>
      </c>
      <c r="AR40" s="18"/>
      <c r="AS40" s="18"/>
      <c r="AT40" s="4" t="s">
        <v>48</v>
      </c>
      <c r="AU40" s="23">
        <f>AU39/Main!C5</f>
        <v>132.79387367314962</v>
      </c>
      <c r="AV40" s="18"/>
    </row>
    <row r="41" spans="2:48" x14ac:dyDescent="0.3">
      <c r="B41" s="4" t="s">
        <v>38</v>
      </c>
      <c r="C41" s="17">
        <f>C19/C17</f>
        <v>0.37153834338086245</v>
      </c>
      <c r="D41" s="17">
        <f t="shared" ref="D41:I41" si="122">D19/D17</f>
        <v>0.31705884549216934</v>
      </c>
      <c r="E41" s="17">
        <f t="shared" si="122"/>
        <v>0.33230346894107893</v>
      </c>
      <c r="F41" s="17">
        <f t="shared" si="122"/>
        <v>0.32608061160981272</v>
      </c>
      <c r="G41" s="17">
        <f t="shared" si="122"/>
        <v>0.37836570782543283</v>
      </c>
      <c r="H41" s="17">
        <f t="shared" si="122"/>
        <v>0.38513821670885295</v>
      </c>
      <c r="I41" s="17">
        <f t="shared" si="122"/>
        <v>0.36711895411631912</v>
      </c>
      <c r="J41" s="17">
        <f t="shared" ref="J41:R41" si="123">J19/J17</f>
        <v>0.34714501935946462</v>
      </c>
      <c r="K41" s="17">
        <f t="shared" si="123"/>
        <v>0.3650477594297889</v>
      </c>
      <c r="L41" s="17">
        <f t="shared" si="123"/>
        <v>0.38948076787140501</v>
      </c>
      <c r="M41" s="17">
        <f t="shared" si="123"/>
        <v>0.40934697577935159</v>
      </c>
      <c r="N41" s="17">
        <f t="shared" si="123"/>
        <v>0.36606038591412354</v>
      </c>
      <c r="O41" s="17">
        <f t="shared" si="123"/>
        <v>0.37588525460188488</v>
      </c>
      <c r="P41" s="17">
        <f t="shared" si="123"/>
        <v>0.40736214938602405</v>
      </c>
      <c r="Q41" s="17">
        <f t="shared" si="123"/>
        <v>0.39901038545213158</v>
      </c>
      <c r="R41" s="17">
        <f t="shared" si="123"/>
        <v>0.37313622423071796</v>
      </c>
      <c r="S41" s="17">
        <f t="shared" ref="S41" si="124">S19/S17</f>
        <v>0.45995271441219265</v>
      </c>
      <c r="T41" s="17">
        <f t="shared" ref="T41:V41" si="125">T19/T17</f>
        <v>0.45271996139354276</v>
      </c>
      <c r="U41" s="17">
        <f t="shared" si="125"/>
        <v>0.43788233448480496</v>
      </c>
      <c r="V41" s="17">
        <f t="shared" si="125"/>
        <v>0.32035816916619608</v>
      </c>
      <c r="W41" s="17">
        <f t="shared" ref="W41" si="126">W19/W17</f>
        <v>0.45541028350229484</v>
      </c>
      <c r="X41" s="17">
        <f t="shared" ref="X41:AD41" si="127">X19/X17</f>
        <v>0.41145896917005603</v>
      </c>
      <c r="Y41" s="17">
        <f t="shared" si="127"/>
        <v>0.39579695591078468</v>
      </c>
      <c r="Z41" s="17">
        <f t="shared" si="127"/>
        <v>0.3117519711087024</v>
      </c>
      <c r="AA41" s="17">
        <f t="shared" si="127"/>
        <v>0.41142887529417066</v>
      </c>
      <c r="AB41" s="17">
        <f t="shared" si="127"/>
        <v>1</v>
      </c>
      <c r="AC41" s="17">
        <f t="shared" si="127"/>
        <v>1</v>
      </c>
      <c r="AD41" s="17">
        <f t="shared" si="127"/>
        <v>1</v>
      </c>
      <c r="AI41" s="18">
        <f t="shared" ref="AI41:AQ41" si="128">AI19/AI17</f>
        <v>0.33577040674820291</v>
      </c>
      <c r="AJ41" s="18">
        <f t="shared" si="128"/>
        <v>0.36891713304151152</v>
      </c>
      <c r="AK41" s="18">
        <f t="shared" si="128"/>
        <v>0.38281717010939481</v>
      </c>
      <c r="AL41" s="18">
        <f t="shared" si="128"/>
        <v>0.3888508251061687</v>
      </c>
      <c r="AM41" s="18">
        <f t="shared" si="128"/>
        <v>0.40844975648737342</v>
      </c>
      <c r="AN41" s="18">
        <f t="shared" si="128"/>
        <v>0.36098116662528418</v>
      </c>
      <c r="AO41" s="18">
        <f t="shared" si="128"/>
        <v>0.2959777021624132</v>
      </c>
      <c r="AP41" s="18">
        <f t="shared" si="128"/>
        <v>0.29129408043310162</v>
      </c>
      <c r="AQ41" s="18">
        <f t="shared" si="128"/>
        <v>0.28657930015587096</v>
      </c>
      <c r="AR41" s="18"/>
      <c r="AS41" s="18"/>
      <c r="AT41" s="4" t="s">
        <v>49</v>
      </c>
      <c r="AU41" s="4">
        <f>Main!C4</f>
        <v>435.73</v>
      </c>
      <c r="AV41" s="18"/>
    </row>
    <row r="42" spans="2:48" x14ac:dyDescent="0.3">
      <c r="B42" s="4" t="s">
        <v>39</v>
      </c>
      <c r="C42" s="17">
        <f>C24/C17</f>
        <v>9.7450727916454288E-2</v>
      </c>
      <c r="D42" s="17">
        <f t="shared" ref="D42:I42" si="129">D24/D17</f>
        <v>4.5883558358679209E-2</v>
      </c>
      <c r="E42" s="17">
        <f t="shared" si="129"/>
        <v>6.9895093872105837E-2</v>
      </c>
      <c r="F42" s="17">
        <f t="shared" si="129"/>
        <v>7.4656509691075665E-2</v>
      </c>
      <c r="G42" s="17">
        <f t="shared" si="129"/>
        <v>0.12066883985758972</v>
      </c>
      <c r="H42" s="17">
        <f t="shared" si="129"/>
        <v>0.11829563864283757</v>
      </c>
      <c r="I42" s="17">
        <f t="shared" si="129"/>
        <v>0.12018580907912081</v>
      </c>
      <c r="J42" s="17">
        <f t="shared" ref="J42:R42" si="130">J24/J17</f>
        <v>5.1534557916099573E-2</v>
      </c>
      <c r="K42" s="17">
        <f t="shared" si="130"/>
        <v>0.10154497066130624</v>
      </c>
      <c r="L42" s="17">
        <f t="shared" si="130"/>
        <v>0.14349022042137538</v>
      </c>
      <c r="M42" s="17">
        <f t="shared" si="130"/>
        <v>0.18689356623237216</v>
      </c>
      <c r="N42" s="17">
        <f t="shared" si="130"/>
        <v>8.3862374927616848E-2</v>
      </c>
      <c r="O42" s="17">
        <f t="shared" si="130"/>
        <v>0.1661420488718969</v>
      </c>
      <c r="P42" s="17">
        <f t="shared" si="130"/>
        <v>0.22086285511116438</v>
      </c>
      <c r="Q42" s="17">
        <f t="shared" si="130"/>
        <v>0.20430968993434517</v>
      </c>
      <c r="R42" s="17">
        <f t="shared" si="130"/>
        <v>0.14361506955738348</v>
      </c>
      <c r="S42" s="17">
        <f t="shared" ref="S42" si="131">S24/S17</f>
        <v>0.27359749343945977</v>
      </c>
      <c r="T42" s="17">
        <f t="shared" ref="T42:V42" si="132">T24/T17</f>
        <v>0.25165978209362672</v>
      </c>
      <c r="U42" s="17">
        <f t="shared" si="132"/>
        <v>0.23455077706629826</v>
      </c>
      <c r="V42" s="17">
        <f t="shared" si="132"/>
        <v>8.1948883156720276E-2</v>
      </c>
      <c r="W42" s="17">
        <f t="shared" ref="W42" si="133">W24/W17</f>
        <v>0.25059537223204503</v>
      </c>
      <c r="X42" s="17">
        <f t="shared" ref="X42:AD42" si="134">X24/X17</f>
        <v>0.19802447660587177</v>
      </c>
      <c r="Y42" s="17">
        <f t="shared" si="134"/>
        <v>0.19342638130743342</v>
      </c>
      <c r="Z42" s="17">
        <f t="shared" si="134"/>
        <v>7.0033149292293373E-2</v>
      </c>
      <c r="AA42" s="17">
        <f t="shared" si="134"/>
        <v>0.21004917844176493</v>
      </c>
      <c r="AB42" s="17">
        <f t="shared" si="134"/>
        <v>1</v>
      </c>
      <c r="AC42" s="17">
        <f t="shared" si="134"/>
        <v>1</v>
      </c>
      <c r="AD42" s="17">
        <f t="shared" si="134"/>
        <v>1</v>
      </c>
      <c r="AI42" s="18">
        <f t="shared" ref="AI42:AQ42" si="135">AI24/AI17</f>
        <v>7.1726638633822629E-2</v>
      </c>
      <c r="AJ42" s="18">
        <f t="shared" si="135"/>
        <v>0.10163298361102877</v>
      </c>
      <c r="AK42" s="18">
        <f t="shared" si="135"/>
        <v>0.12920203645017403</v>
      </c>
      <c r="AL42" s="18">
        <f t="shared" si="135"/>
        <v>0.18344049957321257</v>
      </c>
      <c r="AM42" s="18">
        <f t="shared" si="135"/>
        <v>0.20587500729009167</v>
      </c>
      <c r="AN42" s="18">
        <f t="shared" si="135"/>
        <v>0.15701470104110174</v>
      </c>
      <c r="AO42" s="18">
        <f t="shared" si="135"/>
        <v>8.5538902736459088E-2</v>
      </c>
      <c r="AP42" s="18">
        <f t="shared" si="135"/>
        <v>9.2003351912768608E-2</v>
      </c>
      <c r="AQ42" s="18">
        <f t="shared" si="135"/>
        <v>9.7011520299969262E-2</v>
      </c>
      <c r="AR42" s="18"/>
      <c r="AS42" s="18"/>
      <c r="AT42" s="4" t="s">
        <v>50</v>
      </c>
      <c r="AU42" s="27">
        <f>AU40/AU41-1</f>
        <v>-0.6952381665867633</v>
      </c>
      <c r="AV42" s="18"/>
    </row>
    <row r="43" spans="2:48" x14ac:dyDescent="0.3">
      <c r="B43" s="4" t="s">
        <v>40</v>
      </c>
      <c r="C43" s="17">
        <f t="shared" ref="C43:R43" si="136">C27/C26</f>
        <v>0.20362658182598087</v>
      </c>
      <c r="D43" s="17">
        <f t="shared" si="136"/>
        <v>-3.6984672682996655</v>
      </c>
      <c r="E43" s="17">
        <f t="shared" si="136"/>
        <v>-0.1148773626297995</v>
      </c>
      <c r="F43" s="17">
        <f t="shared" si="136"/>
        <v>-0.41260184268636158</v>
      </c>
      <c r="G43" s="17">
        <f t="shared" si="136"/>
        <v>3.1680551105414921E-2</v>
      </c>
      <c r="H43" s="17">
        <f t="shared" si="136"/>
        <v>0.10332076633787177</v>
      </c>
      <c r="I43" s="17">
        <f t="shared" si="136"/>
        <v>-6.3422296137905593E-2</v>
      </c>
      <c r="J43" s="17">
        <f t="shared" si="136"/>
        <v>-0.12176287312807769</v>
      </c>
      <c r="K43" s="17">
        <f t="shared" si="136"/>
        <v>0.13913611353679001</v>
      </c>
      <c r="L43" s="17">
        <f t="shared" si="136"/>
        <v>0.45968984819810116</v>
      </c>
      <c r="M43" s="17">
        <f t="shared" si="136"/>
        <v>0.34285401003434679</v>
      </c>
      <c r="N43" s="17">
        <f t="shared" si="136"/>
        <v>-2.9306114522577067</v>
      </c>
      <c r="O43" s="17">
        <f t="shared" si="136"/>
        <v>0.10906680739316724</v>
      </c>
      <c r="P43" s="17">
        <f t="shared" si="136"/>
        <v>0.30456294985911569</v>
      </c>
      <c r="Q43" s="17">
        <f t="shared" si="136"/>
        <v>8.2980057112344213E-2</v>
      </c>
      <c r="R43" s="17">
        <f t="shared" si="136"/>
        <v>-7.0572275417294411E-2</v>
      </c>
      <c r="S43" s="17">
        <f t="shared" ref="S43" si="137">S27/S26</f>
        <v>0.16111412031052313</v>
      </c>
      <c r="T43" s="17">
        <f t="shared" ref="T43:V43" si="138">T27/T26</f>
        <v>0.15107144044788864</v>
      </c>
      <c r="U43" s="17">
        <f t="shared" si="138"/>
        <v>0.12756967510937961</v>
      </c>
      <c r="V43" s="17">
        <f t="shared" si="138"/>
        <v>-0.10270616661795426</v>
      </c>
      <c r="W43" s="17">
        <f t="shared" ref="W43" si="139">W27/W26</f>
        <v>0.19308306544654419</v>
      </c>
      <c r="X43" s="17">
        <f t="shared" ref="X43:AD43" si="140">X27/X26</f>
        <v>0.11219774573119567</v>
      </c>
      <c r="Y43" s="17">
        <f t="shared" si="140"/>
        <v>0.13787058828607138</v>
      </c>
      <c r="Z43" s="17">
        <f t="shared" si="140"/>
        <v>-0.40543014032946906</v>
      </c>
      <c r="AA43" s="17">
        <f t="shared" si="140"/>
        <v>0.11148267312240534</v>
      </c>
      <c r="AB43" s="17">
        <f t="shared" si="140"/>
        <v>0</v>
      </c>
      <c r="AC43" s="17">
        <f t="shared" si="140"/>
        <v>0</v>
      </c>
      <c r="AD43" s="17">
        <f t="shared" si="140"/>
        <v>0</v>
      </c>
      <c r="AE43" s="17"/>
      <c r="AF43" s="17"/>
      <c r="AG43" s="17"/>
      <c r="AH43" s="17"/>
      <c r="AI43" s="17">
        <f t="shared" ref="AI43:AQ43" si="141">AI27/AI26</f>
        <v>-6.1749761123186614E-2</v>
      </c>
      <c r="AJ43" s="17">
        <f t="shared" si="141"/>
        <v>7.6693780323932427E-3</v>
      </c>
      <c r="AK43" s="17">
        <f t="shared" si="141"/>
        <v>6.2078132344990586E-2</v>
      </c>
      <c r="AL43" s="17">
        <f t="shared" si="141"/>
        <v>7.3344030182061384E-2</v>
      </c>
      <c r="AM43" s="17">
        <f t="shared" si="141"/>
        <v>7.3344030182061384E-2</v>
      </c>
      <c r="AN43" s="17">
        <f t="shared" si="141"/>
        <v>7.3344030182061384E-2</v>
      </c>
      <c r="AO43" s="17">
        <f t="shared" si="141"/>
        <v>7.3344030182061384E-2</v>
      </c>
      <c r="AP43" s="17">
        <f t="shared" si="141"/>
        <v>7.3344030182061384E-2</v>
      </c>
      <c r="AQ43" s="17">
        <f t="shared" si="141"/>
        <v>7.3344030182061384E-2</v>
      </c>
      <c r="AR43" s="17"/>
      <c r="AS43" s="17"/>
      <c r="AT43" s="17"/>
      <c r="AU43" s="17"/>
      <c r="AV43" s="17"/>
    </row>
    <row r="46" spans="2:48" s="19" customFormat="1" x14ac:dyDescent="0.3">
      <c r="B46" s="19" t="s">
        <v>75</v>
      </c>
      <c r="C46" s="20">
        <f t="shared" ref="C46:Q46" si="142">C47-C57</f>
        <v>-2024.202</v>
      </c>
      <c r="D46" s="20">
        <f t="shared" si="142"/>
        <v>-2671.6000000000004</v>
      </c>
      <c r="E46" s="20">
        <f t="shared" si="142"/>
        <v>-3142.3140000000003</v>
      </c>
      <c r="F46" s="20">
        <f t="shared" si="142"/>
        <v>-3676.6369999999997</v>
      </c>
      <c r="G46" s="20">
        <f t="shared" si="142"/>
        <v>-3948.7069999999994</v>
      </c>
      <c r="H46" s="20">
        <f t="shared" si="142"/>
        <v>-4435.7099999999991</v>
      </c>
      <c r="I46" s="20">
        <f t="shared" si="142"/>
        <v>-5269.0519999999997</v>
      </c>
      <c r="J46" s="20">
        <f t="shared" si="142"/>
        <v>-6565.5750000000007</v>
      </c>
      <c r="K46" s="20">
        <f t="shared" si="142"/>
        <v>-6956.4659999999994</v>
      </c>
      <c r="L46" s="20">
        <f t="shared" si="142"/>
        <v>-7589.8879999999999</v>
      </c>
      <c r="M46" s="20">
        <f t="shared" si="142"/>
        <v>-7990.7279999999992</v>
      </c>
      <c r="N46" s="20">
        <f t="shared" si="142"/>
        <v>-9740.8230000000003</v>
      </c>
      <c r="O46" s="20">
        <f t="shared" si="142"/>
        <v>-9517.6169999999984</v>
      </c>
      <c r="P46" s="20">
        <f t="shared" si="142"/>
        <v>-8640.9110000000001</v>
      </c>
      <c r="Q46" s="20">
        <f t="shared" si="142"/>
        <v>-7654.7420000000002</v>
      </c>
      <c r="R46" s="20">
        <f t="shared" ref="R46:AA46" si="143">R47-R57</f>
        <v>0</v>
      </c>
      <c r="S46" s="20">
        <f t="shared" si="143"/>
        <v>0</v>
      </c>
      <c r="T46" s="20">
        <f t="shared" si="143"/>
        <v>0</v>
      </c>
      <c r="U46" s="20">
        <f t="shared" si="143"/>
        <v>0</v>
      </c>
      <c r="V46" s="20">
        <f t="shared" si="143"/>
        <v>-9365.0910000000003</v>
      </c>
      <c r="W46" s="20">
        <f t="shared" si="143"/>
        <v>0</v>
      </c>
      <c r="X46" s="20">
        <f t="shared" si="143"/>
        <v>0</v>
      </c>
      <c r="Y46" s="20">
        <f t="shared" si="143"/>
        <v>0</v>
      </c>
      <c r="Z46" s="20">
        <f t="shared" si="143"/>
        <v>-8294.6239999999998</v>
      </c>
      <c r="AA46" s="20">
        <f t="shared" si="143"/>
        <v>-6609.6240000000007</v>
      </c>
      <c r="AI46" s="21">
        <f>F46</f>
        <v>-3676.6369999999997</v>
      </c>
      <c r="AJ46" s="21">
        <f>J46</f>
        <v>-6565.5750000000007</v>
      </c>
      <c r="AK46" s="21">
        <f>N46</f>
        <v>-9740.8230000000003</v>
      </c>
      <c r="AL46" s="21"/>
      <c r="AM46" s="21"/>
      <c r="AN46" s="21"/>
      <c r="AO46" s="21"/>
      <c r="AP46" s="21"/>
      <c r="AQ46" s="21"/>
      <c r="AR46" s="21"/>
      <c r="AS46" s="21"/>
      <c r="AT46" s="21"/>
      <c r="AU46" s="21"/>
      <c r="AV46" s="21"/>
    </row>
    <row r="47" spans="2:48" x14ac:dyDescent="0.3">
      <c r="B47" s="4" t="s">
        <v>4</v>
      </c>
      <c r="C47" s="15">
        <f>1077.824+263.405</f>
        <v>1341.229</v>
      </c>
      <c r="D47" s="15">
        <f>1918.777+246.125</f>
        <v>2164.902</v>
      </c>
      <c r="E47" s="15">
        <v>1746.4690000000001</v>
      </c>
      <c r="F47" s="15">
        <v>2822.7950000000001</v>
      </c>
      <c r="G47" s="15">
        <v>2593.6660000000002</v>
      </c>
      <c r="H47" s="15">
        <v>3906.357</v>
      </c>
      <c r="I47" s="15">
        <v>3067.5340000000001</v>
      </c>
      <c r="J47" s="15">
        <v>3794.4830000000002</v>
      </c>
      <c r="K47" s="15">
        <v>3348.5569999999998</v>
      </c>
      <c r="L47" s="15">
        <v>5004.2470000000003</v>
      </c>
      <c r="M47" s="15">
        <v>4435.018</v>
      </c>
      <c r="N47" s="15">
        <v>5018.4369999999999</v>
      </c>
      <c r="O47" s="15">
        <v>5151.884</v>
      </c>
      <c r="P47" s="15">
        <v>7153.2479999999996</v>
      </c>
      <c r="Q47" s="15">
        <v>8392.3909999999996</v>
      </c>
      <c r="R47" s="15"/>
      <c r="S47" s="15"/>
      <c r="T47" s="15"/>
      <c r="U47" s="15"/>
      <c r="V47" s="15">
        <v>6027.8040000000001</v>
      </c>
      <c r="W47" s="15"/>
      <c r="X47" s="15"/>
      <c r="Y47" s="15"/>
      <c r="Z47" s="15">
        <f>5147.176+911.276</f>
        <v>6058.4520000000002</v>
      </c>
      <c r="AA47" s="15">
        <f>6714.594+1112.91</f>
        <v>7827.5039999999999</v>
      </c>
      <c r="AI47" s="15">
        <f>F47</f>
        <v>2822.7950000000001</v>
      </c>
      <c r="AJ47" s="15">
        <f>J47</f>
        <v>3794.4830000000002</v>
      </c>
      <c r="AK47" s="15">
        <f>N47</f>
        <v>5018.4369999999999</v>
      </c>
    </row>
    <row r="48" spans="2:48" x14ac:dyDescent="0.3">
      <c r="B48" s="4" t="s">
        <v>76</v>
      </c>
      <c r="C48" s="15">
        <v>292.48599999999999</v>
      </c>
      <c r="D48" s="15">
        <v>386.77199999999999</v>
      </c>
      <c r="E48" s="15">
        <v>415.49200000000002</v>
      </c>
      <c r="F48" s="15">
        <v>536.245</v>
      </c>
      <c r="G48" s="15">
        <v>597.38800000000003</v>
      </c>
      <c r="H48" s="15">
        <v>636.86900000000003</v>
      </c>
      <c r="I48" s="15">
        <v>674.53099999999995</v>
      </c>
      <c r="J48" s="15">
        <v>748.46600000000001</v>
      </c>
      <c r="K48" s="15">
        <v>820.35</v>
      </c>
      <c r="L48" s="15">
        <v>872.91</v>
      </c>
      <c r="M48" s="15">
        <v>892.74</v>
      </c>
      <c r="N48" s="15">
        <v>1160.067</v>
      </c>
      <c r="O48" s="15">
        <v>1295.8969999999999</v>
      </c>
      <c r="P48" s="15">
        <v>1410.8910000000001</v>
      </c>
      <c r="Q48" s="15">
        <v>1434.0889999999999</v>
      </c>
      <c r="R48" s="15"/>
      <c r="S48" s="15"/>
      <c r="T48" s="15"/>
      <c r="U48" s="15"/>
      <c r="V48" s="15">
        <v>2042.021</v>
      </c>
      <c r="W48" s="15"/>
      <c r="X48" s="15"/>
      <c r="Y48" s="15"/>
      <c r="Z48" s="15">
        <v>3208.0210000000002</v>
      </c>
      <c r="AA48" s="15">
        <v>2655.1190000000001</v>
      </c>
      <c r="AI48" s="15">
        <f t="shared" ref="AI48:AI61" si="144">F48</f>
        <v>536.245</v>
      </c>
      <c r="AJ48" s="15">
        <f t="shared" ref="AJ48:AJ52" si="145">J48</f>
        <v>748.46600000000001</v>
      </c>
      <c r="AK48" s="15">
        <f t="shared" ref="AK48:AK52" si="146">N48</f>
        <v>1160.067</v>
      </c>
    </row>
    <row r="49" spans="2:37" x14ac:dyDescent="0.3">
      <c r="B49" s="4" t="s">
        <v>77</v>
      </c>
      <c r="C49" s="16">
        <f>4026.615+8029.112</f>
        <v>12055.726999999999</v>
      </c>
      <c r="D49" s="16">
        <f>4149.111+9078.474</f>
        <v>13227.584999999999</v>
      </c>
      <c r="E49" s="16">
        <f>4223.387+9739.704</f>
        <v>13963.091</v>
      </c>
      <c r="F49" s="16">
        <f>4310.934+10371.055</f>
        <v>14681.989000000001</v>
      </c>
      <c r="G49" s="16">
        <f>4626.522+11314.803</f>
        <v>15941.325000000001</v>
      </c>
      <c r="H49" s="16">
        <f>4803.663+12292.07</f>
        <v>17095.733</v>
      </c>
      <c r="I49" s="16">
        <f>4987.916+13408.443</f>
        <v>18396.359</v>
      </c>
      <c r="J49" s="16">
        <f>5151.186+14960.954</f>
        <v>20112.14</v>
      </c>
      <c r="K49" s="16">
        <v>20888.785</v>
      </c>
      <c r="L49" s="16">
        <v>21945.74</v>
      </c>
      <c r="M49" s="16">
        <v>23234.993999999999</v>
      </c>
      <c r="N49" s="16">
        <v>24504.566999999999</v>
      </c>
      <c r="O49" s="16">
        <v>25266.888999999999</v>
      </c>
      <c r="P49" s="16">
        <v>25155.116999999998</v>
      </c>
      <c r="Q49" s="16">
        <v>25067.633000000002</v>
      </c>
      <c r="R49" s="16"/>
      <c r="S49" s="16"/>
      <c r="T49" s="16"/>
      <c r="U49" s="16"/>
      <c r="V49" s="16">
        <v>30919.539000000001</v>
      </c>
      <c r="W49" s="16"/>
      <c r="X49" s="16"/>
      <c r="Y49" s="16"/>
      <c r="Z49" s="16">
        <v>32736.713</v>
      </c>
      <c r="AA49" s="16">
        <v>32349.184000000001</v>
      </c>
      <c r="AI49" s="15">
        <f t="shared" si="144"/>
        <v>14681.989000000001</v>
      </c>
      <c r="AJ49" s="15">
        <f t="shared" si="145"/>
        <v>20112.14</v>
      </c>
      <c r="AK49" s="15">
        <f t="shared" si="146"/>
        <v>24504.566999999999</v>
      </c>
    </row>
    <row r="50" spans="2:37" x14ac:dyDescent="0.3">
      <c r="B50" s="4" t="s">
        <v>78</v>
      </c>
      <c r="C50" s="16">
        <v>275.08300000000003</v>
      </c>
      <c r="D50" s="16">
        <v>309.83100000000002</v>
      </c>
      <c r="E50" s="16">
        <v>322.42099999999999</v>
      </c>
      <c r="F50" s="16">
        <v>319.404</v>
      </c>
      <c r="G50" s="16">
        <v>341.93200000000002</v>
      </c>
      <c r="H50" s="16">
        <v>349.64600000000002</v>
      </c>
      <c r="I50" s="16">
        <v>371.15199999999999</v>
      </c>
      <c r="J50" s="16">
        <v>418.28100000000001</v>
      </c>
      <c r="K50" s="16">
        <v>434.37200000000001</v>
      </c>
      <c r="L50" s="16">
        <v>452.399</v>
      </c>
      <c r="M50" s="16">
        <v>481.99200000000002</v>
      </c>
      <c r="N50" s="16">
        <v>565.221</v>
      </c>
      <c r="O50" s="16">
        <v>650.45500000000004</v>
      </c>
      <c r="P50" s="16">
        <v>751.94100000000003</v>
      </c>
      <c r="Q50" s="16">
        <v>828.11800000000005</v>
      </c>
      <c r="R50" s="16"/>
      <c r="S50" s="16"/>
      <c r="T50" s="16"/>
      <c r="U50" s="16"/>
      <c r="V50" s="16">
        <v>1323.453</v>
      </c>
      <c r="W50" s="16"/>
      <c r="X50" s="16"/>
      <c r="Y50" s="16"/>
      <c r="Z50" s="16">
        <v>1398.2570000000001</v>
      </c>
      <c r="AA50" s="16">
        <v>1413.0940000000001</v>
      </c>
      <c r="AI50" s="15">
        <f t="shared" si="144"/>
        <v>319.404</v>
      </c>
      <c r="AJ50" s="15">
        <f t="shared" si="145"/>
        <v>418.28100000000001</v>
      </c>
      <c r="AK50" s="15">
        <f t="shared" si="146"/>
        <v>565.221</v>
      </c>
    </row>
    <row r="51" spans="2:37" x14ac:dyDescent="0.3">
      <c r="B51" s="4" t="s">
        <v>87</v>
      </c>
      <c r="C51" s="16">
        <v>394.57100000000003</v>
      </c>
      <c r="D51" s="16">
        <v>428.13299999999998</v>
      </c>
      <c r="E51" s="16">
        <v>504.06700000000001</v>
      </c>
      <c r="F51" s="16">
        <v>652.30899999999997</v>
      </c>
      <c r="G51" s="16">
        <v>678.48599999999999</v>
      </c>
      <c r="H51" s="16">
        <v>674.93200000000002</v>
      </c>
      <c r="I51" s="16">
        <v>856.65300000000002</v>
      </c>
      <c r="J51" s="16">
        <v>901.03</v>
      </c>
      <c r="K51" s="16">
        <v>1726.568</v>
      </c>
      <c r="L51" s="16">
        <v>1896.0429999999999</v>
      </c>
      <c r="M51" s="16">
        <v>1896.9670000000001</v>
      </c>
      <c r="N51" s="16">
        <v>2727.42</v>
      </c>
      <c r="O51" s="16">
        <v>2694.7849999999999</v>
      </c>
      <c r="P51" s="16">
        <v>2704.0839999999998</v>
      </c>
      <c r="Q51" s="16">
        <v>2900.3119999999999</v>
      </c>
      <c r="R51" s="16"/>
      <c r="S51" s="16"/>
      <c r="T51" s="16"/>
      <c r="U51" s="16"/>
      <c r="V51" s="16">
        <v>4271.8459999999995</v>
      </c>
      <c r="W51" s="16"/>
      <c r="X51" s="16"/>
      <c r="Y51" s="16"/>
      <c r="Z51" s="16">
        <v>5193.3249999999998</v>
      </c>
      <c r="AA51" s="16">
        <v>5245.4440000000004</v>
      </c>
      <c r="AI51" s="15">
        <f t="shared" si="144"/>
        <v>652.30899999999997</v>
      </c>
      <c r="AJ51" s="15">
        <f t="shared" si="145"/>
        <v>901.03</v>
      </c>
      <c r="AK51" s="15">
        <f t="shared" si="146"/>
        <v>2727.42</v>
      </c>
    </row>
    <row r="52" spans="2:37" s="19" customFormat="1" x14ac:dyDescent="0.3">
      <c r="B52" s="19" t="s">
        <v>79</v>
      </c>
      <c r="C52" s="20">
        <f t="shared" ref="C52:M52" si="147">SUM(C47:C51)</f>
        <v>14359.096</v>
      </c>
      <c r="D52" s="20">
        <f t="shared" si="147"/>
        <v>16517.222999999998</v>
      </c>
      <c r="E52" s="20">
        <f t="shared" si="147"/>
        <v>16951.539999999997</v>
      </c>
      <c r="F52" s="20">
        <f t="shared" si="147"/>
        <v>19012.742000000002</v>
      </c>
      <c r="G52" s="20">
        <f t="shared" si="147"/>
        <v>20152.797000000002</v>
      </c>
      <c r="H52" s="20">
        <f t="shared" si="147"/>
        <v>22663.537</v>
      </c>
      <c r="I52" s="20">
        <f t="shared" si="147"/>
        <v>23366.228999999996</v>
      </c>
      <c r="J52" s="20">
        <f t="shared" si="147"/>
        <v>25974.399999999998</v>
      </c>
      <c r="K52" s="20">
        <f t="shared" si="147"/>
        <v>27218.631999999998</v>
      </c>
      <c r="L52" s="20">
        <f t="shared" si="147"/>
        <v>30171.339000000004</v>
      </c>
      <c r="M52" s="20">
        <f t="shared" si="147"/>
        <v>30941.710999999999</v>
      </c>
      <c r="N52" s="20">
        <f>SUM(N47:N51)</f>
        <v>33975.712</v>
      </c>
      <c r="O52" s="20">
        <f>SUM(O47:O51)</f>
        <v>35059.910000000003</v>
      </c>
      <c r="P52" s="20">
        <f>SUM(P47:P51)</f>
        <v>37175.280999999995</v>
      </c>
      <c r="Q52" s="20">
        <f>SUM(Q47:Q51)</f>
        <v>38622.542999999998</v>
      </c>
      <c r="R52" s="20">
        <f t="shared" ref="R52:AA52" si="148">SUM(R47:R51)</f>
        <v>0</v>
      </c>
      <c r="S52" s="20">
        <f t="shared" si="148"/>
        <v>0</v>
      </c>
      <c r="T52" s="20">
        <f t="shared" si="148"/>
        <v>0</v>
      </c>
      <c r="U52" s="20">
        <f t="shared" si="148"/>
        <v>0</v>
      </c>
      <c r="V52" s="20">
        <f t="shared" si="148"/>
        <v>44584.663</v>
      </c>
      <c r="W52" s="20">
        <f t="shared" si="148"/>
        <v>0</v>
      </c>
      <c r="X52" s="20">
        <f t="shared" si="148"/>
        <v>0</v>
      </c>
      <c r="Y52" s="20">
        <f t="shared" si="148"/>
        <v>0</v>
      </c>
      <c r="Z52" s="20">
        <f t="shared" si="148"/>
        <v>48594.767999999996</v>
      </c>
      <c r="AA52" s="20">
        <f t="shared" si="148"/>
        <v>49490.345000000001</v>
      </c>
      <c r="AI52" s="21">
        <f t="shared" si="144"/>
        <v>19012.742000000002</v>
      </c>
      <c r="AJ52" s="21">
        <f t="shared" si="145"/>
        <v>25974.399999999998</v>
      </c>
      <c r="AK52" s="21">
        <f t="shared" si="146"/>
        <v>33975.712</v>
      </c>
    </row>
    <row r="53" spans="2:37" x14ac:dyDescent="0.3">
      <c r="B53" s="4" t="s">
        <v>77</v>
      </c>
      <c r="C53" s="16">
        <f>3861.447+3035.43</f>
        <v>6896.8770000000004</v>
      </c>
      <c r="D53" s="16">
        <f>4095.374+3356.09</f>
        <v>7451.4639999999999</v>
      </c>
      <c r="E53" s="16">
        <f>4142.086+3296.504</f>
        <v>7438.59</v>
      </c>
      <c r="F53" s="16">
        <f>4173.041+3329.796</f>
        <v>7502.8369999999995</v>
      </c>
      <c r="G53" s="16">
        <f>4466.081+3444.476</f>
        <v>7910.5570000000007</v>
      </c>
      <c r="H53" s="16">
        <f>4541.087+3604.158</f>
        <v>8145.2450000000008</v>
      </c>
      <c r="I53" s="16">
        <f>4613.011+3593.823</f>
        <v>8206.8340000000007</v>
      </c>
      <c r="J53" s="16">
        <f>4686.019+3759.029</f>
        <v>8445.0480000000007</v>
      </c>
      <c r="K53" s="16">
        <f>4863.351+3560.364</f>
        <v>8423.7150000000001</v>
      </c>
      <c r="L53" s="16">
        <f>4848.201+3564.44</f>
        <v>8412.6409999999996</v>
      </c>
      <c r="M53" s="16">
        <f>4860.542+3419.552</f>
        <v>8280.094000000001</v>
      </c>
      <c r="N53" s="16">
        <f>4413.561+3334.323</f>
        <v>7747.884</v>
      </c>
      <c r="O53" s="16">
        <f>4761.585+3206.051</f>
        <v>7967.6360000000004</v>
      </c>
      <c r="P53" s="16">
        <f>4664.733+3208.164</f>
        <v>7872.8970000000008</v>
      </c>
      <c r="Q53" s="16">
        <f>4599.654+2926.574</f>
        <v>7526.228000000001</v>
      </c>
      <c r="R53" s="16"/>
      <c r="S53" s="16"/>
      <c r="T53" s="16"/>
      <c r="U53" s="16"/>
      <c r="V53" s="16">
        <f>4292.967+3094.213</f>
        <v>7387.18</v>
      </c>
      <c r="W53" s="16"/>
      <c r="X53" s="16"/>
      <c r="Y53" s="16"/>
      <c r="Z53" s="16">
        <f>4480.15+3081.277</f>
        <v>7561.4269999999997</v>
      </c>
      <c r="AA53" s="16">
        <f>4344.58+2908.029</f>
        <v>7252.6090000000004</v>
      </c>
      <c r="AI53" s="15">
        <f t="shared" si="144"/>
        <v>7502.8369999999995</v>
      </c>
      <c r="AJ53" s="15">
        <f>J53</f>
        <v>8445.0480000000007</v>
      </c>
      <c r="AK53" s="15">
        <f>N53</f>
        <v>7747.884</v>
      </c>
    </row>
    <row r="54" spans="2:37" x14ac:dyDescent="0.3">
      <c r="B54" s="4" t="s">
        <v>80</v>
      </c>
      <c r="C54" s="16">
        <v>294.83100000000002</v>
      </c>
      <c r="D54" s="16">
        <v>273.39800000000002</v>
      </c>
      <c r="E54" s="16">
        <v>301.44299999999998</v>
      </c>
      <c r="F54" s="16">
        <v>359.55500000000001</v>
      </c>
      <c r="G54" s="16">
        <v>436.18299999999999</v>
      </c>
      <c r="H54" s="16">
        <v>448.21899999999999</v>
      </c>
      <c r="I54" s="16">
        <v>441.42700000000002</v>
      </c>
      <c r="J54" s="16">
        <v>562.98500000000001</v>
      </c>
      <c r="K54" s="16">
        <v>439.49599999999998</v>
      </c>
      <c r="L54" s="16">
        <v>442.19400000000002</v>
      </c>
      <c r="M54" s="16">
        <v>444.12900000000002</v>
      </c>
      <c r="N54" s="16">
        <v>674.34699999999998</v>
      </c>
      <c r="O54" s="16">
        <v>545.48800000000006</v>
      </c>
      <c r="P54" s="16">
        <v>446.66800000000001</v>
      </c>
      <c r="Q54" s="16">
        <v>541.298</v>
      </c>
      <c r="R54" s="16"/>
      <c r="S54" s="16"/>
      <c r="T54" s="16"/>
      <c r="U54" s="16"/>
      <c r="V54" s="16">
        <v>837.48299999999995</v>
      </c>
      <c r="W54" s="16"/>
      <c r="X54" s="16"/>
      <c r="Y54" s="16"/>
      <c r="Z54" s="16">
        <v>671.51300000000003</v>
      </c>
      <c r="AA54" s="16">
        <v>591.98699999999997</v>
      </c>
      <c r="AI54" s="15">
        <f t="shared" si="144"/>
        <v>359.55500000000001</v>
      </c>
      <c r="AJ54" s="15">
        <f t="shared" ref="AJ54:AJ61" si="149">J54</f>
        <v>562.98500000000001</v>
      </c>
      <c r="AK54" s="15">
        <f t="shared" ref="AK54:AK60" si="150">N54</f>
        <v>674.34699999999998</v>
      </c>
    </row>
    <row r="55" spans="2:37" x14ac:dyDescent="0.3">
      <c r="B55" s="4" t="s">
        <v>81</v>
      </c>
      <c r="C55" s="16">
        <v>296.25799999999998</v>
      </c>
      <c r="D55" s="16">
        <v>248.87100000000001</v>
      </c>
      <c r="E55" s="16">
        <v>331.72300000000001</v>
      </c>
      <c r="F55" s="16">
        <v>315.09399999999999</v>
      </c>
      <c r="G55" s="16">
        <v>429.43099999999998</v>
      </c>
      <c r="H55" s="16">
        <v>392.59500000000003</v>
      </c>
      <c r="I55" s="16">
        <v>527.07899999999995</v>
      </c>
      <c r="J55" s="16">
        <v>477.41699999999997</v>
      </c>
      <c r="K55" s="16">
        <v>746.26800000000003</v>
      </c>
      <c r="L55" s="16">
        <v>750.81200000000001</v>
      </c>
      <c r="M55" s="16">
        <v>1037.723</v>
      </c>
      <c r="N55" s="16">
        <v>843.04300000000001</v>
      </c>
      <c r="O55" s="16">
        <v>1061.0899999999999</v>
      </c>
      <c r="P55" s="16">
        <v>986.59500000000003</v>
      </c>
      <c r="Q55" s="16">
        <v>1259.124</v>
      </c>
      <c r="R55" s="16"/>
      <c r="S55" s="16"/>
      <c r="T55" s="16"/>
      <c r="U55" s="16"/>
      <c r="V55" s="16">
        <v>1449.3510000000001</v>
      </c>
      <c r="W55" s="16"/>
      <c r="X55" s="16"/>
      <c r="Y55" s="16"/>
      <c r="Z55" s="16">
        <v>1514.65</v>
      </c>
      <c r="AA55" s="16">
        <v>1718.069</v>
      </c>
      <c r="AI55" s="15">
        <f t="shared" si="144"/>
        <v>315.09399999999999</v>
      </c>
      <c r="AJ55" s="15">
        <f t="shared" si="149"/>
        <v>477.41699999999997</v>
      </c>
      <c r="AK55" s="15">
        <f t="shared" si="150"/>
        <v>843.04300000000001</v>
      </c>
    </row>
    <row r="56" spans="2:37" x14ac:dyDescent="0.3">
      <c r="B56" s="4" t="s">
        <v>82</v>
      </c>
      <c r="C56" s="16">
        <v>458.69299999999998</v>
      </c>
      <c r="D56" s="16">
        <v>505.30200000000002</v>
      </c>
      <c r="E56" s="16">
        <v>535.42499999999995</v>
      </c>
      <c r="F56" s="16">
        <v>618.62199999999996</v>
      </c>
      <c r="G56" s="16">
        <v>673.89200000000005</v>
      </c>
      <c r="H56" s="16">
        <v>697.74</v>
      </c>
      <c r="I56" s="16">
        <v>716.72299999999996</v>
      </c>
      <c r="J56" s="16">
        <v>760.899</v>
      </c>
      <c r="K56" s="16">
        <v>808.69200000000001</v>
      </c>
      <c r="L56" s="16">
        <v>892.77700000000004</v>
      </c>
      <c r="M56" s="16">
        <v>915.50599999999997</v>
      </c>
      <c r="N56" s="16">
        <v>924.745</v>
      </c>
      <c r="O56" s="16">
        <v>986.75300000000004</v>
      </c>
      <c r="P56" s="16">
        <v>1029.261</v>
      </c>
      <c r="Q56" s="16">
        <v>1040.202</v>
      </c>
      <c r="R56" s="16"/>
      <c r="S56" s="16"/>
      <c r="T56" s="16"/>
      <c r="U56" s="16"/>
      <c r="V56" s="16">
        <v>1209.3409999999999</v>
      </c>
      <c r="W56" s="16"/>
      <c r="X56" s="16"/>
      <c r="Y56" s="16"/>
      <c r="Z56" s="16">
        <v>1264.6610000000001</v>
      </c>
      <c r="AA56" s="16">
        <v>1262.271</v>
      </c>
      <c r="AI56" s="15">
        <f t="shared" si="144"/>
        <v>618.62199999999996</v>
      </c>
      <c r="AJ56" s="15">
        <f t="shared" si="149"/>
        <v>760.899</v>
      </c>
      <c r="AK56" s="15">
        <f t="shared" si="150"/>
        <v>924.745</v>
      </c>
    </row>
    <row r="57" spans="2:37" x14ac:dyDescent="0.3">
      <c r="B57" s="4" t="s">
        <v>5</v>
      </c>
      <c r="C57" s="16">
        <v>3365.431</v>
      </c>
      <c r="D57" s="16">
        <v>4836.5020000000004</v>
      </c>
      <c r="E57" s="16">
        <v>4888.7830000000004</v>
      </c>
      <c r="F57" s="16">
        <v>6499.4319999999998</v>
      </c>
      <c r="G57" s="16">
        <v>6542.3729999999996</v>
      </c>
      <c r="H57" s="16">
        <v>8342.0669999999991</v>
      </c>
      <c r="I57" s="16">
        <v>8336.5859999999993</v>
      </c>
      <c r="J57" s="16">
        <v>10360.058000000001</v>
      </c>
      <c r="K57" s="16">
        <v>10305.022999999999</v>
      </c>
      <c r="L57" s="16">
        <v>12594.135</v>
      </c>
      <c r="M57" s="16">
        <v>12425.745999999999</v>
      </c>
      <c r="N57" s="16">
        <v>14759.26</v>
      </c>
      <c r="O57" s="16">
        <f>498.809+14170.692</f>
        <v>14669.500999999998</v>
      </c>
      <c r="P57" s="16">
        <f>499.161+15294.998</f>
        <v>15794.159</v>
      </c>
      <c r="Q57" s="16">
        <f>499.517+15547.616</f>
        <v>16047.133</v>
      </c>
      <c r="R57" s="16"/>
      <c r="S57" s="16"/>
      <c r="T57" s="16"/>
      <c r="U57" s="16"/>
      <c r="V57" s="16">
        <f>699.823+14693.072</f>
        <v>15392.895</v>
      </c>
      <c r="W57" s="16"/>
      <c r="X57" s="16"/>
      <c r="Y57" s="16"/>
      <c r="Z57" s="16">
        <v>14353.075999999999</v>
      </c>
      <c r="AA57" s="16">
        <f>399.163+14037.965</f>
        <v>14437.128000000001</v>
      </c>
      <c r="AI57" s="15">
        <f t="shared" si="144"/>
        <v>6499.4319999999998</v>
      </c>
      <c r="AJ57" s="15">
        <f t="shared" si="149"/>
        <v>10360.058000000001</v>
      </c>
      <c r="AK57" s="15">
        <f t="shared" si="150"/>
        <v>14759.26</v>
      </c>
    </row>
    <row r="58" spans="2:37" x14ac:dyDescent="0.3">
      <c r="B58" s="4" t="s">
        <v>83</v>
      </c>
      <c r="C58" s="16">
        <v>73.322999999999993</v>
      </c>
      <c r="D58" s="16">
        <v>89.186000000000007</v>
      </c>
      <c r="E58" s="16">
        <v>128.215</v>
      </c>
      <c r="F58" s="16">
        <v>135.24600000000001</v>
      </c>
      <c r="G58" s="16">
        <v>139.631</v>
      </c>
      <c r="H58" s="16">
        <v>141.071</v>
      </c>
      <c r="I58" s="16">
        <v>127.92700000000001</v>
      </c>
      <c r="J58" s="16">
        <v>129.23099999999999</v>
      </c>
      <c r="K58" s="16">
        <v>792.38</v>
      </c>
      <c r="L58" s="16">
        <v>973.23199999999997</v>
      </c>
      <c r="M58" s="16">
        <v>977.00800000000004</v>
      </c>
      <c r="N58" s="16">
        <v>1444.2760000000001</v>
      </c>
      <c r="O58" s="16">
        <v>1420.1479999999999</v>
      </c>
      <c r="P58" s="16">
        <v>1710.9480000000001</v>
      </c>
      <c r="Q58" s="16">
        <v>1875.2349999999999</v>
      </c>
      <c r="R58" s="16"/>
      <c r="S58" s="16"/>
      <c r="T58" s="16"/>
      <c r="U58" s="16"/>
      <c r="V58" s="16">
        <v>2459.1640000000002</v>
      </c>
      <c r="W58" s="16"/>
      <c r="X58" s="16"/>
      <c r="Y58" s="16"/>
      <c r="Z58" s="16">
        <v>2452.04</v>
      </c>
      <c r="AA58" s="16">
        <v>2400.085</v>
      </c>
      <c r="AI58" s="15">
        <f t="shared" si="144"/>
        <v>135.24600000000001</v>
      </c>
      <c r="AJ58" s="15">
        <f t="shared" si="149"/>
        <v>129.23099999999999</v>
      </c>
      <c r="AK58" s="15">
        <f t="shared" si="150"/>
        <v>1444.2760000000001</v>
      </c>
    </row>
    <row r="59" spans="2:37" s="19" customFormat="1" x14ac:dyDescent="0.3">
      <c r="B59" s="19" t="s">
        <v>84</v>
      </c>
      <c r="C59" s="20">
        <f t="shared" ref="C59:M59" si="151">SUM(C53:C58)</f>
        <v>11385.413</v>
      </c>
      <c r="D59" s="20">
        <f t="shared" si="151"/>
        <v>13404.723</v>
      </c>
      <c r="E59" s="20">
        <f t="shared" si="151"/>
        <v>13624.179</v>
      </c>
      <c r="F59" s="20">
        <f t="shared" si="151"/>
        <v>15430.786</v>
      </c>
      <c r="G59" s="20">
        <f t="shared" si="151"/>
        <v>16132.067000000001</v>
      </c>
      <c r="H59" s="20">
        <f t="shared" si="151"/>
        <v>18166.936999999998</v>
      </c>
      <c r="I59" s="20">
        <f t="shared" si="151"/>
        <v>18356.575999999997</v>
      </c>
      <c r="J59" s="20">
        <f t="shared" si="151"/>
        <v>20735.637999999999</v>
      </c>
      <c r="K59" s="20">
        <f t="shared" si="151"/>
        <v>21515.573999999997</v>
      </c>
      <c r="L59" s="20">
        <f t="shared" si="151"/>
        <v>24065.791000000001</v>
      </c>
      <c r="M59" s="20">
        <f t="shared" si="151"/>
        <v>24080.206000000002</v>
      </c>
      <c r="N59" s="20">
        <f>SUM(N53:N58)</f>
        <v>26393.555000000004</v>
      </c>
      <c r="O59" s="20">
        <f>SUM(O53:O58)</f>
        <v>26650.616000000002</v>
      </c>
      <c r="P59" s="20">
        <f>SUM(P53:P58)</f>
        <v>27840.528000000002</v>
      </c>
      <c r="Q59" s="20">
        <f>SUM(Q53:Q58)</f>
        <v>28289.22</v>
      </c>
      <c r="R59" s="20">
        <f t="shared" ref="R59:AA59" si="152">SUM(R53:R58)</f>
        <v>0</v>
      </c>
      <c r="S59" s="20">
        <f t="shared" si="152"/>
        <v>0</v>
      </c>
      <c r="T59" s="20">
        <f t="shared" si="152"/>
        <v>0</v>
      </c>
      <c r="U59" s="20">
        <f t="shared" si="152"/>
        <v>0</v>
      </c>
      <c r="V59" s="20">
        <f t="shared" si="152"/>
        <v>28735.414000000001</v>
      </c>
      <c r="W59" s="20">
        <f t="shared" si="152"/>
        <v>0</v>
      </c>
      <c r="X59" s="20">
        <f t="shared" si="152"/>
        <v>0</v>
      </c>
      <c r="Y59" s="20">
        <f t="shared" si="152"/>
        <v>0</v>
      </c>
      <c r="Z59" s="20">
        <f t="shared" si="152"/>
        <v>27817.366999999998</v>
      </c>
      <c r="AA59" s="20">
        <f t="shared" si="152"/>
        <v>27662.149000000001</v>
      </c>
      <c r="AI59" s="21">
        <f t="shared" si="144"/>
        <v>15430.786</v>
      </c>
      <c r="AJ59" s="21">
        <f t="shared" si="149"/>
        <v>20735.637999999999</v>
      </c>
      <c r="AK59" s="21">
        <f t="shared" si="150"/>
        <v>26393.555000000004</v>
      </c>
    </row>
    <row r="60" spans="2:37" s="19" customFormat="1" x14ac:dyDescent="0.3">
      <c r="B60" s="19" t="s">
        <v>85</v>
      </c>
      <c r="C60" s="20">
        <v>2973.683</v>
      </c>
      <c r="D60" s="20">
        <v>3112.5</v>
      </c>
      <c r="E60" s="20">
        <v>3327.3609999999999</v>
      </c>
      <c r="F60" s="20">
        <v>3581.9560000000001</v>
      </c>
      <c r="G60" s="20">
        <v>4020.73</v>
      </c>
      <c r="H60" s="20">
        <v>4496.6000000000004</v>
      </c>
      <c r="I60" s="20">
        <v>5009.6530000000002</v>
      </c>
      <c r="J60" s="20">
        <v>5238.7650000000003</v>
      </c>
      <c r="K60" s="20">
        <v>5703.058</v>
      </c>
      <c r="L60" s="20">
        <v>6105.5479999999998</v>
      </c>
      <c r="M60" s="20">
        <v>6861.5050000000001</v>
      </c>
      <c r="N60" s="20">
        <v>7582.1570000000002</v>
      </c>
      <c r="O60" s="20">
        <v>8409.2939999999999</v>
      </c>
      <c r="P60" s="20">
        <v>9334.7530000000006</v>
      </c>
      <c r="Q60" s="20">
        <v>10333.323</v>
      </c>
      <c r="R60" s="20">
        <v>10333.323</v>
      </c>
      <c r="S60" s="20">
        <v>10333.323</v>
      </c>
      <c r="T60" s="20">
        <v>10333.323</v>
      </c>
      <c r="U60" s="20">
        <v>10333.323</v>
      </c>
      <c r="V60" s="20">
        <v>15849.248</v>
      </c>
      <c r="W60" s="20">
        <v>10333.323</v>
      </c>
      <c r="X60" s="20">
        <v>10333.323</v>
      </c>
      <c r="Y60" s="20">
        <v>10333.323</v>
      </c>
      <c r="Z60" s="20">
        <v>20777.401000000002</v>
      </c>
      <c r="AA60" s="20">
        <v>21828.196</v>
      </c>
      <c r="AI60" s="21">
        <f t="shared" si="144"/>
        <v>3581.9560000000001</v>
      </c>
      <c r="AJ60" s="21">
        <f t="shared" si="149"/>
        <v>5238.7650000000003</v>
      </c>
      <c r="AK60" s="21">
        <f t="shared" si="150"/>
        <v>7582.1570000000002</v>
      </c>
    </row>
    <row r="61" spans="2:37" s="19" customFormat="1" x14ac:dyDescent="0.3">
      <c r="B61" s="19" t="s">
        <v>86</v>
      </c>
      <c r="C61" s="20">
        <f t="shared" ref="C61:M61" si="153">+C59+C60</f>
        <v>14359.096000000001</v>
      </c>
      <c r="D61" s="20">
        <f t="shared" si="153"/>
        <v>16517.222999999998</v>
      </c>
      <c r="E61" s="20">
        <f t="shared" si="153"/>
        <v>16951.54</v>
      </c>
      <c r="F61" s="20">
        <f t="shared" si="153"/>
        <v>19012.741999999998</v>
      </c>
      <c r="G61" s="20">
        <f t="shared" si="153"/>
        <v>20152.797000000002</v>
      </c>
      <c r="H61" s="20">
        <f t="shared" si="153"/>
        <v>22663.536999999997</v>
      </c>
      <c r="I61" s="20">
        <f t="shared" si="153"/>
        <v>23366.228999999999</v>
      </c>
      <c r="J61" s="20">
        <f t="shared" si="153"/>
        <v>25974.402999999998</v>
      </c>
      <c r="K61" s="20">
        <f t="shared" si="153"/>
        <v>27218.631999999998</v>
      </c>
      <c r="L61" s="20">
        <f t="shared" si="153"/>
        <v>30171.339</v>
      </c>
      <c r="M61" s="20">
        <f t="shared" si="153"/>
        <v>30941.711000000003</v>
      </c>
      <c r="N61" s="20">
        <f>+N59+N60</f>
        <v>33975.712000000007</v>
      </c>
      <c r="O61" s="20">
        <f>+O59+O60</f>
        <v>35059.910000000003</v>
      </c>
      <c r="P61" s="20">
        <f>+P59+P60</f>
        <v>37175.281000000003</v>
      </c>
      <c r="Q61" s="20">
        <f>+Q59+Q60</f>
        <v>38622.543000000005</v>
      </c>
      <c r="R61" s="20">
        <f t="shared" ref="R61:AA61" si="154">+R59+R60</f>
        <v>10333.323</v>
      </c>
      <c r="S61" s="20">
        <f t="shared" si="154"/>
        <v>10333.323</v>
      </c>
      <c r="T61" s="20">
        <f t="shared" si="154"/>
        <v>10333.323</v>
      </c>
      <c r="U61" s="20">
        <f t="shared" si="154"/>
        <v>10333.323</v>
      </c>
      <c r="V61" s="20">
        <f t="shared" si="154"/>
        <v>44584.661999999997</v>
      </c>
      <c r="W61" s="20">
        <f t="shared" si="154"/>
        <v>10333.323</v>
      </c>
      <c r="X61" s="20">
        <f t="shared" si="154"/>
        <v>10333.323</v>
      </c>
      <c r="Y61" s="20">
        <f t="shared" si="154"/>
        <v>10333.323</v>
      </c>
      <c r="Z61" s="20">
        <f t="shared" si="154"/>
        <v>48594.767999999996</v>
      </c>
      <c r="AA61" s="20">
        <f t="shared" si="154"/>
        <v>49490.345000000001</v>
      </c>
      <c r="AI61" s="21">
        <f t="shared" si="144"/>
        <v>19012.741999999998</v>
      </c>
      <c r="AJ61" s="21">
        <f t="shared" si="149"/>
        <v>25974.402999999998</v>
      </c>
      <c r="AK61" s="21">
        <f>N61</f>
        <v>33975.712000000007</v>
      </c>
    </row>
    <row r="62" spans="2:37" x14ac:dyDescent="0.3">
      <c r="C62" s="16"/>
      <c r="D62" s="16"/>
      <c r="E62" s="16"/>
      <c r="F62" s="16"/>
      <c r="G62" s="16"/>
      <c r="H62" s="16"/>
      <c r="I62" s="16"/>
      <c r="J62" s="16"/>
      <c r="K62" s="16"/>
      <c r="L62" s="16"/>
      <c r="M62" s="16"/>
      <c r="N62" s="16"/>
      <c r="O62" s="16"/>
      <c r="P62" s="16"/>
      <c r="Q62" s="16"/>
      <c r="R62" s="16"/>
      <c r="S62" s="15"/>
      <c r="T62" s="15"/>
      <c r="U62" s="15"/>
    </row>
    <row r="63" spans="2:37" x14ac:dyDescent="0.3">
      <c r="C63" s="16"/>
      <c r="D63" s="16"/>
      <c r="E63" s="16"/>
      <c r="F63" s="16"/>
      <c r="G63" s="16"/>
      <c r="H63" s="16"/>
      <c r="I63" s="16"/>
      <c r="J63" s="16"/>
      <c r="K63" s="16"/>
      <c r="L63" s="16"/>
      <c r="M63" s="16"/>
      <c r="N63" s="16"/>
      <c r="O63" s="16"/>
      <c r="P63" s="16"/>
      <c r="Q63" s="16"/>
      <c r="R63" s="16"/>
      <c r="S63" s="15"/>
      <c r="T63" s="15"/>
      <c r="U63" s="15"/>
    </row>
    <row r="64" spans="2:37" x14ac:dyDescent="0.3">
      <c r="C64" s="16"/>
      <c r="D64" s="16"/>
      <c r="E64" s="16"/>
      <c r="F64" s="16"/>
      <c r="G64" s="16"/>
      <c r="H64" s="16"/>
      <c r="I64" s="16"/>
      <c r="J64" s="16"/>
      <c r="K64" s="16"/>
      <c r="L64" s="16"/>
      <c r="M64" s="16"/>
      <c r="N64" s="16"/>
      <c r="O64" s="16"/>
      <c r="P64" s="16"/>
      <c r="Q64" s="16"/>
      <c r="R64" s="16"/>
      <c r="S64" s="15"/>
      <c r="T64" s="15"/>
      <c r="U64" s="15"/>
    </row>
    <row r="65" spans="3:21" x14ac:dyDescent="0.3">
      <c r="C65" s="16"/>
      <c r="D65" s="16"/>
      <c r="E65" s="16"/>
      <c r="F65" s="16"/>
      <c r="G65" s="16"/>
      <c r="H65" s="16"/>
      <c r="I65" s="16"/>
      <c r="J65" s="16"/>
      <c r="K65" s="16"/>
      <c r="L65" s="16"/>
      <c r="M65" s="16"/>
      <c r="N65" s="16"/>
      <c r="O65" s="16"/>
      <c r="P65" s="16"/>
      <c r="Q65" s="16"/>
      <c r="R65" s="16"/>
      <c r="S65" s="15"/>
      <c r="T65" s="15"/>
      <c r="U65" s="15"/>
    </row>
    <row r="66" spans="3:21" x14ac:dyDescent="0.3">
      <c r="C66" s="16"/>
      <c r="D66" s="16"/>
      <c r="E66" s="16"/>
      <c r="F66" s="16"/>
      <c r="G66" s="16"/>
      <c r="H66" s="16"/>
      <c r="I66" s="16"/>
      <c r="J66" s="16"/>
      <c r="K66" s="16"/>
      <c r="L66" s="16"/>
      <c r="M66" s="16"/>
      <c r="N66" s="16"/>
      <c r="O66" s="16"/>
      <c r="P66" s="16"/>
      <c r="Q66" s="16"/>
      <c r="R66" s="16"/>
      <c r="S66" s="15"/>
      <c r="T66" s="15"/>
      <c r="U66" s="15"/>
    </row>
    <row r="67" spans="3:21" x14ac:dyDescent="0.3">
      <c r="C67" s="16"/>
      <c r="D67" s="16"/>
      <c r="E67" s="16"/>
      <c r="F67" s="16"/>
      <c r="G67" s="16"/>
      <c r="H67" s="16"/>
      <c r="I67" s="16"/>
      <c r="J67" s="16"/>
      <c r="K67" s="16"/>
      <c r="L67" s="16"/>
      <c r="M67" s="16"/>
      <c r="N67" s="16"/>
      <c r="O67" s="16"/>
      <c r="P67" s="16"/>
      <c r="Q67" s="16"/>
      <c r="R67" s="16"/>
      <c r="S67" s="15"/>
      <c r="T67" s="15"/>
      <c r="U67" s="15"/>
    </row>
    <row r="68" spans="3:21" x14ac:dyDescent="0.3">
      <c r="C68" s="16"/>
      <c r="D68" s="16"/>
      <c r="E68" s="16"/>
      <c r="F68" s="16"/>
      <c r="G68" s="16"/>
      <c r="H68" s="16"/>
      <c r="I68" s="16"/>
      <c r="J68" s="16"/>
      <c r="K68" s="16"/>
      <c r="L68" s="16"/>
      <c r="M68" s="16"/>
      <c r="N68" s="16"/>
      <c r="O68" s="16"/>
      <c r="P68" s="16"/>
      <c r="Q68" s="16"/>
      <c r="R68" s="16"/>
      <c r="S68" s="15"/>
      <c r="T68" s="15"/>
      <c r="U68" s="15"/>
    </row>
    <row r="69" spans="3:21" x14ac:dyDescent="0.3">
      <c r="C69" s="16"/>
      <c r="D69" s="16"/>
      <c r="E69" s="16"/>
      <c r="F69" s="16"/>
      <c r="G69" s="16"/>
      <c r="H69" s="16"/>
      <c r="I69" s="16"/>
      <c r="J69" s="16"/>
      <c r="K69" s="16"/>
      <c r="L69" s="16"/>
      <c r="M69" s="16"/>
      <c r="N69" s="16"/>
      <c r="O69" s="16"/>
      <c r="P69" s="16"/>
      <c r="Q69" s="16"/>
      <c r="R69" s="16"/>
      <c r="S69" s="15"/>
      <c r="T69" s="15"/>
      <c r="U69" s="15"/>
    </row>
    <row r="70" spans="3:21" x14ac:dyDescent="0.3">
      <c r="C70" s="16"/>
      <c r="D70" s="16"/>
      <c r="E70" s="16"/>
      <c r="F70" s="16"/>
      <c r="G70" s="16"/>
      <c r="H70" s="16"/>
      <c r="I70" s="16"/>
      <c r="J70" s="16"/>
      <c r="K70" s="16"/>
      <c r="L70" s="16"/>
      <c r="M70" s="16"/>
      <c r="N70" s="16"/>
      <c r="O70" s="16"/>
      <c r="P70" s="16"/>
      <c r="Q70" s="16"/>
      <c r="R70" s="16"/>
      <c r="S70" s="15"/>
      <c r="T70" s="15"/>
      <c r="U70" s="15"/>
    </row>
    <row r="71" spans="3:21" x14ac:dyDescent="0.3">
      <c r="C71" s="16"/>
      <c r="D71" s="16"/>
      <c r="E71" s="16"/>
      <c r="F71" s="16"/>
      <c r="G71" s="16"/>
      <c r="H71" s="16"/>
      <c r="I71" s="16"/>
      <c r="J71" s="16"/>
      <c r="K71" s="16"/>
      <c r="L71" s="16"/>
      <c r="M71" s="16"/>
      <c r="N71" s="16"/>
      <c r="O71" s="16"/>
      <c r="P71" s="16"/>
      <c r="Q71" s="16"/>
      <c r="R71" s="16"/>
      <c r="S71" s="15"/>
      <c r="T71" s="15"/>
      <c r="U71" s="15"/>
    </row>
    <row r="72" spans="3:21" x14ac:dyDescent="0.3">
      <c r="C72" s="16"/>
      <c r="D72" s="16"/>
      <c r="E72" s="16"/>
      <c r="F72" s="16"/>
      <c r="G72" s="16"/>
      <c r="H72" s="16"/>
      <c r="I72" s="16"/>
      <c r="J72" s="16"/>
      <c r="K72" s="16"/>
      <c r="L72" s="16"/>
      <c r="M72" s="16"/>
      <c r="N72" s="16"/>
      <c r="O72" s="16"/>
      <c r="P72" s="16"/>
      <c r="Q72" s="16"/>
      <c r="R72" s="16"/>
      <c r="S72" s="15"/>
      <c r="T72" s="15"/>
      <c r="U72" s="15"/>
    </row>
    <row r="73" spans="3:21" x14ac:dyDescent="0.3">
      <c r="C73" s="16"/>
      <c r="D73" s="16"/>
      <c r="E73" s="16"/>
      <c r="F73" s="16"/>
      <c r="G73" s="16"/>
      <c r="H73" s="16"/>
      <c r="I73" s="16"/>
      <c r="J73" s="16"/>
      <c r="K73" s="16"/>
      <c r="L73" s="16"/>
      <c r="M73" s="16"/>
      <c r="N73" s="16"/>
      <c r="O73" s="16"/>
      <c r="P73" s="16"/>
      <c r="Q73" s="16"/>
      <c r="R73" s="16"/>
      <c r="S73" s="15"/>
      <c r="T73" s="15"/>
      <c r="U73" s="15"/>
    </row>
    <row r="74" spans="3:21" x14ac:dyDescent="0.3">
      <c r="C74" s="16"/>
      <c r="D74" s="16"/>
      <c r="E74" s="16"/>
      <c r="F74" s="16"/>
      <c r="G74" s="16"/>
      <c r="H74" s="16"/>
      <c r="I74" s="16"/>
      <c r="J74" s="16"/>
      <c r="K74" s="16"/>
      <c r="L74" s="16"/>
      <c r="M74" s="16"/>
      <c r="N74" s="16"/>
      <c r="O74" s="16"/>
      <c r="P74" s="16"/>
      <c r="Q74" s="16"/>
      <c r="R74" s="16"/>
      <c r="S74" s="15"/>
      <c r="T74" s="15"/>
      <c r="U74" s="15"/>
    </row>
    <row r="75" spans="3:21" x14ac:dyDescent="0.3">
      <c r="C75" s="16"/>
      <c r="D75" s="16"/>
      <c r="E75" s="16"/>
      <c r="F75" s="16"/>
      <c r="G75" s="16"/>
      <c r="H75" s="16"/>
      <c r="I75" s="16"/>
      <c r="J75" s="16"/>
      <c r="K75" s="16"/>
      <c r="L75" s="16"/>
      <c r="M75" s="16"/>
      <c r="N75" s="16"/>
      <c r="O75" s="16"/>
      <c r="P75" s="16"/>
      <c r="Q75" s="16"/>
      <c r="R75" s="16"/>
      <c r="S75" s="15"/>
      <c r="T75" s="15"/>
      <c r="U75" s="15"/>
    </row>
    <row r="76" spans="3:21" x14ac:dyDescent="0.3">
      <c r="C76" s="16"/>
      <c r="D76" s="16"/>
      <c r="E76" s="16"/>
      <c r="F76" s="16"/>
      <c r="G76" s="16"/>
      <c r="H76" s="16"/>
      <c r="I76" s="16"/>
      <c r="J76" s="16"/>
      <c r="K76" s="16"/>
      <c r="L76" s="16"/>
      <c r="M76" s="16"/>
      <c r="N76" s="16"/>
      <c r="O76" s="16"/>
      <c r="P76" s="16"/>
      <c r="Q76" s="16"/>
      <c r="R76" s="16"/>
      <c r="S76" s="15"/>
      <c r="T76" s="15"/>
      <c r="U76" s="15"/>
    </row>
    <row r="77" spans="3:21" x14ac:dyDescent="0.3">
      <c r="C77" s="16"/>
      <c r="D77" s="16"/>
      <c r="E77" s="16"/>
      <c r="F77" s="16"/>
      <c r="G77" s="16"/>
      <c r="H77" s="16"/>
      <c r="I77" s="16"/>
      <c r="J77" s="16"/>
      <c r="K77" s="16"/>
      <c r="L77" s="16"/>
      <c r="M77" s="16"/>
      <c r="N77" s="16"/>
      <c r="O77" s="16"/>
      <c r="P77" s="16"/>
      <c r="Q77" s="16"/>
      <c r="R77" s="16"/>
      <c r="S77" s="15"/>
      <c r="T77" s="15"/>
      <c r="U77" s="15"/>
    </row>
    <row r="78" spans="3:21" x14ac:dyDescent="0.3">
      <c r="C78" s="14"/>
      <c r="D78" s="14"/>
      <c r="E78" s="14"/>
      <c r="F78" s="14"/>
      <c r="G78" s="14"/>
      <c r="H78" s="14"/>
      <c r="I78" s="14"/>
      <c r="J78" s="14"/>
      <c r="K78" s="14"/>
      <c r="L78" s="14"/>
      <c r="M78" s="14"/>
      <c r="N78" s="14"/>
      <c r="O78" s="14"/>
      <c r="P78" s="14"/>
      <c r="Q78" s="14"/>
      <c r="R78" s="14"/>
    </row>
    <row r="79" spans="3:21" x14ac:dyDescent="0.3">
      <c r="C79" s="14"/>
      <c r="D79" s="14"/>
      <c r="E79" s="14"/>
      <c r="F79" s="14"/>
      <c r="G79" s="14"/>
      <c r="H79" s="14"/>
      <c r="I79" s="14"/>
      <c r="J79" s="14"/>
      <c r="K79" s="14"/>
      <c r="L79" s="14"/>
      <c r="M79" s="14"/>
      <c r="N79" s="14"/>
      <c r="O79" s="14"/>
      <c r="P79" s="14"/>
      <c r="Q79" s="14"/>
      <c r="R79" s="14"/>
    </row>
    <row r="80" spans="3:21" x14ac:dyDescent="0.3">
      <c r="C80" s="14"/>
      <c r="D80" s="14"/>
      <c r="E80" s="14"/>
      <c r="F80" s="14"/>
      <c r="G80" s="14"/>
      <c r="H80" s="14"/>
      <c r="I80" s="14"/>
      <c r="J80" s="14"/>
      <c r="K80" s="14"/>
      <c r="L80" s="14"/>
      <c r="M80" s="14"/>
      <c r="N80" s="14"/>
      <c r="O80" s="14"/>
      <c r="P80" s="14"/>
      <c r="Q80" s="14"/>
      <c r="R80" s="14"/>
    </row>
    <row r="81" spans="3:18" x14ac:dyDescent="0.3">
      <c r="C81" s="14"/>
      <c r="D81" s="14"/>
      <c r="E81" s="14"/>
      <c r="F81" s="14"/>
      <c r="G81" s="14"/>
      <c r="H81" s="14"/>
      <c r="I81" s="14"/>
      <c r="J81" s="14"/>
      <c r="K81" s="14"/>
      <c r="L81" s="14"/>
      <c r="M81" s="14"/>
      <c r="N81" s="14"/>
      <c r="O81" s="14"/>
      <c r="P81" s="14"/>
      <c r="Q81" s="14"/>
      <c r="R81" s="14"/>
    </row>
    <row r="82" spans="3:18" x14ac:dyDescent="0.3">
      <c r="C82" s="14"/>
      <c r="D82" s="14"/>
      <c r="E82" s="14"/>
      <c r="F82" s="14"/>
      <c r="G82" s="14"/>
      <c r="H82" s="14"/>
      <c r="I82" s="14"/>
      <c r="J82" s="14"/>
      <c r="K82" s="14"/>
      <c r="L82" s="14"/>
      <c r="M82" s="14"/>
      <c r="N82" s="14"/>
      <c r="O82" s="14"/>
      <c r="P82" s="14"/>
      <c r="Q82" s="14"/>
      <c r="R82" s="14"/>
    </row>
    <row r="83" spans="3:18" x14ac:dyDescent="0.3">
      <c r="C83" s="14"/>
      <c r="D83" s="14"/>
      <c r="E83" s="14"/>
      <c r="F83" s="14"/>
      <c r="G83" s="14"/>
      <c r="H83" s="14"/>
      <c r="I83" s="14"/>
      <c r="J83" s="14"/>
      <c r="K83" s="14"/>
      <c r="L83" s="14"/>
      <c r="M83" s="14"/>
      <c r="N83" s="14"/>
      <c r="O83" s="14"/>
      <c r="P83" s="14"/>
      <c r="Q83" s="14"/>
      <c r="R83" s="14"/>
    </row>
    <row r="84" spans="3:18" x14ac:dyDescent="0.3">
      <c r="C84" s="14"/>
      <c r="D84" s="14"/>
      <c r="E84" s="14"/>
      <c r="F84" s="14"/>
      <c r="G84" s="14"/>
      <c r="H84" s="14"/>
      <c r="I84" s="14"/>
      <c r="J84" s="14"/>
      <c r="K84" s="14"/>
      <c r="L84" s="14"/>
      <c r="M84" s="14"/>
      <c r="N84" s="14"/>
      <c r="O84" s="14"/>
      <c r="P84" s="14"/>
      <c r="Q84" s="14"/>
      <c r="R84" s="14"/>
    </row>
    <row r="85" spans="3:18" x14ac:dyDescent="0.3">
      <c r="C85" s="14"/>
      <c r="D85" s="14"/>
      <c r="E85" s="14"/>
      <c r="F85" s="14"/>
      <c r="G85" s="14"/>
      <c r="H85" s="14"/>
      <c r="I85" s="14"/>
      <c r="J85" s="14"/>
      <c r="K85" s="14"/>
      <c r="L85" s="14"/>
      <c r="M85" s="14"/>
      <c r="N85" s="14"/>
      <c r="O85" s="14"/>
      <c r="P85" s="14"/>
      <c r="Q85" s="14"/>
      <c r="R85" s="14"/>
    </row>
    <row r="86" spans="3:18" x14ac:dyDescent="0.3">
      <c r="C86" s="14"/>
      <c r="D86" s="14"/>
      <c r="E86" s="14"/>
      <c r="F86" s="14"/>
      <c r="G86" s="14"/>
      <c r="H86" s="14"/>
      <c r="I86" s="14"/>
      <c r="J86" s="14"/>
      <c r="K86" s="14"/>
      <c r="L86" s="14"/>
      <c r="M86" s="14"/>
      <c r="N86" s="14"/>
      <c r="O86" s="14"/>
      <c r="P86" s="14"/>
      <c r="Q86" s="14"/>
      <c r="R86" s="14"/>
    </row>
    <row r="87" spans="3:18" x14ac:dyDescent="0.3">
      <c r="C87" s="14"/>
      <c r="D87" s="14"/>
      <c r="E87" s="14"/>
      <c r="F87" s="14"/>
      <c r="G87" s="14"/>
      <c r="H87" s="14"/>
      <c r="I87" s="14"/>
      <c r="J87" s="14"/>
      <c r="K87" s="14"/>
      <c r="L87" s="14"/>
      <c r="M87" s="14"/>
      <c r="N87" s="14"/>
      <c r="O87" s="14"/>
      <c r="P87" s="14"/>
      <c r="Q87" s="14"/>
      <c r="R87" s="14"/>
    </row>
    <row r="88" spans="3:18" x14ac:dyDescent="0.3">
      <c r="C88" s="14"/>
      <c r="D88" s="14"/>
      <c r="E88" s="14"/>
      <c r="F88" s="14"/>
      <c r="G88" s="14"/>
      <c r="H88" s="14"/>
      <c r="I88" s="14"/>
      <c r="J88" s="14"/>
      <c r="K88" s="14"/>
      <c r="L88" s="14"/>
      <c r="M88" s="14"/>
      <c r="N88" s="14"/>
      <c r="O88" s="14"/>
      <c r="P88" s="14"/>
      <c r="Q88" s="14"/>
      <c r="R88" s="14"/>
    </row>
    <row r="89" spans="3:18" x14ac:dyDescent="0.3">
      <c r="C89" s="14"/>
      <c r="D89" s="14"/>
      <c r="E89" s="14"/>
      <c r="F89" s="14"/>
      <c r="G89" s="14"/>
      <c r="H89" s="14"/>
      <c r="I89" s="14"/>
      <c r="J89" s="14"/>
      <c r="K89" s="14"/>
      <c r="L89" s="14"/>
      <c r="M89" s="14"/>
      <c r="N89" s="14"/>
      <c r="O89" s="14"/>
      <c r="P89" s="14"/>
      <c r="Q89" s="14"/>
      <c r="R89" s="14"/>
    </row>
    <row r="90" spans="3:18" x14ac:dyDescent="0.3">
      <c r="C90" s="14"/>
      <c r="D90" s="14"/>
      <c r="E90" s="14"/>
      <c r="F90" s="14"/>
      <c r="G90" s="14"/>
      <c r="H90" s="14"/>
      <c r="I90" s="14"/>
      <c r="J90" s="14"/>
      <c r="K90" s="14"/>
      <c r="L90" s="14"/>
      <c r="M90" s="14"/>
      <c r="N90" s="14"/>
      <c r="O90" s="14"/>
      <c r="P90" s="14"/>
      <c r="Q90" s="14"/>
      <c r="R90" s="14"/>
    </row>
    <row r="91" spans="3:18" x14ac:dyDescent="0.3">
      <c r="C91" s="14"/>
      <c r="D91" s="14"/>
      <c r="E91" s="14"/>
      <c r="F91" s="14"/>
      <c r="G91" s="14"/>
      <c r="H91" s="14"/>
      <c r="I91" s="14"/>
      <c r="J91" s="14"/>
      <c r="K91" s="14"/>
      <c r="L91" s="14"/>
      <c r="M91" s="14"/>
      <c r="N91" s="14"/>
      <c r="O91" s="14"/>
      <c r="P91" s="14"/>
      <c r="Q91" s="14"/>
      <c r="R91" s="14"/>
    </row>
    <row r="92" spans="3:18" x14ac:dyDescent="0.3">
      <c r="C92" s="14"/>
      <c r="D92" s="14"/>
      <c r="E92" s="14"/>
      <c r="F92" s="14"/>
      <c r="G92" s="14"/>
      <c r="H92" s="14"/>
      <c r="I92" s="14"/>
      <c r="J92" s="14"/>
      <c r="K92" s="14"/>
      <c r="L92" s="14"/>
      <c r="M92" s="14"/>
      <c r="N92" s="14"/>
      <c r="O92" s="14"/>
      <c r="P92" s="14"/>
      <c r="Q92" s="14"/>
      <c r="R92" s="14"/>
    </row>
    <row r="93" spans="3:18" x14ac:dyDescent="0.3">
      <c r="C93" s="14"/>
      <c r="D93" s="14"/>
      <c r="E93" s="14"/>
      <c r="F93" s="14"/>
      <c r="G93" s="14"/>
      <c r="H93" s="14"/>
      <c r="I93" s="14"/>
      <c r="J93" s="14"/>
      <c r="K93" s="14"/>
      <c r="L93" s="14"/>
      <c r="M93" s="14"/>
      <c r="N93" s="14"/>
      <c r="O93" s="14"/>
      <c r="P93" s="14"/>
      <c r="Q93" s="14"/>
      <c r="R93" s="14"/>
    </row>
    <row r="94" spans="3:18" x14ac:dyDescent="0.3">
      <c r="C94" s="14"/>
      <c r="D94" s="14"/>
      <c r="E94" s="14"/>
      <c r="F94" s="14"/>
      <c r="G94" s="14"/>
      <c r="H94" s="14"/>
      <c r="I94" s="14"/>
      <c r="J94" s="14"/>
      <c r="K94" s="14"/>
      <c r="L94" s="14"/>
      <c r="M94" s="14"/>
      <c r="N94" s="14"/>
      <c r="O94" s="14"/>
      <c r="P94" s="14"/>
      <c r="Q94" s="14"/>
      <c r="R94" s="14"/>
    </row>
    <row r="95" spans="3:18" x14ac:dyDescent="0.3">
      <c r="C95" s="14"/>
      <c r="D95" s="14"/>
      <c r="E95" s="14"/>
      <c r="F95" s="14"/>
      <c r="G95" s="14"/>
      <c r="H95" s="14"/>
      <c r="I95" s="14"/>
      <c r="J95" s="14"/>
      <c r="K95" s="14"/>
      <c r="L95" s="14"/>
      <c r="M95" s="14"/>
      <c r="N95" s="14"/>
      <c r="O95" s="14"/>
      <c r="P95" s="14"/>
      <c r="Q95" s="14"/>
      <c r="R95" s="14"/>
    </row>
    <row r="96" spans="3:18" x14ac:dyDescent="0.3">
      <c r="C96" s="14"/>
      <c r="D96" s="14"/>
      <c r="E96" s="14"/>
      <c r="F96" s="14"/>
      <c r="G96" s="14"/>
      <c r="H96" s="14"/>
      <c r="I96" s="14"/>
      <c r="J96" s="14"/>
      <c r="K96" s="14"/>
      <c r="L96" s="14"/>
      <c r="M96" s="14"/>
      <c r="N96" s="14"/>
      <c r="O96" s="14"/>
      <c r="P96" s="14"/>
      <c r="Q96" s="14"/>
      <c r="R96" s="14"/>
    </row>
    <row r="97" spans="3:18" x14ac:dyDescent="0.3">
      <c r="C97" s="14"/>
      <c r="D97" s="14"/>
      <c r="E97" s="14"/>
      <c r="F97" s="14"/>
      <c r="G97" s="14"/>
      <c r="H97" s="14"/>
      <c r="I97" s="14"/>
      <c r="J97" s="14"/>
      <c r="K97" s="14"/>
      <c r="L97" s="14"/>
      <c r="M97" s="14"/>
      <c r="N97" s="14"/>
      <c r="O97" s="14"/>
      <c r="P97" s="14"/>
      <c r="Q97" s="14"/>
      <c r="R97" s="14"/>
    </row>
    <row r="98" spans="3:18" x14ac:dyDescent="0.3">
      <c r="C98" s="14"/>
      <c r="D98" s="14"/>
      <c r="E98" s="14"/>
      <c r="F98" s="14"/>
      <c r="G98" s="14"/>
      <c r="H98" s="14"/>
      <c r="I98" s="14"/>
      <c r="J98" s="14"/>
      <c r="K98" s="14"/>
      <c r="L98" s="14"/>
      <c r="M98" s="14"/>
      <c r="N98" s="14"/>
      <c r="O98" s="14"/>
      <c r="P98" s="14"/>
      <c r="Q98" s="14"/>
      <c r="R98" s="14"/>
    </row>
    <row r="99" spans="3:18" x14ac:dyDescent="0.3">
      <c r="C99" s="14"/>
      <c r="D99" s="14"/>
      <c r="E99" s="14"/>
      <c r="F99" s="14"/>
      <c r="G99" s="14"/>
      <c r="H99" s="14"/>
      <c r="I99" s="14"/>
      <c r="J99" s="14"/>
      <c r="K99" s="14"/>
      <c r="L99" s="14"/>
      <c r="M99" s="14"/>
      <c r="N99" s="14"/>
      <c r="O99" s="14"/>
      <c r="P99" s="14"/>
      <c r="Q99" s="14"/>
      <c r="R99" s="14"/>
    </row>
    <row r="100" spans="3:18" x14ac:dyDescent="0.3">
      <c r="C100" s="14"/>
      <c r="D100" s="14"/>
      <c r="E100" s="14"/>
      <c r="F100" s="14"/>
      <c r="G100" s="14"/>
      <c r="H100" s="14"/>
      <c r="I100" s="14"/>
      <c r="J100" s="14"/>
      <c r="K100" s="14"/>
      <c r="L100" s="14"/>
      <c r="M100" s="14"/>
      <c r="N100" s="14"/>
      <c r="O100" s="14"/>
      <c r="P100" s="14"/>
      <c r="Q100" s="14"/>
      <c r="R100" s="14"/>
    </row>
    <row r="101" spans="3:18" x14ac:dyDescent="0.3">
      <c r="C101" s="14"/>
      <c r="D101" s="14"/>
      <c r="E101" s="14"/>
      <c r="F101" s="14"/>
      <c r="G101" s="14"/>
      <c r="H101" s="14"/>
      <c r="I101" s="14"/>
      <c r="J101" s="14"/>
      <c r="K101" s="14"/>
      <c r="L101" s="14"/>
      <c r="M101" s="14"/>
      <c r="N101" s="14"/>
      <c r="O101" s="14"/>
      <c r="P101" s="14"/>
      <c r="Q101" s="14"/>
      <c r="R101" s="14"/>
    </row>
    <row r="102" spans="3:18" x14ac:dyDescent="0.3">
      <c r="C102" s="14"/>
      <c r="D102" s="14"/>
      <c r="E102" s="14"/>
      <c r="F102" s="14"/>
      <c r="G102" s="14"/>
      <c r="H102" s="14"/>
      <c r="I102" s="14"/>
      <c r="J102" s="14"/>
      <c r="K102" s="14"/>
      <c r="L102" s="14"/>
      <c r="M102" s="14"/>
      <c r="N102" s="14"/>
      <c r="O102" s="14"/>
      <c r="P102" s="14"/>
      <c r="Q102" s="14"/>
      <c r="R102" s="14"/>
    </row>
    <row r="103" spans="3:18" x14ac:dyDescent="0.3">
      <c r="C103" s="14"/>
      <c r="D103" s="14"/>
      <c r="E103" s="14"/>
      <c r="F103" s="14"/>
      <c r="G103" s="14"/>
      <c r="H103" s="14"/>
      <c r="I103" s="14"/>
      <c r="J103" s="14"/>
      <c r="K103" s="14"/>
      <c r="L103" s="14"/>
      <c r="M103" s="14"/>
      <c r="N103" s="14"/>
      <c r="O103" s="14"/>
      <c r="P103" s="14"/>
      <c r="Q103" s="14"/>
      <c r="R103" s="14"/>
    </row>
    <row r="104" spans="3:18" x14ac:dyDescent="0.3">
      <c r="C104" s="14"/>
      <c r="D104" s="14"/>
      <c r="E104" s="14"/>
      <c r="F104" s="14"/>
      <c r="G104" s="14"/>
      <c r="H104" s="14"/>
      <c r="I104" s="14"/>
      <c r="J104" s="14"/>
      <c r="K104" s="14"/>
      <c r="L104" s="14"/>
      <c r="M104" s="14"/>
      <c r="N104" s="14"/>
      <c r="O104" s="14"/>
      <c r="P104" s="14"/>
      <c r="Q104" s="14"/>
      <c r="R104" s="14"/>
    </row>
    <row r="105" spans="3:18" x14ac:dyDescent="0.3">
      <c r="C105" s="14"/>
      <c r="D105" s="14"/>
      <c r="E105" s="14"/>
      <c r="F105" s="14"/>
      <c r="G105" s="14"/>
      <c r="H105" s="14"/>
      <c r="I105" s="14"/>
      <c r="J105" s="14"/>
      <c r="K105" s="14"/>
      <c r="L105" s="14"/>
      <c r="M105" s="14"/>
      <c r="N105" s="14"/>
      <c r="O105" s="14"/>
      <c r="P105" s="14"/>
      <c r="Q105" s="14"/>
      <c r="R105" s="14"/>
    </row>
    <row r="106" spans="3:18" x14ac:dyDescent="0.3">
      <c r="C106" s="14"/>
      <c r="D106" s="14"/>
      <c r="E106" s="14"/>
      <c r="F106" s="14"/>
      <c r="G106" s="14"/>
      <c r="H106" s="14"/>
      <c r="I106" s="14"/>
      <c r="J106" s="14"/>
      <c r="K106" s="14"/>
      <c r="L106" s="14"/>
      <c r="M106" s="14"/>
      <c r="N106" s="14"/>
      <c r="O106" s="14"/>
      <c r="P106" s="14"/>
      <c r="Q106" s="14"/>
      <c r="R106" s="14"/>
    </row>
    <row r="107" spans="3:18" x14ac:dyDescent="0.3">
      <c r="C107" s="14"/>
      <c r="D107" s="14"/>
      <c r="E107" s="14"/>
      <c r="F107" s="14"/>
      <c r="G107" s="14"/>
      <c r="H107" s="14"/>
      <c r="I107" s="14"/>
      <c r="J107" s="14"/>
      <c r="K107" s="14"/>
      <c r="L107" s="14"/>
      <c r="M107" s="14"/>
      <c r="N107" s="14"/>
      <c r="O107" s="14"/>
      <c r="P107" s="14"/>
      <c r="Q107" s="14"/>
      <c r="R107" s="14"/>
    </row>
    <row r="108" spans="3:18" x14ac:dyDescent="0.3">
      <c r="C108" s="14"/>
      <c r="D108" s="14"/>
      <c r="E108" s="14"/>
      <c r="F108" s="14"/>
      <c r="G108" s="14"/>
      <c r="H108" s="14"/>
      <c r="I108" s="14"/>
      <c r="J108" s="14"/>
      <c r="K108" s="14"/>
      <c r="L108" s="14"/>
      <c r="M108" s="14"/>
      <c r="N108" s="14"/>
      <c r="O108" s="14"/>
      <c r="P108" s="14"/>
      <c r="Q108" s="14"/>
      <c r="R108" s="14"/>
    </row>
    <row r="109" spans="3:18" x14ac:dyDescent="0.3">
      <c r="C109" s="14"/>
      <c r="D109" s="14"/>
      <c r="E109" s="14"/>
      <c r="F109" s="14"/>
      <c r="G109" s="14"/>
      <c r="H109" s="14"/>
      <c r="I109" s="14"/>
      <c r="J109" s="14"/>
      <c r="K109" s="14"/>
      <c r="L109" s="14"/>
      <c r="M109" s="14"/>
      <c r="N109" s="14"/>
      <c r="O109" s="14"/>
      <c r="P109" s="14"/>
      <c r="Q109" s="14"/>
      <c r="R109" s="14"/>
    </row>
    <row r="110" spans="3:18" x14ac:dyDescent="0.3">
      <c r="C110" s="14"/>
      <c r="D110" s="14"/>
      <c r="E110" s="14"/>
      <c r="F110" s="14"/>
      <c r="G110" s="14"/>
      <c r="H110" s="14"/>
      <c r="I110" s="14"/>
      <c r="J110" s="14"/>
      <c r="K110" s="14"/>
      <c r="L110" s="14"/>
      <c r="M110" s="14"/>
      <c r="N110" s="14"/>
      <c r="O110" s="14"/>
      <c r="P110" s="14"/>
      <c r="Q110" s="14"/>
      <c r="R110" s="14"/>
    </row>
    <row r="111" spans="3:18" x14ac:dyDescent="0.3">
      <c r="C111" s="14"/>
      <c r="D111" s="14"/>
      <c r="E111" s="14"/>
      <c r="F111" s="14"/>
      <c r="G111" s="14"/>
      <c r="H111" s="14"/>
      <c r="I111" s="14"/>
      <c r="J111" s="14"/>
      <c r="K111" s="14"/>
      <c r="L111" s="14"/>
      <c r="M111" s="14"/>
      <c r="N111" s="14"/>
      <c r="O111" s="14"/>
      <c r="P111" s="14"/>
      <c r="Q111" s="14"/>
      <c r="R111" s="14"/>
    </row>
    <row r="112" spans="3:18" x14ac:dyDescent="0.3">
      <c r="C112" s="14"/>
      <c r="D112" s="14"/>
      <c r="E112" s="14"/>
      <c r="F112" s="14"/>
      <c r="G112" s="14"/>
      <c r="H112" s="14"/>
      <c r="I112" s="14"/>
      <c r="J112" s="14"/>
      <c r="K112" s="14"/>
      <c r="L112" s="14"/>
      <c r="M112" s="14"/>
      <c r="N112" s="14"/>
      <c r="O112" s="14"/>
      <c r="P112" s="14"/>
      <c r="Q112" s="14"/>
      <c r="R112" s="14"/>
    </row>
    <row r="113" spans="3:18" x14ac:dyDescent="0.3">
      <c r="C113" s="14"/>
      <c r="D113" s="14"/>
      <c r="E113" s="14"/>
      <c r="F113" s="14"/>
      <c r="G113" s="14"/>
      <c r="H113" s="14"/>
      <c r="I113" s="14"/>
      <c r="J113" s="14"/>
      <c r="K113" s="14"/>
      <c r="L113" s="14"/>
      <c r="M113" s="14"/>
      <c r="N113" s="14"/>
      <c r="O113" s="14"/>
      <c r="P113" s="14"/>
      <c r="Q113" s="14"/>
      <c r="R113" s="14"/>
    </row>
    <row r="114" spans="3:18" x14ac:dyDescent="0.3">
      <c r="C114" s="14"/>
      <c r="D114" s="14"/>
      <c r="E114" s="14"/>
      <c r="F114" s="14"/>
      <c r="G114" s="14"/>
      <c r="H114" s="14"/>
      <c r="I114" s="14"/>
      <c r="J114" s="14"/>
      <c r="K114" s="14"/>
      <c r="L114" s="14"/>
      <c r="M114" s="14"/>
      <c r="N114" s="14"/>
      <c r="O114" s="14"/>
      <c r="P114" s="14"/>
      <c r="Q114" s="14"/>
      <c r="R114" s="14"/>
    </row>
    <row r="115" spans="3:18" x14ac:dyDescent="0.3">
      <c r="C115" s="14"/>
      <c r="D115" s="14"/>
      <c r="E115" s="14"/>
      <c r="F115" s="14"/>
      <c r="G115" s="14"/>
      <c r="H115" s="14"/>
      <c r="I115" s="14"/>
      <c r="J115" s="14"/>
      <c r="K115" s="14"/>
      <c r="L115" s="14"/>
      <c r="M115" s="14"/>
      <c r="N115" s="14"/>
      <c r="O115" s="14"/>
      <c r="P115" s="14"/>
      <c r="Q115" s="14"/>
      <c r="R115" s="14"/>
    </row>
    <row r="116" spans="3:18" x14ac:dyDescent="0.3">
      <c r="C116" s="14"/>
      <c r="D116" s="14"/>
      <c r="E116" s="14"/>
      <c r="F116" s="14"/>
      <c r="G116" s="14"/>
      <c r="H116" s="14"/>
      <c r="I116" s="14"/>
      <c r="J116" s="14"/>
      <c r="K116" s="14"/>
      <c r="L116" s="14"/>
      <c r="M116" s="14"/>
      <c r="N116" s="14"/>
      <c r="O116" s="14"/>
      <c r="P116" s="14"/>
      <c r="Q116" s="14"/>
      <c r="R116" s="14"/>
    </row>
    <row r="117" spans="3:18" x14ac:dyDescent="0.3">
      <c r="C117" s="14"/>
      <c r="D117" s="14"/>
      <c r="E117" s="14"/>
      <c r="F117" s="14"/>
      <c r="G117" s="14"/>
      <c r="H117" s="14"/>
      <c r="I117" s="14"/>
      <c r="J117" s="14"/>
      <c r="K117" s="14"/>
      <c r="L117" s="14"/>
      <c r="M117" s="14"/>
      <c r="N117" s="14"/>
      <c r="O117" s="14"/>
      <c r="P117" s="14"/>
      <c r="Q117" s="14"/>
      <c r="R117" s="14"/>
    </row>
    <row r="118" spans="3:18" x14ac:dyDescent="0.3">
      <c r="C118" s="14"/>
      <c r="D118" s="14"/>
      <c r="E118" s="14"/>
      <c r="F118" s="14"/>
      <c r="G118" s="14"/>
      <c r="H118" s="14"/>
      <c r="I118" s="14"/>
      <c r="J118" s="14"/>
      <c r="K118" s="14"/>
      <c r="L118" s="14"/>
      <c r="M118" s="14"/>
      <c r="N118" s="14"/>
      <c r="O118" s="14"/>
      <c r="P118" s="14"/>
      <c r="Q118" s="14"/>
      <c r="R118" s="14"/>
    </row>
    <row r="119" spans="3:18" x14ac:dyDescent="0.3">
      <c r="C119" s="14"/>
      <c r="D119" s="14"/>
      <c r="E119" s="14"/>
      <c r="F119" s="14"/>
      <c r="G119" s="14"/>
      <c r="H119" s="14"/>
      <c r="I119" s="14"/>
      <c r="J119" s="14"/>
      <c r="K119" s="14"/>
      <c r="L119" s="14"/>
      <c r="M119" s="14"/>
      <c r="N119" s="14"/>
      <c r="O119" s="14"/>
      <c r="P119" s="14"/>
      <c r="Q119" s="14"/>
      <c r="R119" s="14"/>
    </row>
    <row r="120" spans="3:18" x14ac:dyDescent="0.3">
      <c r="C120" s="14"/>
      <c r="D120" s="14"/>
      <c r="E120" s="14"/>
      <c r="F120" s="14"/>
      <c r="G120" s="14"/>
      <c r="H120" s="14"/>
      <c r="I120" s="14"/>
      <c r="J120" s="14"/>
      <c r="K120" s="14"/>
      <c r="L120" s="14"/>
      <c r="M120" s="14"/>
      <c r="N120" s="14"/>
      <c r="O120" s="14"/>
      <c r="P120" s="14"/>
      <c r="Q120" s="14"/>
      <c r="R120" s="14"/>
    </row>
    <row r="121" spans="3:18" x14ac:dyDescent="0.3">
      <c r="C121" s="14"/>
      <c r="D121" s="14"/>
      <c r="E121" s="14"/>
      <c r="F121" s="14"/>
      <c r="G121" s="14"/>
      <c r="H121" s="14"/>
      <c r="I121" s="14"/>
      <c r="J121" s="14"/>
      <c r="K121" s="14"/>
      <c r="L121" s="14"/>
      <c r="M121" s="14"/>
      <c r="N121" s="14"/>
      <c r="O121" s="14"/>
      <c r="P121" s="14"/>
      <c r="Q121" s="14"/>
      <c r="R121" s="14"/>
    </row>
    <row r="122" spans="3:18" x14ac:dyDescent="0.3">
      <c r="C122" s="14"/>
      <c r="D122" s="14"/>
      <c r="E122" s="14"/>
      <c r="F122" s="14"/>
      <c r="G122" s="14"/>
      <c r="H122" s="14"/>
      <c r="I122" s="14"/>
      <c r="J122" s="14"/>
      <c r="K122" s="14"/>
      <c r="L122" s="14"/>
      <c r="M122" s="14"/>
      <c r="N122" s="14"/>
      <c r="O122" s="14"/>
      <c r="P122" s="14"/>
      <c r="Q122" s="14"/>
      <c r="R122" s="14"/>
    </row>
    <row r="123" spans="3:18" x14ac:dyDescent="0.3">
      <c r="C123" s="14"/>
      <c r="D123" s="14"/>
      <c r="E123" s="14"/>
      <c r="F123" s="14"/>
      <c r="G123" s="14"/>
      <c r="H123" s="14"/>
      <c r="I123" s="14"/>
      <c r="J123" s="14"/>
      <c r="K123" s="14"/>
      <c r="L123" s="14"/>
      <c r="M123" s="14"/>
      <c r="N123" s="14"/>
      <c r="O123" s="14"/>
      <c r="P123" s="14"/>
      <c r="Q123" s="14"/>
      <c r="R123" s="14"/>
    </row>
    <row r="124" spans="3:18" x14ac:dyDescent="0.3">
      <c r="C124" s="14"/>
      <c r="D124" s="14"/>
      <c r="E124" s="14"/>
      <c r="F124" s="14"/>
      <c r="G124" s="14"/>
      <c r="H124" s="14"/>
      <c r="I124" s="14"/>
      <c r="J124" s="14"/>
      <c r="K124" s="14"/>
      <c r="L124" s="14"/>
      <c r="M124" s="14"/>
      <c r="N124" s="14"/>
      <c r="O124" s="14"/>
      <c r="P124" s="14"/>
      <c r="Q124" s="14"/>
      <c r="R124" s="14"/>
    </row>
    <row r="125" spans="3:18" x14ac:dyDescent="0.3">
      <c r="C125" s="14"/>
      <c r="D125" s="14"/>
      <c r="E125" s="14"/>
      <c r="F125" s="14"/>
      <c r="G125" s="14"/>
      <c r="H125" s="14"/>
      <c r="I125" s="14"/>
      <c r="J125" s="14"/>
      <c r="K125" s="14"/>
      <c r="L125" s="14"/>
      <c r="M125" s="14"/>
      <c r="N125" s="14"/>
      <c r="O125" s="14"/>
      <c r="P125" s="14"/>
      <c r="Q125" s="14"/>
      <c r="R125" s="14"/>
    </row>
    <row r="126" spans="3:18" x14ac:dyDescent="0.3">
      <c r="C126" s="14"/>
      <c r="D126" s="14"/>
      <c r="E126" s="14"/>
      <c r="F126" s="14"/>
      <c r="G126" s="14"/>
      <c r="H126" s="14"/>
      <c r="I126" s="14"/>
      <c r="J126" s="14"/>
      <c r="K126" s="14"/>
      <c r="L126" s="14"/>
      <c r="M126" s="14"/>
      <c r="N126" s="14"/>
      <c r="O126" s="14"/>
      <c r="P126" s="14"/>
      <c r="Q126" s="14"/>
      <c r="R126" s="14"/>
    </row>
    <row r="127" spans="3:18" x14ac:dyDescent="0.3">
      <c r="C127" s="14"/>
      <c r="D127" s="14"/>
      <c r="E127" s="14"/>
      <c r="F127" s="14"/>
      <c r="G127" s="14"/>
      <c r="H127" s="14"/>
      <c r="I127" s="14"/>
      <c r="J127" s="14"/>
      <c r="K127" s="14"/>
      <c r="L127" s="14"/>
      <c r="M127" s="14"/>
      <c r="N127" s="14"/>
      <c r="O127" s="14"/>
      <c r="P127" s="14"/>
      <c r="Q127" s="14"/>
      <c r="R127" s="14"/>
    </row>
    <row r="128" spans="3:18" x14ac:dyDescent="0.3">
      <c r="C128" s="14"/>
      <c r="D128" s="14"/>
      <c r="E128" s="14"/>
      <c r="F128" s="14"/>
      <c r="G128" s="14"/>
      <c r="H128" s="14"/>
      <c r="I128" s="14"/>
      <c r="J128" s="14"/>
      <c r="K128" s="14"/>
      <c r="L128" s="14"/>
      <c r="M128" s="14"/>
      <c r="N128" s="14"/>
      <c r="O128" s="14"/>
      <c r="P128" s="14"/>
      <c r="Q128" s="14"/>
      <c r="R128" s="14"/>
    </row>
    <row r="129" spans="3:18" x14ac:dyDescent="0.3">
      <c r="C129" s="14"/>
      <c r="D129" s="14"/>
      <c r="E129" s="14"/>
      <c r="F129" s="14"/>
      <c r="G129" s="14"/>
      <c r="H129" s="14"/>
      <c r="I129" s="14"/>
      <c r="J129" s="14"/>
      <c r="K129" s="14"/>
      <c r="L129" s="14"/>
      <c r="M129" s="14"/>
      <c r="N129" s="14"/>
      <c r="O129" s="14"/>
      <c r="P129" s="14"/>
      <c r="Q129" s="14"/>
      <c r="R129" s="14"/>
    </row>
    <row r="130" spans="3:18" x14ac:dyDescent="0.3">
      <c r="C130" s="14"/>
      <c r="D130" s="14"/>
      <c r="E130" s="14"/>
      <c r="F130" s="14"/>
      <c r="G130" s="14"/>
      <c r="H130" s="14"/>
      <c r="I130" s="14"/>
      <c r="J130" s="14"/>
      <c r="K130" s="14"/>
      <c r="L130" s="14"/>
      <c r="M130" s="14"/>
      <c r="N130" s="14"/>
      <c r="O130" s="14"/>
      <c r="P130" s="14"/>
      <c r="Q130" s="14"/>
      <c r="R130" s="14"/>
    </row>
    <row r="131" spans="3:18" x14ac:dyDescent="0.3">
      <c r="C131" s="14"/>
      <c r="D131" s="14"/>
      <c r="E131" s="14"/>
      <c r="F131" s="14"/>
      <c r="G131" s="14"/>
      <c r="H131" s="14"/>
      <c r="I131" s="14"/>
      <c r="J131" s="14"/>
      <c r="K131" s="14"/>
      <c r="L131" s="14"/>
      <c r="M131" s="14"/>
      <c r="N131" s="14"/>
      <c r="O131" s="14"/>
      <c r="P131" s="14"/>
      <c r="Q131" s="14"/>
      <c r="R131" s="14"/>
    </row>
    <row r="132" spans="3:18" x14ac:dyDescent="0.3">
      <c r="C132" s="14"/>
      <c r="D132" s="14"/>
      <c r="E132" s="14"/>
      <c r="F132" s="14"/>
      <c r="G132" s="14"/>
      <c r="H132" s="14"/>
      <c r="I132" s="14"/>
      <c r="J132" s="14"/>
      <c r="K132" s="14"/>
      <c r="L132" s="14"/>
      <c r="M132" s="14"/>
      <c r="N132" s="14"/>
      <c r="O132" s="14"/>
      <c r="P132" s="14"/>
      <c r="Q132" s="14"/>
      <c r="R132" s="14"/>
    </row>
    <row r="133" spans="3:18" x14ac:dyDescent="0.3">
      <c r="C133" s="14"/>
      <c r="D133" s="14"/>
      <c r="E133" s="14"/>
      <c r="F133" s="14"/>
      <c r="G133" s="14"/>
      <c r="H133" s="14"/>
      <c r="I133" s="14"/>
      <c r="J133" s="14"/>
      <c r="K133" s="14"/>
      <c r="L133" s="14"/>
      <c r="M133" s="14"/>
      <c r="N133" s="14"/>
      <c r="O133" s="14"/>
      <c r="P133" s="14"/>
      <c r="Q133" s="14"/>
      <c r="R133" s="14"/>
    </row>
    <row r="134" spans="3:18" x14ac:dyDescent="0.3">
      <c r="C134" s="14"/>
      <c r="D134" s="14"/>
      <c r="E134" s="14"/>
      <c r="F134" s="14"/>
      <c r="G134" s="14"/>
      <c r="H134" s="14"/>
      <c r="I134" s="14"/>
      <c r="J134" s="14"/>
      <c r="K134" s="14"/>
      <c r="L134" s="14"/>
      <c r="M134" s="14"/>
      <c r="N134" s="14"/>
      <c r="O134" s="14"/>
      <c r="P134" s="14"/>
      <c r="Q134" s="14"/>
      <c r="R134" s="14"/>
    </row>
    <row r="135" spans="3:18" x14ac:dyDescent="0.3">
      <c r="C135" s="14"/>
      <c r="D135" s="14"/>
      <c r="E135" s="14"/>
      <c r="F135" s="14"/>
      <c r="G135" s="14"/>
      <c r="H135" s="14"/>
      <c r="I135" s="14"/>
      <c r="J135" s="14"/>
      <c r="K135" s="14"/>
      <c r="L135" s="14"/>
      <c r="M135" s="14"/>
      <c r="N135" s="14"/>
      <c r="O135" s="14"/>
      <c r="P135" s="14"/>
      <c r="Q135" s="14"/>
      <c r="R135" s="14"/>
    </row>
    <row r="136" spans="3:18" x14ac:dyDescent="0.3">
      <c r="C136" s="14"/>
      <c r="D136" s="14"/>
      <c r="E136" s="14"/>
      <c r="F136" s="14"/>
      <c r="G136" s="14"/>
      <c r="H136" s="14"/>
      <c r="I136" s="14"/>
      <c r="J136" s="14"/>
      <c r="K136" s="14"/>
      <c r="L136" s="14"/>
      <c r="M136" s="14"/>
      <c r="N136" s="14"/>
      <c r="O136" s="14"/>
      <c r="P136" s="14"/>
      <c r="Q136" s="14"/>
      <c r="R136" s="14"/>
    </row>
    <row r="137" spans="3:18" x14ac:dyDescent="0.3">
      <c r="C137" s="14"/>
      <c r="D137" s="14"/>
      <c r="E137" s="14"/>
      <c r="F137" s="14"/>
      <c r="G137" s="14"/>
      <c r="H137" s="14"/>
      <c r="I137" s="14"/>
      <c r="J137" s="14"/>
      <c r="K137" s="14"/>
      <c r="L137" s="14"/>
      <c r="M137" s="14"/>
      <c r="N137" s="14"/>
      <c r="O137" s="14"/>
      <c r="P137" s="14"/>
      <c r="Q137" s="14"/>
      <c r="R137" s="14"/>
    </row>
    <row r="138" spans="3:18" x14ac:dyDescent="0.3">
      <c r="C138" s="14"/>
      <c r="D138" s="14"/>
      <c r="E138" s="14"/>
      <c r="F138" s="14"/>
      <c r="G138" s="14"/>
      <c r="H138" s="14"/>
      <c r="I138" s="14"/>
      <c r="J138" s="14"/>
      <c r="K138" s="14"/>
      <c r="L138" s="14"/>
      <c r="M138" s="14"/>
      <c r="N138" s="14"/>
      <c r="O138" s="14"/>
      <c r="P138" s="14"/>
      <c r="Q138" s="14"/>
      <c r="R138" s="14"/>
    </row>
    <row r="139" spans="3:18" x14ac:dyDescent="0.3">
      <c r="C139" s="14"/>
      <c r="D139" s="14"/>
      <c r="E139" s="14"/>
      <c r="F139" s="14"/>
      <c r="G139" s="14"/>
      <c r="H139" s="14"/>
      <c r="I139" s="14"/>
      <c r="J139" s="14"/>
      <c r="K139" s="14"/>
      <c r="L139" s="14"/>
      <c r="M139" s="14"/>
      <c r="N139" s="14"/>
      <c r="O139" s="14"/>
      <c r="P139" s="14"/>
      <c r="Q139" s="14"/>
      <c r="R139" s="14"/>
    </row>
    <row r="140" spans="3:18" x14ac:dyDescent="0.3">
      <c r="C140" s="14"/>
      <c r="D140" s="14"/>
      <c r="E140" s="14"/>
      <c r="F140" s="14"/>
      <c r="G140" s="14"/>
      <c r="H140" s="14"/>
      <c r="I140" s="14"/>
      <c r="J140" s="14"/>
      <c r="K140" s="14"/>
      <c r="L140" s="14"/>
      <c r="M140" s="14"/>
      <c r="N140" s="14"/>
      <c r="O140" s="14"/>
      <c r="P140" s="14"/>
      <c r="Q140" s="14"/>
      <c r="R140" s="14"/>
    </row>
    <row r="141" spans="3:18" x14ac:dyDescent="0.3">
      <c r="C141" s="14"/>
      <c r="D141" s="14"/>
      <c r="E141" s="14"/>
      <c r="F141" s="14"/>
      <c r="G141" s="14"/>
      <c r="H141" s="14"/>
      <c r="I141" s="14"/>
      <c r="J141" s="14"/>
      <c r="K141" s="14"/>
      <c r="L141" s="14"/>
      <c r="M141" s="14"/>
      <c r="N141" s="14"/>
      <c r="O141" s="14"/>
      <c r="P141" s="14"/>
      <c r="Q141" s="14"/>
      <c r="R141" s="14"/>
    </row>
    <row r="142" spans="3:18" x14ac:dyDescent="0.3">
      <c r="C142" s="14"/>
      <c r="D142" s="14"/>
      <c r="E142" s="14"/>
      <c r="F142" s="14"/>
      <c r="G142" s="14"/>
      <c r="H142" s="14"/>
      <c r="I142" s="14"/>
      <c r="J142" s="14"/>
      <c r="K142" s="14"/>
      <c r="L142" s="14"/>
      <c r="M142" s="14"/>
      <c r="N142" s="14"/>
      <c r="O142" s="14"/>
      <c r="P142" s="14"/>
      <c r="Q142" s="14"/>
      <c r="R142" s="14"/>
    </row>
    <row r="143" spans="3:18" x14ac:dyDescent="0.3">
      <c r="C143" s="14"/>
      <c r="D143" s="14"/>
      <c r="E143" s="14"/>
      <c r="F143" s="14"/>
      <c r="G143" s="14"/>
      <c r="H143" s="14"/>
      <c r="I143" s="14"/>
      <c r="J143" s="14"/>
      <c r="K143" s="14"/>
      <c r="L143" s="14"/>
      <c r="M143" s="14"/>
      <c r="N143" s="14"/>
      <c r="O143" s="14"/>
      <c r="P143" s="14"/>
      <c r="Q143" s="14"/>
      <c r="R143" s="14"/>
    </row>
    <row r="144" spans="3:18" x14ac:dyDescent="0.3">
      <c r="C144" s="14"/>
      <c r="D144" s="14"/>
      <c r="E144" s="14"/>
      <c r="F144" s="14"/>
      <c r="G144" s="14"/>
      <c r="H144" s="14"/>
      <c r="I144" s="14"/>
      <c r="J144" s="14"/>
      <c r="K144" s="14"/>
      <c r="L144" s="14"/>
      <c r="M144" s="14"/>
      <c r="N144" s="14"/>
      <c r="O144" s="14"/>
      <c r="P144" s="14"/>
      <c r="Q144" s="14"/>
      <c r="R144" s="14"/>
    </row>
    <row r="145" spans="3:18" x14ac:dyDescent="0.3">
      <c r="C145" s="14"/>
      <c r="D145" s="14"/>
      <c r="E145" s="14"/>
      <c r="F145" s="14"/>
      <c r="G145" s="14"/>
      <c r="H145" s="14"/>
      <c r="I145" s="14"/>
      <c r="J145" s="14"/>
      <c r="K145" s="14"/>
      <c r="L145" s="14"/>
      <c r="M145" s="14"/>
      <c r="N145" s="14"/>
      <c r="O145" s="14"/>
      <c r="P145" s="14"/>
      <c r="Q145" s="14"/>
      <c r="R145" s="14"/>
    </row>
    <row r="146" spans="3:18" x14ac:dyDescent="0.3">
      <c r="C146" s="14"/>
      <c r="D146" s="14"/>
      <c r="E146" s="14"/>
      <c r="F146" s="14"/>
      <c r="G146" s="14"/>
      <c r="H146" s="14"/>
      <c r="I146" s="14"/>
      <c r="J146" s="14"/>
      <c r="K146" s="14"/>
      <c r="L146" s="14"/>
      <c r="M146" s="14"/>
      <c r="N146" s="14"/>
      <c r="O146" s="14"/>
      <c r="P146" s="14"/>
      <c r="Q146" s="14"/>
      <c r="R146" s="14"/>
    </row>
    <row r="147" spans="3:18" x14ac:dyDescent="0.3">
      <c r="C147" s="14"/>
      <c r="D147" s="14"/>
      <c r="E147" s="14"/>
      <c r="F147" s="14"/>
      <c r="G147" s="14"/>
      <c r="H147" s="14"/>
      <c r="I147" s="14"/>
      <c r="J147" s="14"/>
      <c r="K147" s="14"/>
      <c r="L147" s="14"/>
      <c r="M147" s="14"/>
      <c r="N147" s="14"/>
      <c r="O147" s="14"/>
      <c r="P147" s="14"/>
      <c r="Q147" s="14"/>
      <c r="R147" s="14"/>
    </row>
    <row r="148" spans="3:18" x14ac:dyDescent="0.3">
      <c r="C148" s="14"/>
      <c r="D148" s="14"/>
      <c r="E148" s="14"/>
      <c r="F148" s="14"/>
      <c r="G148" s="14"/>
      <c r="H148" s="14"/>
      <c r="I148" s="14"/>
      <c r="J148" s="14"/>
      <c r="K148" s="14"/>
      <c r="L148" s="14"/>
      <c r="M148" s="14"/>
      <c r="N148" s="14"/>
      <c r="O148" s="14"/>
      <c r="P148" s="14"/>
      <c r="Q148" s="14"/>
      <c r="R148" s="14"/>
    </row>
    <row r="149" spans="3:18" x14ac:dyDescent="0.3">
      <c r="C149" s="14"/>
      <c r="D149" s="14"/>
      <c r="E149" s="14"/>
      <c r="F149" s="14"/>
      <c r="G149" s="14"/>
      <c r="H149" s="14"/>
      <c r="I149" s="14"/>
      <c r="J149" s="14"/>
      <c r="K149" s="14"/>
      <c r="L149" s="14"/>
      <c r="M149" s="14"/>
      <c r="N149" s="14"/>
      <c r="O149" s="14"/>
      <c r="P149" s="14"/>
      <c r="Q149" s="14"/>
      <c r="R149" s="14"/>
    </row>
    <row r="150" spans="3:18" x14ac:dyDescent="0.3">
      <c r="C150" s="14"/>
      <c r="D150" s="14"/>
      <c r="E150" s="14"/>
      <c r="F150" s="14"/>
      <c r="G150" s="14"/>
      <c r="H150" s="14"/>
      <c r="I150" s="14"/>
      <c r="J150" s="14"/>
      <c r="K150" s="14"/>
      <c r="L150" s="14"/>
      <c r="M150" s="14"/>
      <c r="N150" s="14"/>
      <c r="O150" s="14"/>
      <c r="P150" s="14"/>
      <c r="Q150" s="14"/>
      <c r="R150" s="14"/>
    </row>
    <row r="151" spans="3:18" x14ac:dyDescent="0.3">
      <c r="C151" s="14"/>
      <c r="D151" s="14"/>
      <c r="E151" s="14"/>
      <c r="F151" s="14"/>
      <c r="G151" s="14"/>
      <c r="H151" s="14"/>
      <c r="I151" s="14"/>
      <c r="J151" s="14"/>
      <c r="K151" s="14"/>
      <c r="L151" s="14"/>
      <c r="M151" s="14"/>
      <c r="N151" s="14"/>
      <c r="O151" s="14"/>
      <c r="P151" s="14"/>
      <c r="Q151" s="14"/>
      <c r="R151" s="14"/>
    </row>
    <row r="152" spans="3:18" x14ac:dyDescent="0.3">
      <c r="C152" s="14"/>
      <c r="D152" s="14"/>
      <c r="E152" s="14"/>
      <c r="F152" s="14"/>
      <c r="G152" s="14"/>
      <c r="H152" s="14"/>
      <c r="I152" s="14"/>
      <c r="J152" s="14"/>
      <c r="K152" s="14"/>
      <c r="L152" s="14"/>
      <c r="M152" s="14"/>
      <c r="N152" s="14"/>
      <c r="O152" s="14"/>
      <c r="P152" s="14"/>
      <c r="Q152" s="14"/>
      <c r="R152" s="14"/>
    </row>
    <row r="153" spans="3:18" x14ac:dyDescent="0.3">
      <c r="C153" s="14"/>
      <c r="D153" s="14"/>
      <c r="E153" s="14"/>
      <c r="F153" s="14"/>
      <c r="G153" s="14"/>
      <c r="H153" s="14"/>
      <c r="I153" s="14"/>
      <c r="J153" s="14"/>
      <c r="K153" s="14"/>
      <c r="L153" s="14"/>
      <c r="M153" s="14"/>
      <c r="N153" s="14"/>
      <c r="O153" s="14"/>
      <c r="P153" s="14"/>
      <c r="Q153" s="14"/>
      <c r="R153" s="14"/>
    </row>
    <row r="154" spans="3:18" x14ac:dyDescent="0.3">
      <c r="C154" s="14"/>
      <c r="D154" s="14"/>
      <c r="E154" s="14"/>
      <c r="F154" s="14"/>
      <c r="G154" s="14"/>
      <c r="H154" s="14"/>
      <c r="I154" s="14"/>
      <c r="J154" s="14"/>
      <c r="K154" s="14"/>
      <c r="L154" s="14"/>
      <c r="M154" s="14"/>
      <c r="N154" s="14"/>
      <c r="O154" s="14"/>
      <c r="P154" s="14"/>
      <c r="Q154" s="14"/>
      <c r="R154" s="14"/>
    </row>
    <row r="155" spans="3:18" x14ac:dyDescent="0.3">
      <c r="C155" s="14"/>
      <c r="D155" s="14"/>
      <c r="E155" s="14"/>
      <c r="F155" s="14"/>
      <c r="G155" s="14"/>
      <c r="H155" s="14"/>
      <c r="I155" s="14"/>
      <c r="J155" s="14"/>
      <c r="K155" s="14"/>
      <c r="L155" s="14"/>
      <c r="M155" s="14"/>
      <c r="N155" s="14"/>
      <c r="O155" s="14"/>
      <c r="P155" s="14"/>
      <c r="Q155" s="14"/>
      <c r="R155" s="14"/>
    </row>
    <row r="156" spans="3:18" x14ac:dyDescent="0.3">
      <c r="C156" s="14"/>
      <c r="D156" s="14"/>
      <c r="E156" s="14"/>
      <c r="F156" s="14"/>
      <c r="G156" s="14"/>
      <c r="H156" s="14"/>
      <c r="I156" s="14"/>
      <c r="J156" s="14"/>
      <c r="K156" s="14"/>
      <c r="L156" s="14"/>
      <c r="M156" s="14"/>
      <c r="N156" s="14"/>
      <c r="O156" s="14"/>
      <c r="P156" s="14"/>
      <c r="Q156" s="14"/>
      <c r="R156" s="14"/>
    </row>
    <row r="157" spans="3:18" x14ac:dyDescent="0.3">
      <c r="C157" s="14"/>
      <c r="D157" s="14"/>
      <c r="E157" s="14"/>
      <c r="F157" s="14"/>
      <c r="G157" s="14"/>
      <c r="H157" s="14"/>
      <c r="I157" s="14"/>
      <c r="J157" s="14"/>
      <c r="K157" s="14"/>
      <c r="L157" s="14"/>
      <c r="M157" s="14"/>
      <c r="N157" s="14"/>
      <c r="O157" s="14"/>
      <c r="P157" s="14"/>
      <c r="Q157" s="14"/>
      <c r="R157" s="14"/>
    </row>
    <row r="158" spans="3:18" x14ac:dyDescent="0.3">
      <c r="C158" s="14"/>
      <c r="D158" s="14"/>
      <c r="E158" s="14"/>
      <c r="F158" s="14"/>
      <c r="G158" s="14"/>
      <c r="H158" s="14"/>
      <c r="I158" s="14"/>
      <c r="J158" s="14"/>
      <c r="K158" s="14"/>
      <c r="L158" s="14"/>
      <c r="M158" s="14"/>
      <c r="N158" s="14"/>
      <c r="O158" s="14"/>
      <c r="P158" s="14"/>
      <c r="Q158" s="14"/>
      <c r="R158" s="14"/>
    </row>
    <row r="159" spans="3:18" x14ac:dyDescent="0.3">
      <c r="C159" s="14"/>
      <c r="D159" s="14"/>
      <c r="E159" s="14"/>
      <c r="F159" s="14"/>
      <c r="G159" s="14"/>
      <c r="H159" s="14"/>
      <c r="I159" s="14"/>
      <c r="J159" s="14"/>
      <c r="K159" s="14"/>
      <c r="L159" s="14"/>
      <c r="M159" s="14"/>
      <c r="N159" s="14"/>
      <c r="O159" s="14"/>
      <c r="P159" s="14"/>
      <c r="Q159" s="14"/>
      <c r="R159" s="14"/>
    </row>
    <row r="160" spans="3:18" x14ac:dyDescent="0.3">
      <c r="C160" s="14"/>
      <c r="D160" s="14"/>
      <c r="E160" s="14"/>
      <c r="F160" s="14"/>
      <c r="G160" s="14"/>
      <c r="H160" s="14"/>
      <c r="I160" s="14"/>
      <c r="J160" s="14"/>
      <c r="K160" s="14"/>
      <c r="L160" s="14"/>
      <c r="M160" s="14"/>
      <c r="N160" s="14"/>
      <c r="O160" s="14"/>
      <c r="P160" s="14"/>
      <c r="Q160" s="14"/>
      <c r="R160" s="14"/>
    </row>
    <row r="161" spans="3:18" x14ac:dyDescent="0.3">
      <c r="C161" s="14"/>
      <c r="D161" s="14"/>
      <c r="E161" s="14"/>
      <c r="F161" s="14"/>
      <c r="G161" s="14"/>
      <c r="H161" s="14"/>
      <c r="I161" s="14"/>
      <c r="J161" s="14"/>
      <c r="K161" s="14"/>
      <c r="L161" s="14"/>
      <c r="M161" s="14"/>
      <c r="N161" s="14"/>
      <c r="O161" s="14"/>
      <c r="P161" s="14"/>
      <c r="Q161" s="14"/>
      <c r="R161" s="14"/>
    </row>
    <row r="162" spans="3:18" x14ac:dyDescent="0.3">
      <c r="C162" s="14"/>
      <c r="D162" s="14"/>
      <c r="E162" s="14"/>
      <c r="F162" s="14"/>
      <c r="G162" s="14"/>
      <c r="H162" s="14"/>
      <c r="I162" s="14"/>
      <c r="J162" s="14"/>
      <c r="K162" s="14"/>
      <c r="L162" s="14"/>
      <c r="M162" s="14"/>
      <c r="N162" s="14"/>
      <c r="O162" s="14"/>
      <c r="P162" s="14"/>
      <c r="Q162" s="14"/>
      <c r="R162" s="14"/>
    </row>
  </sheetData>
  <phoneticPr fontId="3" type="noConversion"/>
  <conditionalFormatting sqref="C8:AA8 AI8:AO8">
    <cfRule type="cellIs" dxfId="1" priority="1" operator="greaterThan">
      <formula>0</formula>
    </cfRule>
    <cfRule type="cellIs" dxfId="0" priority="2" operator="lessThan">
      <formula>0</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F9B81-8C49-4371-8A3C-F89E293A384E}">
  <dimension ref="B3:D18"/>
  <sheetViews>
    <sheetView workbookViewId="0">
      <selection activeCell="D15" sqref="D15"/>
    </sheetView>
  </sheetViews>
  <sheetFormatPr defaultColWidth="9.1796875" defaultRowHeight="14" x14ac:dyDescent="0.3"/>
  <cols>
    <col min="1" max="1" width="9.1796875" style="4"/>
    <col min="2" max="2" width="16.1796875" style="4" bestFit="1" customWidth="1"/>
    <col min="3" max="3" width="9.1796875" style="4"/>
    <col min="4" max="4" width="17.26953125" style="4" bestFit="1" customWidth="1"/>
    <col min="5" max="16384" width="9.1796875" style="4"/>
  </cols>
  <sheetData>
    <row r="3" spans="2:4" x14ac:dyDescent="0.3">
      <c r="B3" s="4" t="s">
        <v>5</v>
      </c>
      <c r="C3" s="15">
        <f>Main!C8</f>
        <v>14437.128000000001</v>
      </c>
    </row>
    <row r="4" spans="2:4" x14ac:dyDescent="0.3">
      <c r="B4" s="4" t="s">
        <v>51</v>
      </c>
      <c r="C4" s="15">
        <f>Main!C6</f>
        <v>197131.65940999999</v>
      </c>
    </row>
    <row r="5" spans="2:4" x14ac:dyDescent="0.3">
      <c r="B5" s="4" t="s">
        <v>52</v>
      </c>
      <c r="C5" s="15">
        <f>+C3+C4</f>
        <v>211568.78740999999</v>
      </c>
    </row>
    <row r="6" spans="2:4" x14ac:dyDescent="0.3">
      <c r="B6" s="4" t="s">
        <v>53</v>
      </c>
      <c r="C6" s="28">
        <f>C3/C5</f>
        <v>6.8238458880147734E-2</v>
      </c>
    </row>
    <row r="7" spans="2:4" x14ac:dyDescent="0.3">
      <c r="B7" s="4" t="s">
        <v>54</v>
      </c>
      <c r="C7" s="28">
        <f>C4/C5</f>
        <v>0.93176154111985232</v>
      </c>
    </row>
    <row r="9" spans="2:4" x14ac:dyDescent="0.3">
      <c r="B9" s="4" t="s">
        <v>55</v>
      </c>
      <c r="C9" s="18">
        <f>AVERAGE(Model!AJ43:AN43)</f>
        <v>5.7955920184713593E-2</v>
      </c>
      <c r="D9" s="4" t="s">
        <v>106</v>
      </c>
    </row>
    <row r="10" spans="2:4" x14ac:dyDescent="0.3">
      <c r="B10" s="4" t="s">
        <v>56</v>
      </c>
      <c r="C10" s="15">
        <v>706.21199999999999</v>
      </c>
      <c r="D10" s="4" t="s">
        <v>107</v>
      </c>
    </row>
    <row r="11" spans="2:4" x14ac:dyDescent="0.3">
      <c r="B11" s="4" t="s">
        <v>57</v>
      </c>
      <c r="C11" s="28">
        <f>(C10*(1-C9))/C3</f>
        <v>4.6081383616915564E-2</v>
      </c>
    </row>
    <row r="13" spans="2:4" x14ac:dyDescent="0.3">
      <c r="B13" s="4" t="s">
        <v>58</v>
      </c>
      <c r="C13" s="28">
        <f>'[1]T-Bond Yields'!$C$12</f>
        <v>3.8899999999999997E-2</v>
      </c>
    </row>
    <row r="14" spans="2:4" x14ac:dyDescent="0.3">
      <c r="B14" s="4" t="s">
        <v>59</v>
      </c>
      <c r="C14" s="4">
        <v>1.26</v>
      </c>
      <c r="D14" s="4" t="s">
        <v>108</v>
      </c>
    </row>
    <row r="15" spans="2:4" x14ac:dyDescent="0.3">
      <c r="B15" s="4" t="s">
        <v>60</v>
      </c>
      <c r="C15" s="18">
        <v>0.06</v>
      </c>
      <c r="D15" s="4" t="s">
        <v>61</v>
      </c>
    </row>
    <row r="16" spans="2:4" x14ac:dyDescent="0.3">
      <c r="B16" s="4" t="s">
        <v>62</v>
      </c>
      <c r="C16" s="28">
        <f>(C13+C14*(C15-C13))</f>
        <v>6.5486000000000003E-2</v>
      </c>
    </row>
    <row r="18" spans="2:3" x14ac:dyDescent="0.3">
      <c r="B18" s="4" t="s">
        <v>63</v>
      </c>
      <c r="C18" s="18">
        <f>(C7*C16)+(C6*C11)*(1-C9)</f>
        <v>6.3979615181970456E-2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C6DDD-B02E-4985-8CF9-47B9AF5C324D}">
  <dimension ref="A1"/>
  <sheetViews>
    <sheetView workbookViewId="0">
      <selection activeCell="N11" sqref="N11"/>
    </sheetView>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Model</vt:lpstr>
      <vt:lpstr>WACC</vt:lpstr>
      <vt:lpstr>Graphics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S</dc:creator>
  <cp:lastModifiedBy>Bill Sheldon</cp:lastModifiedBy>
  <dcterms:created xsi:type="dcterms:W3CDTF">2020-11-02T05:16:50Z</dcterms:created>
  <dcterms:modified xsi:type="dcterms:W3CDTF">2023-06-14T01:43:11Z</dcterms:modified>
</cp:coreProperties>
</file>