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he\Documents\Models\"/>
    </mc:Choice>
  </mc:AlternateContent>
  <xr:revisionPtr revIDLastSave="0" documentId="13_ncr:1_{22E08FB7-2422-4172-9A35-5FC8234B1CCE}" xr6:coauthVersionLast="47" xr6:coauthVersionMax="47" xr10:uidLastSave="{00000000-0000-0000-0000-000000000000}"/>
  <bookViews>
    <workbookView xWindow="-28920" yWindow="-120" windowWidth="29040" windowHeight="15720" activeTab="1" xr2:uid="{F8F0E135-B0EA-4157-A45D-5F4FA8BEF9ED}"/>
  </bookViews>
  <sheets>
    <sheet name="Main" sheetId="1" r:id="rId1"/>
    <sheet name="Model" sheetId="2" r:id="rId2"/>
    <sheet name="WACC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1" i="2" l="1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AO11" i="2"/>
  <c r="AN11" i="2"/>
  <c r="AM11" i="2"/>
  <c r="AL11" i="2"/>
  <c r="AK11" i="2"/>
  <c r="AJ11" i="2"/>
  <c r="AI11" i="2"/>
  <c r="AH11" i="2"/>
  <c r="AG11" i="2"/>
  <c r="AF11" i="2"/>
  <c r="AH26" i="2"/>
  <c r="AG23" i="2"/>
  <c r="AI21" i="2"/>
  <c r="AH21" i="2"/>
  <c r="AG21" i="2"/>
  <c r="AI20" i="2"/>
  <c r="AH20" i="2"/>
  <c r="AG20" i="2"/>
  <c r="Z17" i="2"/>
  <c r="AK17" i="2" s="1"/>
  <c r="Y17" i="2"/>
  <c r="X17" i="2"/>
  <c r="Z15" i="2"/>
  <c r="Y15" i="2"/>
  <c r="X15" i="2"/>
  <c r="Z13" i="2"/>
  <c r="Y13" i="2"/>
  <c r="X13" i="2"/>
  <c r="Z12" i="2"/>
  <c r="Y12" i="2"/>
  <c r="AK12" i="2" s="1"/>
  <c r="X12" i="2"/>
  <c r="Z10" i="2"/>
  <c r="Y10" i="2"/>
  <c r="X10" i="2"/>
  <c r="AK10" i="2" s="1"/>
  <c r="Z7" i="2"/>
  <c r="Y7" i="2"/>
  <c r="X7" i="2"/>
  <c r="AK7" i="2" s="1"/>
  <c r="Z6" i="2"/>
  <c r="Y6" i="2"/>
  <c r="X6" i="2"/>
  <c r="AK6" i="2" s="1"/>
  <c r="Z4" i="2"/>
  <c r="Y4" i="2"/>
  <c r="X4" i="2"/>
  <c r="Z3" i="2"/>
  <c r="Y3" i="2"/>
  <c r="X3" i="2"/>
  <c r="AJ17" i="2"/>
  <c r="AJ15" i="2"/>
  <c r="AJ13" i="2"/>
  <c r="AJ12" i="2"/>
  <c r="AJ10" i="2"/>
  <c r="AJ7" i="2"/>
  <c r="AJ6" i="2"/>
  <c r="AJ4" i="2"/>
  <c r="AJ3" i="2"/>
  <c r="AI17" i="2"/>
  <c r="AI26" i="2" s="1"/>
  <c r="AI15" i="2"/>
  <c r="AI13" i="2"/>
  <c r="AI12" i="2"/>
  <c r="AI10" i="2"/>
  <c r="AI6" i="2"/>
  <c r="AI4" i="2"/>
  <c r="AI3" i="2"/>
  <c r="AI5" i="2" s="1"/>
  <c r="AH17" i="2"/>
  <c r="AH15" i="2"/>
  <c r="AH13" i="2"/>
  <c r="AH12" i="2"/>
  <c r="AH10" i="2"/>
  <c r="AH7" i="2"/>
  <c r="AH6" i="2"/>
  <c r="AH4" i="2"/>
  <c r="AH3" i="2"/>
  <c r="AG17" i="2"/>
  <c r="AG26" i="2" s="1"/>
  <c r="AG15" i="2"/>
  <c r="AG13" i="2"/>
  <c r="AG12" i="2"/>
  <c r="AG10" i="2"/>
  <c r="AG7" i="2"/>
  <c r="AG6" i="2"/>
  <c r="AG8" i="2" s="1"/>
  <c r="AG4" i="2"/>
  <c r="AG3" i="2"/>
  <c r="AF17" i="2"/>
  <c r="AF15" i="2"/>
  <c r="AF13" i="2"/>
  <c r="AF12" i="2"/>
  <c r="AF10" i="2"/>
  <c r="AF7" i="2"/>
  <c r="AF6" i="2"/>
  <c r="AF4" i="2"/>
  <c r="AF3" i="2"/>
  <c r="AF8" i="2"/>
  <c r="D27" i="2"/>
  <c r="C27" i="2"/>
  <c r="N27" i="2"/>
  <c r="M27" i="2"/>
  <c r="R26" i="2"/>
  <c r="Q26" i="2"/>
  <c r="P26" i="2"/>
  <c r="O26" i="2"/>
  <c r="N26" i="2"/>
  <c r="M26" i="2"/>
  <c r="L26" i="2"/>
  <c r="K26" i="2"/>
  <c r="J26" i="2"/>
  <c r="I26" i="2"/>
  <c r="H26" i="2"/>
  <c r="G26" i="2"/>
  <c r="L23" i="2"/>
  <c r="K23" i="2"/>
  <c r="J23" i="2"/>
  <c r="I23" i="2"/>
  <c r="H23" i="2"/>
  <c r="R21" i="2"/>
  <c r="Q21" i="2"/>
  <c r="P21" i="2"/>
  <c r="O21" i="2"/>
  <c r="N21" i="2"/>
  <c r="M21" i="2"/>
  <c r="L21" i="2"/>
  <c r="K21" i="2"/>
  <c r="J21" i="2"/>
  <c r="I21" i="2"/>
  <c r="H21" i="2"/>
  <c r="G21" i="2"/>
  <c r="R20" i="2"/>
  <c r="Q20" i="2"/>
  <c r="P20" i="2"/>
  <c r="O20" i="2"/>
  <c r="N20" i="2"/>
  <c r="M20" i="2"/>
  <c r="L20" i="2"/>
  <c r="K20" i="2"/>
  <c r="J20" i="2"/>
  <c r="I20" i="2"/>
  <c r="H20" i="2"/>
  <c r="G20" i="2"/>
  <c r="F5" i="2"/>
  <c r="F27" i="2" s="1"/>
  <c r="N8" i="2"/>
  <c r="N23" i="2" s="1"/>
  <c r="M8" i="2"/>
  <c r="M23" i="2" s="1"/>
  <c r="L8" i="2"/>
  <c r="K8" i="2"/>
  <c r="J8" i="2"/>
  <c r="I8" i="2"/>
  <c r="H8" i="2"/>
  <c r="G8" i="2"/>
  <c r="G23" i="2" s="1"/>
  <c r="F8" i="2"/>
  <c r="E8" i="2"/>
  <c r="D8" i="2"/>
  <c r="C8" i="2"/>
  <c r="N5" i="2"/>
  <c r="M5" i="2"/>
  <c r="L5" i="2"/>
  <c r="L27" i="2" s="1"/>
  <c r="K5" i="2"/>
  <c r="K27" i="2" s="1"/>
  <c r="J5" i="2"/>
  <c r="N22" i="2" s="1"/>
  <c r="I5" i="2"/>
  <c r="M22" i="2" s="1"/>
  <c r="H5" i="2"/>
  <c r="H27" i="2" s="1"/>
  <c r="G5" i="2"/>
  <c r="G27" i="2" s="1"/>
  <c r="F9" i="2"/>
  <c r="F14" i="2" s="1"/>
  <c r="E5" i="2"/>
  <c r="E27" i="2" s="1"/>
  <c r="D5" i="2"/>
  <c r="C5" i="2"/>
  <c r="O7" i="2"/>
  <c r="P7" i="2"/>
  <c r="T7" i="2"/>
  <c r="Q7" i="2"/>
  <c r="AI7" i="2" s="1"/>
  <c r="U7" i="2"/>
  <c r="R7" i="2"/>
  <c r="V7" i="2"/>
  <c r="S7" i="2"/>
  <c r="W7" i="2"/>
  <c r="C13" i="3"/>
  <c r="AI9" i="2" l="1"/>
  <c r="AI27" i="2"/>
  <c r="AI22" i="2"/>
  <c r="AI8" i="2"/>
  <c r="AH8" i="2"/>
  <c r="AH23" i="2" s="1"/>
  <c r="G22" i="2"/>
  <c r="H22" i="2"/>
  <c r="I22" i="2"/>
  <c r="I27" i="2"/>
  <c r="K22" i="2"/>
  <c r="L22" i="2"/>
  <c r="J22" i="2"/>
  <c r="J27" i="2"/>
  <c r="AK4" i="2"/>
  <c r="AK15" i="2"/>
  <c r="AL15" i="2" s="1"/>
  <c r="AM15" i="2" s="1"/>
  <c r="AN15" i="2" s="1"/>
  <c r="AO15" i="2" s="1"/>
  <c r="F29" i="2"/>
  <c r="F28" i="2"/>
  <c r="AK13" i="2"/>
  <c r="AL13" i="2" s="1"/>
  <c r="AM13" i="2" s="1"/>
  <c r="AN13" i="2" s="1"/>
  <c r="AO13" i="2" s="1"/>
  <c r="AH5" i="2"/>
  <c r="AK3" i="2"/>
  <c r="AL3" i="2" s="1"/>
  <c r="AM3" i="2" s="1"/>
  <c r="AN3" i="2" s="1"/>
  <c r="AO3" i="2" s="1"/>
  <c r="AG5" i="2"/>
  <c r="AG9" i="2"/>
  <c r="AF5" i="2"/>
  <c r="AF27" i="2" s="1"/>
  <c r="AF9" i="2"/>
  <c r="C9" i="2"/>
  <c r="D9" i="2"/>
  <c r="E9" i="2"/>
  <c r="F16" i="2"/>
  <c r="F18" i="2" s="1"/>
  <c r="G9" i="2"/>
  <c r="K9" i="2"/>
  <c r="H9" i="2"/>
  <c r="L9" i="2"/>
  <c r="I9" i="2"/>
  <c r="M9" i="2"/>
  <c r="J9" i="2"/>
  <c r="N9" i="2"/>
  <c r="C9" i="1"/>
  <c r="C8" i="1"/>
  <c r="Z21" i="2"/>
  <c r="Y21" i="2"/>
  <c r="X21" i="2"/>
  <c r="W21" i="2"/>
  <c r="V21" i="2"/>
  <c r="U21" i="2"/>
  <c r="T21" i="2"/>
  <c r="S21" i="2"/>
  <c r="S20" i="2"/>
  <c r="C3" i="3"/>
  <c r="J24" i="2" l="1"/>
  <c r="J28" i="2"/>
  <c r="D28" i="2"/>
  <c r="AH27" i="2"/>
  <c r="AH22" i="2"/>
  <c r="M24" i="2"/>
  <c r="M28" i="2"/>
  <c r="H28" i="2"/>
  <c r="H24" i="2"/>
  <c r="AF28" i="2"/>
  <c r="AG28" i="2"/>
  <c r="AG24" i="2"/>
  <c r="AI23" i="2"/>
  <c r="AH9" i="2"/>
  <c r="N24" i="2"/>
  <c r="N28" i="2"/>
  <c r="AI28" i="2"/>
  <c r="I28" i="2"/>
  <c r="I24" i="2"/>
  <c r="L24" i="2"/>
  <c r="L28" i="2"/>
  <c r="K24" i="2"/>
  <c r="K28" i="2"/>
  <c r="G28" i="2"/>
  <c r="G24" i="2"/>
  <c r="E28" i="2"/>
  <c r="C28" i="2"/>
  <c r="AG22" i="2"/>
  <c r="AG27" i="2"/>
  <c r="W20" i="2"/>
  <c r="V20" i="2"/>
  <c r="AJ5" i="2"/>
  <c r="AS25" i="2"/>
  <c r="C14" i="2" l="1"/>
  <c r="C16" i="2" s="1"/>
  <c r="C18" i="2" s="1"/>
  <c r="C29" i="2"/>
  <c r="N14" i="2"/>
  <c r="N29" i="2"/>
  <c r="AH24" i="2"/>
  <c r="AH28" i="2"/>
  <c r="AG14" i="2"/>
  <c r="AG29" i="2"/>
  <c r="AF14" i="2"/>
  <c r="AF16" i="2" s="1"/>
  <c r="AF18" i="2" s="1"/>
  <c r="AF29" i="2"/>
  <c r="K14" i="2"/>
  <c r="K29" i="2"/>
  <c r="H14" i="2"/>
  <c r="H29" i="2"/>
  <c r="L14" i="2"/>
  <c r="L29" i="2"/>
  <c r="M14" i="2"/>
  <c r="M29" i="2"/>
  <c r="I14" i="2"/>
  <c r="I29" i="2"/>
  <c r="AI24" i="2"/>
  <c r="J14" i="2"/>
  <c r="J29" i="2"/>
  <c r="E14" i="2"/>
  <c r="E16" i="2" s="1"/>
  <c r="E18" i="2" s="1"/>
  <c r="E29" i="2"/>
  <c r="G14" i="2"/>
  <c r="G29" i="2"/>
  <c r="AI14" i="2"/>
  <c r="AI29" i="2"/>
  <c r="D14" i="2"/>
  <c r="D16" i="2" s="1"/>
  <c r="D18" i="2" s="1"/>
  <c r="D29" i="2"/>
  <c r="AL10" i="2"/>
  <c r="AM10" i="2" s="1"/>
  <c r="AN10" i="2" s="1"/>
  <c r="AO10" i="2" s="1"/>
  <c r="AL7" i="2"/>
  <c r="AM7" i="2" s="1"/>
  <c r="AN7" i="2" s="1"/>
  <c r="AO7" i="2" s="1"/>
  <c r="AL6" i="2"/>
  <c r="AM6" i="2" s="1"/>
  <c r="AN6" i="2" s="1"/>
  <c r="AO6" i="2" s="1"/>
  <c r="AL4" i="2"/>
  <c r="AM4" i="2" s="1"/>
  <c r="AN4" i="2" s="1"/>
  <c r="AO4" i="2" s="1"/>
  <c r="AJ21" i="2"/>
  <c r="AL17" i="2"/>
  <c r="AK26" i="2"/>
  <c r="Y26" i="2"/>
  <c r="X26" i="2"/>
  <c r="W26" i="2"/>
  <c r="V26" i="2"/>
  <c r="U26" i="2"/>
  <c r="T26" i="2"/>
  <c r="S26" i="2"/>
  <c r="Z26" i="2"/>
  <c r="Y20" i="2"/>
  <c r="X20" i="2"/>
  <c r="U20" i="2"/>
  <c r="T20" i="2"/>
  <c r="Z20" i="2"/>
  <c r="Y5" i="2"/>
  <c r="Y27" i="2" s="1"/>
  <c r="X5" i="2"/>
  <c r="X27" i="2" s="1"/>
  <c r="W5" i="2"/>
  <c r="W27" i="2" s="1"/>
  <c r="V5" i="2"/>
  <c r="V27" i="2" s="1"/>
  <c r="U5" i="2"/>
  <c r="T5" i="2"/>
  <c r="T27" i="2" s="1"/>
  <c r="S5" i="2"/>
  <c r="S27" i="2" s="1"/>
  <c r="R5" i="2"/>
  <c r="Q5" i="2"/>
  <c r="P5" i="2"/>
  <c r="O5" i="2"/>
  <c r="Y8" i="2"/>
  <c r="X8" i="2"/>
  <c r="W8" i="2"/>
  <c r="V8" i="2"/>
  <c r="U8" i="2"/>
  <c r="T8" i="2"/>
  <c r="S8" i="2"/>
  <c r="R8" i="2"/>
  <c r="R23" i="2" s="1"/>
  <c r="Q8" i="2"/>
  <c r="Q23" i="2" s="1"/>
  <c r="P8" i="2"/>
  <c r="P23" i="2" s="1"/>
  <c r="O8" i="2"/>
  <c r="O23" i="2" s="1"/>
  <c r="Z8" i="2"/>
  <c r="Z5" i="2"/>
  <c r="Z27" i="2" s="1"/>
  <c r="Q27" i="2" l="1"/>
  <c r="Q22" i="2"/>
  <c r="R27" i="2"/>
  <c r="R22" i="2"/>
  <c r="L25" i="2"/>
  <c r="L16" i="2"/>
  <c r="L18" i="2" s="1"/>
  <c r="H25" i="2"/>
  <c r="H16" i="2"/>
  <c r="H18" i="2" s="1"/>
  <c r="K16" i="2"/>
  <c r="K18" i="2" s="1"/>
  <c r="K25" i="2"/>
  <c r="AI25" i="2"/>
  <c r="AI16" i="2"/>
  <c r="G25" i="2"/>
  <c r="G16" i="2"/>
  <c r="G18" i="2" s="1"/>
  <c r="I25" i="2"/>
  <c r="I16" i="2"/>
  <c r="I18" i="2" s="1"/>
  <c r="O27" i="2"/>
  <c r="O22" i="2"/>
  <c r="J16" i="2"/>
  <c r="J18" i="2" s="1"/>
  <c r="J25" i="2"/>
  <c r="N25" i="2"/>
  <c r="N16" i="2"/>
  <c r="N18" i="2" s="1"/>
  <c r="M25" i="2"/>
  <c r="M16" i="2"/>
  <c r="M18" i="2" s="1"/>
  <c r="AG16" i="2"/>
  <c r="AG18" i="2" s="1"/>
  <c r="AG25" i="2"/>
  <c r="AH14" i="2"/>
  <c r="AH29" i="2"/>
  <c r="P22" i="2"/>
  <c r="P27" i="2"/>
  <c r="AL5" i="2"/>
  <c r="AK21" i="2"/>
  <c r="P9" i="2"/>
  <c r="Q9" i="2"/>
  <c r="AJ26" i="2"/>
  <c r="AK8" i="2"/>
  <c r="O9" i="2"/>
  <c r="AL8" i="2"/>
  <c r="AL26" i="2"/>
  <c r="AM17" i="2"/>
  <c r="AJ20" i="2"/>
  <c r="AL20" i="2"/>
  <c r="AK20" i="2"/>
  <c r="AK5" i="2"/>
  <c r="AJ8" i="2"/>
  <c r="S23" i="2"/>
  <c r="T23" i="2"/>
  <c r="U22" i="2"/>
  <c r="S22" i="2"/>
  <c r="U23" i="2"/>
  <c r="V23" i="2"/>
  <c r="W23" i="2"/>
  <c r="X23" i="2"/>
  <c r="Y23" i="2"/>
  <c r="Z23" i="2"/>
  <c r="V22" i="2"/>
  <c r="W22" i="2"/>
  <c r="X22" i="2"/>
  <c r="Y22" i="2"/>
  <c r="Z22" i="2"/>
  <c r="U27" i="2"/>
  <c r="T22" i="2"/>
  <c r="X9" i="2"/>
  <c r="S9" i="2"/>
  <c r="W9" i="2"/>
  <c r="W14" i="2" s="1"/>
  <c r="T9" i="2"/>
  <c r="T14" i="2" s="1"/>
  <c r="T16" i="2" s="1"/>
  <c r="T18" i="2" s="1"/>
  <c r="U9" i="2"/>
  <c r="U14" i="2" s="1"/>
  <c r="U16" i="2" s="1"/>
  <c r="U18" i="2" s="1"/>
  <c r="Y9" i="2"/>
  <c r="V9" i="2"/>
  <c r="V14" i="2" s="1"/>
  <c r="V16" i="2" s="1"/>
  <c r="V18" i="2" s="1"/>
  <c r="R9" i="2"/>
  <c r="Z9" i="2"/>
  <c r="C16" i="3"/>
  <c r="O24" i="2" l="1"/>
  <c r="O28" i="2"/>
  <c r="Q28" i="2"/>
  <c r="Q24" i="2"/>
  <c r="R28" i="2"/>
  <c r="R24" i="2"/>
  <c r="AH16" i="2"/>
  <c r="AH18" i="2" s="1"/>
  <c r="AH25" i="2"/>
  <c r="P24" i="2"/>
  <c r="P28" i="2"/>
  <c r="X14" i="2"/>
  <c r="X16" i="2" s="1"/>
  <c r="X18" i="2" s="1"/>
  <c r="Y14" i="2"/>
  <c r="Y16" i="2" s="1"/>
  <c r="Y18" i="2" s="1"/>
  <c r="Z14" i="2"/>
  <c r="Z16" i="2" s="1"/>
  <c r="Z18" i="2" s="1"/>
  <c r="AM5" i="2"/>
  <c r="AL21" i="2"/>
  <c r="AL9" i="2"/>
  <c r="AL12" i="2" s="1"/>
  <c r="S14" i="2"/>
  <c r="S16" i="2" s="1"/>
  <c r="S18" i="2" s="1"/>
  <c r="AK9" i="2"/>
  <c r="AL23" i="2"/>
  <c r="AO8" i="2"/>
  <c r="AN8" i="2"/>
  <c r="AN17" i="2"/>
  <c r="AM26" i="2"/>
  <c r="C11" i="3"/>
  <c r="AJ23" i="2"/>
  <c r="AK23" i="2"/>
  <c r="AK27" i="2"/>
  <c r="AL27" i="2"/>
  <c r="AL22" i="2"/>
  <c r="AJ27" i="2"/>
  <c r="AJ22" i="2"/>
  <c r="AJ9" i="2"/>
  <c r="AM20" i="2"/>
  <c r="V28" i="2"/>
  <c r="V24" i="2"/>
  <c r="U28" i="2"/>
  <c r="U24" i="2"/>
  <c r="T24" i="2"/>
  <c r="T28" i="2"/>
  <c r="W28" i="2"/>
  <c r="W24" i="2"/>
  <c r="S28" i="2"/>
  <c r="S24" i="2"/>
  <c r="X28" i="2"/>
  <c r="X24" i="2"/>
  <c r="Y28" i="2"/>
  <c r="Y24" i="2"/>
  <c r="Z24" i="2"/>
  <c r="Z28" i="2"/>
  <c r="C5" i="1" a="1"/>
  <c r="C5" i="1" s="1"/>
  <c r="AS28" i="2" s="1"/>
  <c r="P14" i="2" l="1"/>
  <c r="P29" i="2"/>
  <c r="O14" i="2"/>
  <c r="O29" i="2"/>
  <c r="R14" i="2"/>
  <c r="R29" i="2"/>
  <c r="Q14" i="2"/>
  <c r="Q29" i="2"/>
  <c r="AK14" i="2"/>
  <c r="AK16" i="2" s="1"/>
  <c r="AK18" i="2" s="1"/>
  <c r="AM21" i="2"/>
  <c r="AL28" i="2"/>
  <c r="AM8" i="2"/>
  <c r="AM23" i="2" s="1"/>
  <c r="AL24" i="2"/>
  <c r="AK28" i="2"/>
  <c r="AO23" i="2"/>
  <c r="AO17" i="2"/>
  <c r="AN26" i="2"/>
  <c r="AI18" i="2"/>
  <c r="AN20" i="2"/>
  <c r="AN5" i="2"/>
  <c r="AJ28" i="2"/>
  <c r="AJ24" i="2"/>
  <c r="AK24" i="2"/>
  <c r="AM22" i="2"/>
  <c r="AM27" i="2"/>
  <c r="AK29" i="2"/>
  <c r="Z29" i="2"/>
  <c r="S29" i="2"/>
  <c r="W16" i="2"/>
  <c r="W18" i="2" s="1"/>
  <c r="W29" i="2"/>
  <c r="Y29" i="2"/>
  <c r="T29" i="2"/>
  <c r="X29" i="2"/>
  <c r="U29" i="2"/>
  <c r="V29" i="2"/>
  <c r="C7" i="1"/>
  <c r="C4" i="3" s="1"/>
  <c r="P16" i="2" l="1"/>
  <c r="P18" i="2" s="1"/>
  <c r="P25" i="2"/>
  <c r="Q16" i="2"/>
  <c r="Q18" i="2" s="1"/>
  <c r="Q25" i="2"/>
  <c r="R16" i="2"/>
  <c r="R18" i="2" s="1"/>
  <c r="R25" i="2"/>
  <c r="O16" i="2"/>
  <c r="O18" i="2" s="1"/>
  <c r="O25" i="2"/>
  <c r="AN23" i="2"/>
  <c r="AM9" i="2"/>
  <c r="AM12" i="2" s="1"/>
  <c r="AN21" i="2"/>
  <c r="AO21" i="2"/>
  <c r="AL29" i="2"/>
  <c r="AL14" i="2"/>
  <c r="AL16" i="2" s="1"/>
  <c r="AL18" i="2" s="1"/>
  <c r="AO26" i="2"/>
  <c r="AJ14" i="2"/>
  <c r="AJ29" i="2"/>
  <c r="C9" i="3" s="1"/>
  <c r="AN9" i="2"/>
  <c r="AN12" i="2" s="1"/>
  <c r="AN27" i="2"/>
  <c r="AN22" i="2"/>
  <c r="AO5" i="2"/>
  <c r="AO20" i="2"/>
  <c r="Y25" i="2"/>
  <c r="Z25" i="2"/>
  <c r="U25" i="2"/>
  <c r="T25" i="2"/>
  <c r="W25" i="2"/>
  <c r="S25" i="2"/>
  <c r="V25" i="2"/>
  <c r="X25" i="2"/>
  <c r="C10" i="1"/>
  <c r="C5" i="3"/>
  <c r="C7" i="3" s="1"/>
  <c r="AJ25" i="2" l="1"/>
  <c r="AJ16" i="2"/>
  <c r="AJ18" i="2" s="1"/>
  <c r="AM24" i="2"/>
  <c r="AM28" i="2"/>
  <c r="AM29" i="2"/>
  <c r="AM14" i="2"/>
  <c r="AM16" i="2" s="1"/>
  <c r="AM18" i="2" s="1"/>
  <c r="AL25" i="2"/>
  <c r="AO22" i="2"/>
  <c r="AO27" i="2"/>
  <c r="AO9" i="2"/>
  <c r="AO12" i="2" s="1"/>
  <c r="AK25" i="2"/>
  <c r="AN24" i="2"/>
  <c r="AN28" i="2"/>
  <c r="C6" i="3"/>
  <c r="AM25" i="2" l="1"/>
  <c r="AO24" i="2"/>
  <c r="AO28" i="2"/>
  <c r="C18" i="3"/>
  <c r="AS23" i="2" s="1"/>
  <c r="AN29" i="2" l="1"/>
  <c r="AN14" i="2"/>
  <c r="AN25" i="2" l="1"/>
  <c r="AN16" i="2"/>
  <c r="AN18" i="2" s="1"/>
  <c r="AO29" i="2"/>
  <c r="AO14" i="2"/>
  <c r="AO16" i="2" s="1"/>
  <c r="AO18" i="2" s="1"/>
  <c r="AP16" i="2" l="1"/>
  <c r="AQ16" i="2" s="1"/>
  <c r="AO25" i="2"/>
  <c r="AR16" i="2" l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CG16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X16" i="2" s="1"/>
  <c r="CY16" i="2" s="1"/>
  <c r="CZ16" i="2" s="1"/>
  <c r="DA16" i="2" s="1"/>
  <c r="DB16" i="2" s="1"/>
  <c r="DC16" i="2" s="1"/>
  <c r="DD16" i="2" s="1"/>
  <c r="DE16" i="2" s="1"/>
  <c r="DF16" i="2" s="1"/>
  <c r="DG16" i="2" s="1"/>
  <c r="DH16" i="2" s="1"/>
  <c r="DI16" i="2" s="1"/>
  <c r="DJ16" i="2" s="1"/>
  <c r="DK16" i="2" s="1"/>
  <c r="DL16" i="2" s="1"/>
  <c r="DM16" i="2" s="1"/>
  <c r="DN16" i="2" s="1"/>
  <c r="DO16" i="2" s="1"/>
  <c r="DP16" i="2" s="1"/>
  <c r="DQ16" i="2" s="1"/>
  <c r="DR16" i="2" s="1"/>
  <c r="DS16" i="2" s="1"/>
  <c r="DT16" i="2" s="1"/>
  <c r="DU16" i="2" s="1"/>
  <c r="DV16" i="2" s="1"/>
  <c r="DW16" i="2" s="1"/>
  <c r="DX16" i="2" s="1"/>
  <c r="DY16" i="2" s="1"/>
  <c r="DZ16" i="2" s="1"/>
  <c r="EA16" i="2" s="1"/>
  <c r="EB16" i="2" s="1"/>
  <c r="EC16" i="2" s="1"/>
  <c r="ED16" i="2" s="1"/>
  <c r="EE16" i="2" s="1"/>
  <c r="EF16" i="2" s="1"/>
  <c r="EG16" i="2" s="1"/>
  <c r="EH16" i="2" s="1"/>
  <c r="EI16" i="2" s="1"/>
  <c r="EJ16" i="2" s="1"/>
  <c r="EK16" i="2" s="1"/>
  <c r="EL16" i="2" s="1"/>
  <c r="EM16" i="2" s="1"/>
  <c r="EN16" i="2" s="1"/>
  <c r="EO16" i="2" s="1"/>
  <c r="EP16" i="2" s="1"/>
  <c r="EQ16" i="2" s="1"/>
  <c r="ER16" i="2" s="1"/>
  <c r="ES16" i="2" s="1"/>
  <c r="ET16" i="2" s="1"/>
  <c r="EU16" i="2" s="1"/>
  <c r="EV16" i="2" s="1"/>
  <c r="EW16" i="2" s="1"/>
  <c r="EX16" i="2" s="1"/>
  <c r="EY16" i="2" s="1"/>
  <c r="EZ16" i="2" s="1"/>
  <c r="FA16" i="2" s="1"/>
  <c r="FB16" i="2" s="1"/>
  <c r="FC16" i="2" s="1"/>
  <c r="FD16" i="2" s="1"/>
  <c r="FE16" i="2" s="1"/>
  <c r="FF16" i="2" s="1"/>
  <c r="FG16" i="2" s="1"/>
  <c r="FH16" i="2" s="1"/>
  <c r="FI16" i="2" s="1"/>
  <c r="FJ16" i="2" s="1"/>
  <c r="FK16" i="2" s="1"/>
  <c r="FL16" i="2" s="1"/>
  <c r="FM16" i="2" s="1"/>
  <c r="FN16" i="2" s="1"/>
  <c r="FO16" i="2" s="1"/>
  <c r="FP16" i="2" s="1"/>
  <c r="FQ16" i="2" s="1"/>
  <c r="FR16" i="2" s="1"/>
  <c r="FS16" i="2" s="1"/>
  <c r="FT16" i="2" s="1"/>
  <c r="FU16" i="2" s="1"/>
  <c r="FV16" i="2" s="1"/>
  <c r="FW16" i="2" s="1"/>
  <c r="FX16" i="2" s="1"/>
  <c r="FY16" i="2" s="1"/>
  <c r="FZ16" i="2" s="1"/>
  <c r="GA16" i="2" s="1"/>
  <c r="GB16" i="2" s="1"/>
  <c r="GC16" i="2" s="1"/>
  <c r="GD16" i="2" s="1"/>
  <c r="GE16" i="2" s="1"/>
  <c r="GF16" i="2" s="1"/>
  <c r="GG16" i="2" s="1"/>
  <c r="GH16" i="2" s="1"/>
  <c r="GI16" i="2" s="1"/>
  <c r="GJ16" i="2" s="1"/>
  <c r="GK16" i="2" s="1"/>
  <c r="GL16" i="2" s="1"/>
  <c r="GM16" i="2" s="1"/>
  <c r="GN16" i="2" s="1"/>
  <c r="GO16" i="2" s="1"/>
  <c r="GP16" i="2" s="1"/>
  <c r="GQ16" i="2" s="1"/>
  <c r="GR16" i="2" s="1"/>
  <c r="GS16" i="2" s="1"/>
  <c r="GT16" i="2" s="1"/>
  <c r="GU16" i="2" s="1"/>
  <c r="GV16" i="2" s="1"/>
  <c r="GW16" i="2" s="1"/>
  <c r="GX16" i="2" s="1"/>
  <c r="GY16" i="2" s="1"/>
  <c r="GZ16" i="2" s="1"/>
  <c r="HA16" i="2" s="1"/>
  <c r="HB16" i="2" s="1"/>
  <c r="HC16" i="2" s="1"/>
  <c r="HD16" i="2" s="1"/>
  <c r="HE16" i="2" s="1"/>
  <c r="HF16" i="2" s="1"/>
  <c r="HG16" i="2" s="1"/>
  <c r="HH16" i="2" s="1"/>
  <c r="HI16" i="2" s="1"/>
  <c r="HJ16" i="2" s="1"/>
  <c r="HK16" i="2" s="1"/>
  <c r="HL16" i="2" s="1"/>
  <c r="HM16" i="2" s="1"/>
  <c r="HN16" i="2" s="1"/>
  <c r="HO16" i="2" s="1"/>
  <c r="HP16" i="2" s="1"/>
  <c r="HQ16" i="2" s="1"/>
  <c r="HR16" i="2" s="1"/>
  <c r="HS16" i="2" s="1"/>
  <c r="HT16" i="2" s="1"/>
  <c r="HU16" i="2" s="1"/>
  <c r="HV16" i="2" s="1"/>
  <c r="HW16" i="2" s="1"/>
  <c r="HX16" i="2" s="1"/>
  <c r="HY16" i="2" s="1"/>
  <c r="HZ16" i="2" s="1"/>
  <c r="IA16" i="2" s="1"/>
  <c r="IB16" i="2" s="1"/>
  <c r="IC16" i="2" s="1"/>
  <c r="ID16" i="2" s="1"/>
  <c r="IE16" i="2" s="1"/>
  <c r="IF16" i="2" s="1"/>
  <c r="IG16" i="2" s="1"/>
  <c r="IH16" i="2" s="1"/>
  <c r="II16" i="2" s="1"/>
  <c r="IJ16" i="2" s="1"/>
  <c r="IK16" i="2" s="1"/>
  <c r="IL16" i="2" s="1"/>
  <c r="IM16" i="2" s="1"/>
  <c r="IN16" i="2" s="1"/>
  <c r="IO16" i="2" s="1"/>
  <c r="IP16" i="2" s="1"/>
  <c r="IQ16" i="2" s="1"/>
  <c r="IR16" i="2" s="1"/>
  <c r="IS16" i="2" s="1"/>
  <c r="IT16" i="2" s="1"/>
  <c r="IU16" i="2" s="1"/>
  <c r="IV16" i="2" s="1"/>
  <c r="IW16" i="2" s="1"/>
  <c r="IX16" i="2" s="1"/>
  <c r="IY16" i="2" s="1"/>
  <c r="IZ16" i="2" s="1"/>
  <c r="JA16" i="2" s="1"/>
  <c r="JB16" i="2" s="1"/>
  <c r="JC16" i="2" s="1"/>
  <c r="JD16" i="2" s="1"/>
  <c r="JE16" i="2" s="1"/>
  <c r="JF16" i="2" s="1"/>
  <c r="JG16" i="2" s="1"/>
  <c r="JH16" i="2" s="1"/>
  <c r="JI16" i="2" s="1"/>
  <c r="JJ16" i="2" s="1"/>
  <c r="JK16" i="2" s="1"/>
  <c r="JL16" i="2" s="1"/>
  <c r="JM16" i="2" s="1"/>
  <c r="JN16" i="2" s="1"/>
  <c r="JO16" i="2" s="1"/>
  <c r="JP16" i="2" s="1"/>
  <c r="JQ16" i="2" s="1"/>
  <c r="JR16" i="2" s="1"/>
  <c r="JS16" i="2" s="1"/>
  <c r="JT16" i="2" s="1"/>
  <c r="JU16" i="2" s="1"/>
  <c r="JV16" i="2" s="1"/>
  <c r="JW16" i="2" s="1"/>
  <c r="JX16" i="2" s="1"/>
  <c r="JY16" i="2" s="1"/>
  <c r="JZ16" i="2" s="1"/>
  <c r="KA16" i="2" s="1"/>
  <c r="KB16" i="2" s="1"/>
  <c r="AS24" i="2" l="1"/>
  <c r="AS26" i="2" s="1"/>
  <c r="AS27" i="2" s="1"/>
  <c r="AS2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<sst xmlns="http://schemas.openxmlformats.org/spreadsheetml/2006/main" count="85" uniqueCount="81">
  <si>
    <t>Company</t>
  </si>
  <si>
    <t>Source</t>
  </si>
  <si>
    <t>Price</t>
  </si>
  <si>
    <t>Shares</t>
  </si>
  <si>
    <t>2Q22</t>
  </si>
  <si>
    <t>Market Cap</t>
  </si>
  <si>
    <t>Cash</t>
  </si>
  <si>
    <t>Debt</t>
  </si>
  <si>
    <t>EV</t>
  </si>
  <si>
    <t>3Q22</t>
  </si>
  <si>
    <t>R&amp;D</t>
  </si>
  <si>
    <t>Opex</t>
  </si>
  <si>
    <t>Pretax Income</t>
  </si>
  <si>
    <t>Taxes</t>
  </si>
  <si>
    <t>Net Income</t>
  </si>
  <si>
    <t>Shares Outstanding</t>
  </si>
  <si>
    <t>EPS</t>
  </si>
  <si>
    <t>Cost of Revenue</t>
  </si>
  <si>
    <t>Gross Profit</t>
  </si>
  <si>
    <t>Operating Income</t>
  </si>
  <si>
    <t>1Q21</t>
  </si>
  <si>
    <t>2Q21</t>
  </si>
  <si>
    <t>3Q21</t>
  </si>
  <si>
    <t>4Q21</t>
  </si>
  <si>
    <t>1Q22</t>
  </si>
  <si>
    <t>4Q22</t>
  </si>
  <si>
    <t>Equity</t>
  </si>
  <si>
    <t>D+E</t>
  </si>
  <si>
    <t>Wdebt</t>
  </si>
  <si>
    <t>Wequity</t>
  </si>
  <si>
    <t>Tax rate</t>
  </si>
  <si>
    <t>Interest expense</t>
  </si>
  <si>
    <t>Cost of debt</t>
  </si>
  <si>
    <t>Risk-free rate</t>
  </si>
  <si>
    <t>Beta</t>
  </si>
  <si>
    <t>Market return</t>
  </si>
  <si>
    <t>Cost of equity</t>
  </si>
  <si>
    <t>WACC</t>
  </si>
  <si>
    <t>Revenue Y/Y</t>
  </si>
  <si>
    <t>GP Y/Y</t>
  </si>
  <si>
    <t>Opex Y/Y</t>
  </si>
  <si>
    <t>OI Y/Y</t>
  </si>
  <si>
    <t>Net Income Y/Y</t>
  </si>
  <si>
    <t>Shares Y/Y</t>
  </si>
  <si>
    <t>Gross Margin</t>
  </si>
  <si>
    <t>Operating Margin</t>
  </si>
  <si>
    <t>Tax Rate</t>
  </si>
  <si>
    <t>1Q23</t>
  </si>
  <si>
    <t>2Q23</t>
  </si>
  <si>
    <t>3Q23</t>
  </si>
  <si>
    <t>4Q23</t>
  </si>
  <si>
    <t>Maturity</t>
  </si>
  <si>
    <t>Discount</t>
  </si>
  <si>
    <t>NPV</t>
  </si>
  <si>
    <t>Net Cash</t>
  </si>
  <si>
    <t>Total Value</t>
  </si>
  <si>
    <t>Model Price</t>
  </si>
  <si>
    <t>Current Price</t>
  </si>
  <si>
    <t>Difference</t>
  </si>
  <si>
    <t>Total Revenue</t>
  </si>
  <si>
    <t>Other (Income)/Expense</t>
  </si>
  <si>
    <t>Cost of Revenue Y/Y</t>
  </si>
  <si>
    <t>se</t>
  </si>
  <si>
    <t>koyfin 6/13/23</t>
  </si>
  <si>
    <t>SI&amp;A</t>
  </si>
  <si>
    <t>Net Income Before NCI</t>
  </si>
  <si>
    <t>Less: NI to NCI</t>
  </si>
  <si>
    <t>Income from Disc. Operations</t>
  </si>
  <si>
    <t>1Q19</t>
  </si>
  <si>
    <t>2Q19</t>
  </si>
  <si>
    <t>3Q19</t>
  </si>
  <si>
    <t>4Q19</t>
  </si>
  <si>
    <t>1Q20</t>
  </si>
  <si>
    <t>2Q20</t>
  </si>
  <si>
    <t>3Q20</t>
  </si>
  <si>
    <t>4Q20</t>
  </si>
  <si>
    <t>1Q18</t>
  </si>
  <si>
    <t>2Q18</t>
  </si>
  <si>
    <t>3Q18</t>
  </si>
  <si>
    <t>4Q18</t>
  </si>
  <si>
    <t>10K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</si>
</sst>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3" fontId="1" fillId="0" borderId="6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38" fontId="1" fillId="0" borderId="0" xfId="0" applyNumberFormat="1" applyFont="1"/>
    <xf numFmtId="4" fontId="1" fillId="0" borderId="0" xfId="0" applyNumberFormat="1" applyFont="1" applyAlignment="1">
      <alignment horizontal="right"/>
    </xf>
    <xf numFmtId="38" fontId="2" fillId="0" borderId="0" xfId="0" applyNumberFormat="1" applyFont="1"/>
    <xf numFmtId="3" fontId="2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0" fontId="1" fillId="0" borderId="0" xfId="0" applyNumberFormat="1" applyFont="1"/>
    <xf numFmtId="10" fontId="2" fillId="0" borderId="0" xfId="1" applyNumberFormat="1" applyFont="1"/>
    <xf numFmtId="9" fontId="1" fillId="0" borderId="0" xfId="0" applyNumberFormat="1" applyFont="1"/>
    <xf numFmtId="9" fontId="1" fillId="0" borderId="0" xfId="0" applyNumberFormat="1" applyFont="1" applyAlignment="1">
      <alignment horizontal="right"/>
    </xf>
    <xf numFmtId="3" fontId="2" fillId="0" borderId="0" xfId="0" applyNumberFormat="1" applyFont="1"/>
    <xf numFmtId="9" fontId="1" fillId="0" borderId="0" xfId="1" applyFont="1"/>
    <xf numFmtId="4" fontId="1" fillId="0" borderId="0" xfId="0" applyNumberFormat="1" applyFont="1"/>
    <xf numFmtId="9" fontId="2" fillId="0" borderId="0" xfId="0" applyNumberFormat="1" applyFont="1"/>
    <xf numFmtId="38" fontId="1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44450</xdr:colOff>
      <xdr:row>0</xdr:row>
      <xdr:rowOff>149225</xdr:rowOff>
    </xdr:from>
    <xdr:to>
      <xdr:col>23</xdr:col>
      <xdr:colOff>44450</xdr:colOff>
      <xdr:row>32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ED4063F-4B9B-79BA-EFB1-BB1C3EA11BD3}"/>
            </a:ext>
          </a:extLst>
        </xdr:cNvPr>
        <xdr:cNvCxnSpPr/>
      </xdr:nvCxnSpPr>
      <xdr:spPr>
        <a:xfrm>
          <a:off x="14998700" y="149225"/>
          <a:ext cx="0" cy="541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22225</xdr:colOff>
      <xdr:row>0</xdr:row>
      <xdr:rowOff>133350</xdr:rowOff>
    </xdr:from>
    <xdr:to>
      <xdr:col>36</xdr:col>
      <xdr:colOff>44353</xdr:colOff>
      <xdr:row>33</xdr:row>
      <xdr:rowOff>133350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8F742D3-C10B-4D1F-8546-24AD1FA9FB34}"/>
            </a:ext>
          </a:extLst>
        </xdr:cNvPr>
        <xdr:cNvCxnSpPr/>
      </xdr:nvCxnSpPr>
      <xdr:spPr>
        <a:xfrm>
          <a:off x="26596975" y="133350"/>
          <a:ext cx="22128" cy="568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lshe\Documents\Models\00%20Dashboard.xlsx" TargetMode="External"/><Relationship Id="rId1" Type="http://schemas.openxmlformats.org/officeDocument/2006/relationships/externalLinkPath" Target="00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-Bond Yields"/>
      <sheetName val="Companies"/>
    </sheetNames>
    <sheetDataSet>
      <sheetData sheetId="0">
        <row r="12">
          <cell r="C12">
            <v>3.8899999999999997E-2</v>
          </cell>
        </row>
      </sheetData>
      <sheetData sheetId="1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https://www.bing.com/financeapi/forcetrigger?t=a1zqnm&amp;q=XNYS%3aPFE&amp;form=skydnc</v>
    <v>Learn more on Bing</v>
  </rv>
  <rv s="1">
    <v>en-US</v>
    <v>a1zqnm</v>
    <v>268435456</v>
    <v>1</v>
    <v>Powered by Refinitiv</v>
    <v>0</v>
    <v>PFIZER INC. (XNYS:PFE)</v>
    <v>2</v>
    <v>3</v>
    <v>Finance</v>
    <v>4</v>
    <v>54.93</v>
    <v>36.17</v>
    <v>0.62709999999999999</v>
    <v>0.39989999999999998</v>
    <v>1.0022999999999999E-2</v>
    <v>USD</v>
    <v>Pfizer Inc. is a research-based biopharmaceutical company. The Company is engaged in the discovery, development, manufacture, marketing, sale and distribution of biopharmaceutical products around the world. The Company operates through two segments: Biopharma and PC1. Biopharma is engaged in the science-based biopharmaceutical business. PC1 is its global contract development and manufacturing organization and supplier of specialty active pharmaceutical ingredients. The Company’s primary care products include Eliquis, Nurtec ODT/Vydura and the Premarin family; the Prevnar family, Nimenrix, FSME/IMMUN-TicoVac and Trumenba; Comirnaty, and Paxlovid. Its specialty care products include Xeljanz, Enbrel (outside the United States and Canada), Inflectra, Eucrisa/Staquis and Cibinqo; the Vyndaqel family, Oxbryta, BeneFIX and Genotropin, and Sulperazon, Medrol, Zavicefta, Zithromax, Vfend and Panzyga. Its oncology products include Ibrance, Xtandi, Inlyta, Retacrit, Lorbrena and Braftovi.</v>
    <v>83000</v>
    <v>New York Stock Exchange</v>
    <v>XNYS</v>
    <v>XNYS</v>
    <v>66 HUDSON BOULEVARD EAST, NEW YORK, NY, 10001-2192 US</v>
    <v>40.365000000000002</v>
    <v>Pharmaceuticals</v>
    <v>Stock</v>
    <v>45090.742017742967</v>
    <v>0</v>
    <v>39.454999999999998</v>
    <v>227505307569</v>
    <v>PFIZER INC.</v>
    <v>PFIZER INC.</v>
    <v>39.549999999999997</v>
    <v>7.8635999999999999</v>
    <v>39.9</v>
    <v>40.299900000000001</v>
    <v>5645307000</v>
    <v>PFE</v>
    <v>PFIZER INC. (XNYS:PFE)</v>
    <v>14541145</v>
    <v>28708838</v>
    <v>1942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yy\ h:mm"/>
    </x:dxf>
    <x:dxf>
      <x:numFmt numFmtId="1" formatCode="0"/>
    </x:dxf>
    <x:dxf>
      <x:numFmt numFmtId="2" formatCode="0.00"/>
    </x:dxf>
  </dxfs>
  <richProperties>
    <rPr n="NumberFormat" t="s"/>
    <rPr n="IsTitleField" t="b"/>
  </richProperties>
  <richStyles>
    <rSty dxfid="0">
      <rpv i="0">_([$$-en-US]* #,##0.00_);_([$$-en-US]* (#,##0.00);_([$$-en-US]* "-"??_);_(@_)</rpv>
    </rSty>
    <rSty dxfid="1">
      <rpv i="0">#,##0.00</rpv>
    </rSty>
    <rSty>
      <rpv i="1">1</rpv>
    </rSty>
    <rSty dxfid="2">
      <rpv i="0">#,##0</rpv>
    </rSty>
    <rSty dxfid="3"/>
    <rSty dxfid="0">
      <rpv i="0">_([$$-en-US]* #,##0_);_([$$-en-US]* (#,##0);_([$$-en-US]* "-"_);_(@_)</rpv>
    </rSty>
    <rSty dxfid="4"/>
    <rSty dxfid="5">
      <rpv i="0">0</rpv>
    </rSty>
    <rSty dxfid="6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4738-4970-4D8A-8D89-44099B77F3EC}">
  <dimension ref="B4:D10"/>
  <sheetViews>
    <sheetView workbookViewId="0">
      <selection activeCell="C10" sqref="C10"/>
    </sheetView>
  </sheetViews>
  <sheetFormatPr defaultRowHeight="14.5" x14ac:dyDescent="0.35"/>
  <cols>
    <col min="2" max="2" width="11" bestFit="1" customWidth="1"/>
    <col min="3" max="3" width="41.453125" bestFit="1" customWidth="1"/>
    <col min="4" max="4" width="7.08984375" bestFit="1" customWidth="1"/>
  </cols>
  <sheetData>
    <row r="4" spans="2:4" x14ac:dyDescent="0.35">
      <c r="B4" s="1" t="s">
        <v>0</v>
      </c>
      <c r="C4" s="2" t="e" vm="1">
        <v>#VALUE!</v>
      </c>
      <c r="D4" s="3" t="s">
        <v>1</v>
      </c>
    </row>
    <row r="5" spans="2:4" x14ac:dyDescent="0.35">
      <c r="B5" s="4" t="s">
        <v>2</v>
      </c>
      <c r="C5" s="5" cm="1">
        <f t="array" ref="C5">_FV(C4,"Price")</f>
        <v>40.299900000000001</v>
      </c>
      <c r="D5" s="6"/>
    </row>
    <row r="6" spans="2:4" x14ac:dyDescent="0.35">
      <c r="B6" s="4" t="s">
        <v>3</v>
      </c>
      <c r="C6" s="7">
        <v>5727</v>
      </c>
      <c r="D6" s="8" t="s">
        <v>47</v>
      </c>
    </row>
    <row r="7" spans="2:4" x14ac:dyDescent="0.35">
      <c r="B7" s="4" t="s">
        <v>5</v>
      </c>
      <c r="C7" s="7">
        <f>C5*C6</f>
        <v>230797.52730000002</v>
      </c>
      <c r="D7" s="8"/>
    </row>
    <row r="8" spans="2:4" x14ac:dyDescent="0.35">
      <c r="B8" s="4" t="s">
        <v>6</v>
      </c>
      <c r="C8" s="7">
        <f>2166+17806</f>
        <v>19972</v>
      </c>
      <c r="D8" s="8" t="s">
        <v>47</v>
      </c>
    </row>
    <row r="9" spans="2:4" x14ac:dyDescent="0.35">
      <c r="B9" s="4" t="s">
        <v>7</v>
      </c>
      <c r="C9" s="7">
        <f>4188+31704</f>
        <v>35892</v>
      </c>
      <c r="D9" s="8" t="s">
        <v>47</v>
      </c>
    </row>
    <row r="10" spans="2:4" x14ac:dyDescent="0.35">
      <c r="B10" s="9" t="s">
        <v>8</v>
      </c>
      <c r="C10" s="10">
        <f>C7-C8+C9</f>
        <v>246717.52730000002</v>
      </c>
      <c r="D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6471-B9AD-43C0-8A5A-94D417171582}">
  <dimension ref="A1:KB29"/>
  <sheetViews>
    <sheetView tabSelected="1" workbookViewId="0">
      <pane xSplit="2" ySplit="2" topLeftCell="AF3" activePane="bottomRight" state="frozen"/>
      <selection pane="topRight" activeCell="C1" sqref="C1"/>
      <selection pane="bottomLeft" activeCell="A3" sqref="A3"/>
      <selection pane="bottomRight" activeCell="BC11" sqref="BC11"/>
    </sheetView>
  </sheetViews>
  <sheetFormatPr defaultRowHeight="14" x14ac:dyDescent="0.3"/>
  <cols>
    <col min="1" max="1" width="8.7265625" style="12"/>
    <col min="2" max="2" width="28.36328125" style="12" bestFit="1" customWidth="1"/>
    <col min="3" max="13" width="9.08984375" style="12" customWidth="1"/>
    <col min="14" max="14" width="9" style="12" customWidth="1"/>
    <col min="15" max="15" width="9.08984375" style="13" bestFit="1" customWidth="1"/>
    <col min="16" max="16" width="9.26953125" style="13" bestFit="1" customWidth="1"/>
    <col min="17" max="22" width="8.7265625" style="13"/>
    <col min="23" max="23" width="9.26953125" style="13" bestFit="1" customWidth="1"/>
    <col min="24" max="25" width="8.7265625" style="13"/>
    <col min="26" max="43" width="8.7265625" style="7"/>
    <col min="44" max="44" width="12.90625" style="7" bestFit="1" customWidth="1"/>
    <col min="45" max="16384" width="8.7265625" style="7"/>
  </cols>
  <sheetData>
    <row r="1" spans="1:288" s="13" customForma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288" s="13" customFormat="1" x14ac:dyDescent="0.3">
      <c r="A2" s="12"/>
      <c r="B2" s="12"/>
      <c r="C2" s="29" t="s">
        <v>76</v>
      </c>
      <c r="D2" s="29" t="s">
        <v>77</v>
      </c>
      <c r="E2" s="29" t="s">
        <v>78</v>
      </c>
      <c r="F2" s="29" t="s">
        <v>79</v>
      </c>
      <c r="G2" s="29" t="s">
        <v>68</v>
      </c>
      <c r="H2" s="29" t="s">
        <v>69</v>
      </c>
      <c r="I2" s="29" t="s">
        <v>70</v>
      </c>
      <c r="J2" s="29" t="s">
        <v>71</v>
      </c>
      <c r="K2" s="29" t="s">
        <v>72</v>
      </c>
      <c r="L2" s="29" t="s">
        <v>73</v>
      </c>
      <c r="M2" s="29" t="s">
        <v>74</v>
      </c>
      <c r="N2" s="29" t="s">
        <v>75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4</v>
      </c>
      <c r="U2" s="13" t="s">
        <v>9</v>
      </c>
      <c r="V2" s="13" t="s">
        <v>25</v>
      </c>
      <c r="W2" s="13" t="s">
        <v>47</v>
      </c>
      <c r="X2" s="13" t="s">
        <v>48</v>
      </c>
      <c r="Y2" s="13" t="s">
        <v>49</v>
      </c>
      <c r="Z2" s="13" t="s">
        <v>50</v>
      </c>
      <c r="AF2" s="16">
        <v>2018</v>
      </c>
      <c r="AG2" s="16">
        <v>2019</v>
      </c>
      <c r="AH2" s="16">
        <v>2020</v>
      </c>
      <c r="AI2" s="16">
        <v>2021</v>
      </c>
      <c r="AJ2" s="16">
        <v>2022</v>
      </c>
      <c r="AK2" s="16">
        <v>2023</v>
      </c>
      <c r="AL2" s="16">
        <v>2024</v>
      </c>
      <c r="AM2" s="16">
        <v>2025</v>
      </c>
      <c r="AN2" s="16">
        <v>2026</v>
      </c>
      <c r="AO2" s="16">
        <v>2027</v>
      </c>
    </row>
    <row r="3" spans="1:288" s="15" customFormat="1" x14ac:dyDescent="0.3">
      <c r="A3" s="14"/>
      <c r="B3" s="14" t="s">
        <v>59</v>
      </c>
      <c r="C3" s="25">
        <v>12906</v>
      </c>
      <c r="D3" s="25">
        <v>13466</v>
      </c>
      <c r="E3" s="25">
        <v>13298</v>
      </c>
      <c r="F3" s="25">
        <v>13976</v>
      </c>
      <c r="G3" s="25">
        <v>13118</v>
      </c>
      <c r="H3" s="25">
        <v>13264</v>
      </c>
      <c r="I3" s="25">
        <v>12680</v>
      </c>
      <c r="J3" s="25">
        <v>10449</v>
      </c>
      <c r="K3" s="25">
        <v>12028</v>
      </c>
      <c r="L3" s="25">
        <v>11801</v>
      </c>
      <c r="M3" s="25">
        <v>12131</v>
      </c>
      <c r="N3" s="25">
        <v>11684</v>
      </c>
      <c r="O3" s="15">
        <v>14516</v>
      </c>
      <c r="P3" s="15">
        <v>18899</v>
      </c>
      <c r="Q3" s="15">
        <v>24035</v>
      </c>
      <c r="R3" s="15">
        <v>23838</v>
      </c>
      <c r="S3" s="15">
        <v>25661</v>
      </c>
      <c r="T3" s="15">
        <v>27742</v>
      </c>
      <c r="U3" s="15">
        <v>22638</v>
      </c>
      <c r="V3" s="15">
        <v>24290</v>
      </c>
      <c r="W3" s="15">
        <v>18282</v>
      </c>
      <c r="X3" s="15">
        <f>T3*1.01</f>
        <v>28019.420000000002</v>
      </c>
      <c r="Y3" s="15">
        <f t="shared" ref="Y3:Z4" si="0">U3*1.01</f>
        <v>22864.38</v>
      </c>
      <c r="Z3" s="15">
        <f t="shared" si="0"/>
        <v>24532.9</v>
      </c>
      <c r="AF3" s="15">
        <f>SUM(C3:F3)</f>
        <v>53646</v>
      </c>
      <c r="AG3" s="15">
        <f>SUM(G3:J3)</f>
        <v>49511</v>
      </c>
      <c r="AH3" s="15">
        <f>SUM(K3:N3)</f>
        <v>47644</v>
      </c>
      <c r="AI3" s="15">
        <f>SUM(O3:R3)</f>
        <v>81288</v>
      </c>
      <c r="AJ3" s="15">
        <f>SUM(S3:V3)</f>
        <v>100331</v>
      </c>
      <c r="AK3" s="15">
        <f>SUM(W3:Z3)</f>
        <v>93698.700000000012</v>
      </c>
      <c r="AL3" s="15">
        <f>AK3*1.01</f>
        <v>94635.687000000005</v>
      </c>
      <c r="AM3" s="15">
        <f t="shared" ref="AM3:AO3" si="1">AL3*1.01</f>
        <v>95582.043870000009</v>
      </c>
      <c r="AN3" s="15">
        <f t="shared" si="1"/>
        <v>96537.864308700009</v>
      </c>
      <c r="AO3" s="15">
        <f t="shared" si="1"/>
        <v>97503.242951787004</v>
      </c>
    </row>
    <row r="4" spans="1:288" x14ac:dyDescent="0.3">
      <c r="B4" s="12" t="s">
        <v>17</v>
      </c>
      <c r="C4" s="18">
        <v>2563</v>
      </c>
      <c r="D4" s="18">
        <v>2916</v>
      </c>
      <c r="E4" s="18">
        <v>2694</v>
      </c>
      <c r="F4" s="18">
        <v>3075</v>
      </c>
      <c r="G4" s="18">
        <v>2433</v>
      </c>
      <c r="H4" s="18">
        <v>2576</v>
      </c>
      <c r="I4" s="18">
        <v>2602</v>
      </c>
      <c r="J4" s="18">
        <v>2087</v>
      </c>
      <c r="K4" s="18">
        <v>2378</v>
      </c>
      <c r="L4" s="18">
        <v>2281</v>
      </c>
      <c r="M4" s="18">
        <v>2529</v>
      </c>
      <c r="N4" s="18">
        <v>2919</v>
      </c>
      <c r="O4" s="7">
        <v>4157</v>
      </c>
      <c r="P4" s="7">
        <v>6996</v>
      </c>
      <c r="Q4" s="7">
        <v>9932</v>
      </c>
      <c r="R4" s="7">
        <v>9736</v>
      </c>
      <c r="S4" s="7">
        <v>9984</v>
      </c>
      <c r="T4" s="7">
        <v>8648</v>
      </c>
      <c r="U4" s="7">
        <v>6063</v>
      </c>
      <c r="V4" s="7">
        <v>9648</v>
      </c>
      <c r="W4" s="7">
        <v>4886</v>
      </c>
      <c r="X4" s="7">
        <f>T4*1.01</f>
        <v>8734.48</v>
      </c>
      <c r="Y4" s="7">
        <f t="shared" si="0"/>
        <v>6123.63</v>
      </c>
      <c r="Z4" s="7">
        <f t="shared" si="0"/>
        <v>9744.48</v>
      </c>
      <c r="AF4" s="7">
        <f>SUM(C4:F4)</f>
        <v>11248</v>
      </c>
      <c r="AG4" s="7">
        <f>SUM(G4:J4)</f>
        <v>9698</v>
      </c>
      <c r="AH4" s="7">
        <f>SUM(K4:N4)</f>
        <v>10107</v>
      </c>
      <c r="AI4" s="7">
        <f>SUM(O4:R4)</f>
        <v>30821</v>
      </c>
      <c r="AJ4" s="7">
        <f>SUM(S4:V4)</f>
        <v>34343</v>
      </c>
      <c r="AK4" s="7">
        <f>SUM(W4:Z4)</f>
        <v>29488.59</v>
      </c>
      <c r="AL4" s="7">
        <f>AK4*1.01</f>
        <v>29783.475900000001</v>
      </c>
      <c r="AM4" s="7">
        <f t="shared" ref="AM4:AO4" si="2">AL4*1.01</f>
        <v>30081.310659000002</v>
      </c>
      <c r="AN4" s="7">
        <f t="shared" si="2"/>
        <v>30382.123765590004</v>
      </c>
      <c r="AO4" s="7">
        <f t="shared" si="2"/>
        <v>30685.945003245903</v>
      </c>
    </row>
    <row r="5" spans="1:288" s="15" customFormat="1" x14ac:dyDescent="0.3">
      <c r="A5" s="14"/>
      <c r="B5" s="14" t="s">
        <v>18</v>
      </c>
      <c r="C5" s="15">
        <f t="shared" ref="C5:N5" si="3">C3-C4</f>
        <v>10343</v>
      </c>
      <c r="D5" s="15">
        <f t="shared" si="3"/>
        <v>10550</v>
      </c>
      <c r="E5" s="15">
        <f t="shared" si="3"/>
        <v>10604</v>
      </c>
      <c r="F5" s="15">
        <f>F3-F4</f>
        <v>10901</v>
      </c>
      <c r="G5" s="15">
        <f t="shared" si="3"/>
        <v>10685</v>
      </c>
      <c r="H5" s="15">
        <f t="shared" si="3"/>
        <v>10688</v>
      </c>
      <c r="I5" s="15">
        <f t="shared" si="3"/>
        <v>10078</v>
      </c>
      <c r="J5" s="15">
        <f t="shared" si="3"/>
        <v>8362</v>
      </c>
      <c r="K5" s="15">
        <f t="shared" si="3"/>
        <v>9650</v>
      </c>
      <c r="L5" s="15">
        <f t="shared" si="3"/>
        <v>9520</v>
      </c>
      <c r="M5" s="15">
        <f t="shared" si="3"/>
        <v>9602</v>
      </c>
      <c r="N5" s="15">
        <f t="shared" si="3"/>
        <v>8765</v>
      </c>
      <c r="O5" s="15">
        <f t="shared" ref="O5:Y5" si="4">O3-O4</f>
        <v>10359</v>
      </c>
      <c r="P5" s="15">
        <f t="shared" si="4"/>
        <v>11903</v>
      </c>
      <c r="Q5" s="15">
        <f t="shared" si="4"/>
        <v>14103</v>
      </c>
      <c r="R5" s="15">
        <f t="shared" si="4"/>
        <v>14102</v>
      </c>
      <c r="S5" s="15">
        <f t="shared" si="4"/>
        <v>15677</v>
      </c>
      <c r="T5" s="15">
        <f t="shared" si="4"/>
        <v>19094</v>
      </c>
      <c r="U5" s="15">
        <f t="shared" si="4"/>
        <v>16575</v>
      </c>
      <c r="V5" s="15">
        <f t="shared" si="4"/>
        <v>14642</v>
      </c>
      <c r="W5" s="15">
        <f t="shared" si="4"/>
        <v>13396</v>
      </c>
      <c r="X5" s="15">
        <f t="shared" si="4"/>
        <v>19284.940000000002</v>
      </c>
      <c r="Y5" s="15">
        <f t="shared" si="4"/>
        <v>16740.75</v>
      </c>
      <c r="Z5" s="15">
        <f>Z3-Z4</f>
        <v>14788.420000000002</v>
      </c>
      <c r="AF5" s="15">
        <f t="shared" ref="AF5:AH5" si="5">AF3-AF4</f>
        <v>42398</v>
      </c>
      <c r="AG5" s="15">
        <f t="shared" si="5"/>
        <v>39813</v>
      </c>
      <c r="AH5" s="15">
        <f t="shared" si="5"/>
        <v>37537</v>
      </c>
      <c r="AI5" s="15">
        <f>AI3-AI4</f>
        <v>50467</v>
      </c>
      <c r="AJ5" s="15">
        <f>AJ3-AJ4</f>
        <v>65988</v>
      </c>
      <c r="AK5" s="15">
        <f t="shared" ref="AK5:AO5" si="6">AK3-AK4</f>
        <v>64210.110000000015</v>
      </c>
      <c r="AL5" s="15">
        <f t="shared" si="6"/>
        <v>64852.2111</v>
      </c>
      <c r="AM5" s="15">
        <f t="shared" si="6"/>
        <v>65500.733211000006</v>
      </c>
      <c r="AN5" s="15">
        <f t="shared" si="6"/>
        <v>66155.740543110005</v>
      </c>
      <c r="AO5" s="15">
        <f t="shared" si="6"/>
        <v>66817.297948541105</v>
      </c>
    </row>
    <row r="6" spans="1:288" x14ac:dyDescent="0.3">
      <c r="B6" s="12" t="s">
        <v>64</v>
      </c>
      <c r="C6" s="18">
        <v>3412</v>
      </c>
      <c r="D6" s="18">
        <v>3542</v>
      </c>
      <c r="E6" s="18">
        <v>3494</v>
      </c>
      <c r="F6" s="18">
        <v>4007</v>
      </c>
      <c r="G6" s="18">
        <v>3339</v>
      </c>
      <c r="H6" s="18">
        <v>3511</v>
      </c>
      <c r="I6" s="18">
        <v>3260</v>
      </c>
      <c r="J6" s="18">
        <v>3748</v>
      </c>
      <c r="K6" s="18">
        <v>2873</v>
      </c>
      <c r="L6" s="18">
        <v>3030</v>
      </c>
      <c r="M6" s="18">
        <v>3016</v>
      </c>
      <c r="N6" s="18">
        <v>3757</v>
      </c>
      <c r="O6" s="7">
        <v>2777</v>
      </c>
      <c r="P6" s="7">
        <v>2923</v>
      </c>
      <c r="Q6" s="7">
        <v>2899</v>
      </c>
      <c r="R6" s="7">
        <v>4104</v>
      </c>
      <c r="S6" s="7">
        <v>2593</v>
      </c>
      <c r="T6" s="7">
        <v>3048</v>
      </c>
      <c r="U6" s="7">
        <v>3391</v>
      </c>
      <c r="V6" s="7">
        <v>4644</v>
      </c>
      <c r="W6" s="7">
        <v>3418</v>
      </c>
      <c r="X6" s="7">
        <f t="shared" ref="X6:X7" si="7">T6*1.01</f>
        <v>3078.48</v>
      </c>
      <c r="Y6" s="7">
        <f t="shared" ref="Y6:Y7" si="8">U6*1.01</f>
        <v>3424.91</v>
      </c>
      <c r="Z6" s="7">
        <f t="shared" ref="Z6:Z7" si="9">V6*1.01</f>
        <v>4690.4399999999996</v>
      </c>
      <c r="AF6" s="7">
        <f t="shared" ref="AF6:AF7" si="10">SUM(C6:F6)</f>
        <v>14455</v>
      </c>
      <c r="AG6" s="7">
        <f t="shared" ref="AG6:AG7" si="11">SUM(G6:J6)</f>
        <v>13858</v>
      </c>
      <c r="AH6" s="7">
        <f t="shared" ref="AH6:AH7" si="12">SUM(K6:N6)</f>
        <v>12676</v>
      </c>
      <c r="AI6" s="7">
        <f>SUM(O6:R6)</f>
        <v>12703</v>
      </c>
      <c r="AJ6" s="7">
        <f t="shared" ref="AJ6:AJ7" si="13">SUM(S6:V6)</f>
        <v>13676</v>
      </c>
      <c r="AK6" s="7">
        <f t="shared" ref="AK6:AK7" si="14">SUM(W6:Z6)</f>
        <v>14611.829999999998</v>
      </c>
      <c r="AL6" s="7">
        <f t="shared" ref="AL6:AO6" si="15">AK6*1.01</f>
        <v>14757.948299999998</v>
      </c>
      <c r="AM6" s="7">
        <f t="shared" si="15"/>
        <v>14905.527782999998</v>
      </c>
      <c r="AN6" s="7">
        <f t="shared" si="15"/>
        <v>15054.583060829998</v>
      </c>
      <c r="AO6" s="7">
        <f t="shared" si="15"/>
        <v>15205.128891438299</v>
      </c>
    </row>
    <row r="7" spans="1:288" x14ac:dyDescent="0.3">
      <c r="B7" s="12" t="s">
        <v>10</v>
      </c>
      <c r="C7" s="18">
        <v>1743</v>
      </c>
      <c r="D7" s="18">
        <v>1797</v>
      </c>
      <c r="E7" s="18">
        <v>2008</v>
      </c>
      <c r="F7" s="18">
        <v>2457</v>
      </c>
      <c r="G7" s="18">
        <v>1703</v>
      </c>
      <c r="H7" s="18">
        <v>1842</v>
      </c>
      <c r="I7" s="18">
        <v>2283</v>
      </c>
      <c r="J7" s="18">
        <v>2755</v>
      </c>
      <c r="K7" s="18">
        <v>1724</v>
      </c>
      <c r="L7" s="18">
        <v>2132</v>
      </c>
      <c r="M7" s="18">
        <v>2360</v>
      </c>
      <c r="N7" s="18">
        <v>3354</v>
      </c>
      <c r="O7" s="7">
        <f>1994+19</f>
        <v>2013</v>
      </c>
      <c r="P7" s="7">
        <f>2239+219</f>
        <v>2458</v>
      </c>
      <c r="Q7" s="7">
        <f>2681+762</f>
        <v>3443</v>
      </c>
      <c r="R7" s="7">
        <f>3445+2469</f>
        <v>5914</v>
      </c>
      <c r="S7" s="7">
        <f>2301+355</f>
        <v>2656</v>
      </c>
      <c r="T7" s="7">
        <f>2815+1</f>
        <v>2816</v>
      </c>
      <c r="U7" s="7">
        <f>2696+524</f>
        <v>3220</v>
      </c>
      <c r="V7" s="7">
        <f>3615+73</f>
        <v>3688</v>
      </c>
      <c r="W7" s="7">
        <f>2505+21</f>
        <v>2526</v>
      </c>
      <c r="X7" s="7">
        <f t="shared" si="7"/>
        <v>2844.16</v>
      </c>
      <c r="Y7" s="7">
        <f t="shared" si="8"/>
        <v>3252.2</v>
      </c>
      <c r="Z7" s="7">
        <f t="shared" si="9"/>
        <v>3724.88</v>
      </c>
      <c r="AF7" s="7">
        <f t="shared" si="10"/>
        <v>8005</v>
      </c>
      <c r="AG7" s="7">
        <f t="shared" si="11"/>
        <v>8583</v>
      </c>
      <c r="AH7" s="7">
        <f t="shared" si="12"/>
        <v>9570</v>
      </c>
      <c r="AI7" s="7">
        <f>SUM(O7:R7)</f>
        <v>13828</v>
      </c>
      <c r="AJ7" s="7">
        <f t="shared" si="13"/>
        <v>12380</v>
      </c>
      <c r="AK7" s="7">
        <f t="shared" si="14"/>
        <v>12347.240000000002</v>
      </c>
      <c r="AL7" s="7">
        <f t="shared" ref="AL7:AO7" si="16">AK7*1.01</f>
        <v>12470.712400000002</v>
      </c>
      <c r="AM7" s="7">
        <f t="shared" si="16"/>
        <v>12595.419524000003</v>
      </c>
      <c r="AN7" s="7">
        <f t="shared" si="16"/>
        <v>12721.373719240002</v>
      </c>
      <c r="AO7" s="7">
        <f t="shared" si="16"/>
        <v>12848.587456432402</v>
      </c>
    </row>
    <row r="8" spans="1:288" s="15" customFormat="1" x14ac:dyDescent="0.3">
      <c r="A8" s="14"/>
      <c r="B8" s="14" t="s">
        <v>11</v>
      </c>
      <c r="C8" s="15">
        <f t="shared" ref="C8:N8" si="17">C6+C7</f>
        <v>5155</v>
      </c>
      <c r="D8" s="15">
        <f t="shared" si="17"/>
        <v>5339</v>
      </c>
      <c r="E8" s="15">
        <f t="shared" si="17"/>
        <v>5502</v>
      </c>
      <c r="F8" s="15">
        <f t="shared" si="17"/>
        <v>6464</v>
      </c>
      <c r="G8" s="15">
        <f t="shared" si="17"/>
        <v>5042</v>
      </c>
      <c r="H8" s="15">
        <f t="shared" si="17"/>
        <v>5353</v>
      </c>
      <c r="I8" s="15">
        <f t="shared" si="17"/>
        <v>5543</v>
      </c>
      <c r="J8" s="15">
        <f t="shared" si="17"/>
        <v>6503</v>
      </c>
      <c r="K8" s="15">
        <f t="shared" si="17"/>
        <v>4597</v>
      </c>
      <c r="L8" s="15">
        <f t="shared" si="17"/>
        <v>5162</v>
      </c>
      <c r="M8" s="15">
        <f t="shared" si="17"/>
        <v>5376</v>
      </c>
      <c r="N8" s="15">
        <f t="shared" si="17"/>
        <v>7111</v>
      </c>
      <c r="O8" s="15">
        <f t="shared" ref="O8:Y8" si="18">O6+O7</f>
        <v>4790</v>
      </c>
      <c r="P8" s="15">
        <f t="shared" si="18"/>
        <v>5381</v>
      </c>
      <c r="Q8" s="15">
        <f t="shared" si="18"/>
        <v>6342</v>
      </c>
      <c r="R8" s="15">
        <f t="shared" si="18"/>
        <v>10018</v>
      </c>
      <c r="S8" s="15">
        <f t="shared" si="18"/>
        <v>5249</v>
      </c>
      <c r="T8" s="15">
        <f t="shared" si="18"/>
        <v>5864</v>
      </c>
      <c r="U8" s="15">
        <f t="shared" si="18"/>
        <v>6611</v>
      </c>
      <c r="V8" s="15">
        <f t="shared" si="18"/>
        <v>8332</v>
      </c>
      <c r="W8" s="15">
        <f t="shared" si="18"/>
        <v>5944</v>
      </c>
      <c r="X8" s="15">
        <f t="shared" si="18"/>
        <v>5922.6399999999994</v>
      </c>
      <c r="Y8" s="15">
        <f t="shared" si="18"/>
        <v>6677.11</v>
      </c>
      <c r="Z8" s="15">
        <f>Z6+Z7</f>
        <v>8415.32</v>
      </c>
      <c r="AF8" s="15">
        <f t="shared" ref="AF8:AH8" si="19">AF6+AF7</f>
        <v>22460</v>
      </c>
      <c r="AG8" s="15">
        <f t="shared" si="19"/>
        <v>22441</v>
      </c>
      <c r="AH8" s="15">
        <f t="shared" si="19"/>
        <v>22246</v>
      </c>
      <c r="AI8" s="15">
        <f>AI6+AI7</f>
        <v>26531</v>
      </c>
      <c r="AJ8" s="15">
        <f t="shared" ref="AJ8:AO8" si="20">AJ6+AJ7</f>
        <v>26056</v>
      </c>
      <c r="AK8" s="15">
        <f t="shared" si="20"/>
        <v>26959.07</v>
      </c>
      <c r="AL8" s="15">
        <f t="shared" si="20"/>
        <v>27228.6607</v>
      </c>
      <c r="AM8" s="15">
        <f t="shared" si="20"/>
        <v>27500.947307000002</v>
      </c>
      <c r="AN8" s="15">
        <f t="shared" si="20"/>
        <v>27775.956780070002</v>
      </c>
      <c r="AO8" s="15">
        <f t="shared" si="20"/>
        <v>28053.716347870701</v>
      </c>
    </row>
    <row r="9" spans="1:288" s="15" customFormat="1" x14ac:dyDescent="0.3">
      <c r="A9" s="14"/>
      <c r="B9" s="14" t="s">
        <v>19</v>
      </c>
      <c r="C9" s="15">
        <f t="shared" ref="C9:N9" si="21">C5-C8</f>
        <v>5188</v>
      </c>
      <c r="D9" s="15">
        <f t="shared" si="21"/>
        <v>5211</v>
      </c>
      <c r="E9" s="15">
        <f t="shared" si="21"/>
        <v>5102</v>
      </c>
      <c r="F9" s="15">
        <f t="shared" si="21"/>
        <v>4437</v>
      </c>
      <c r="G9" s="15">
        <f t="shared" si="21"/>
        <v>5643</v>
      </c>
      <c r="H9" s="15">
        <f t="shared" si="21"/>
        <v>5335</v>
      </c>
      <c r="I9" s="15">
        <f t="shared" si="21"/>
        <v>4535</v>
      </c>
      <c r="J9" s="15">
        <f t="shared" si="21"/>
        <v>1859</v>
      </c>
      <c r="K9" s="15">
        <f t="shared" si="21"/>
        <v>5053</v>
      </c>
      <c r="L9" s="15">
        <f t="shared" si="21"/>
        <v>4358</v>
      </c>
      <c r="M9" s="15">
        <f t="shared" si="21"/>
        <v>4226</v>
      </c>
      <c r="N9" s="15">
        <f t="shared" si="21"/>
        <v>1654</v>
      </c>
      <c r="O9" s="15">
        <f t="shared" ref="O9:Y9" si="22">O5-O8</f>
        <v>5569</v>
      </c>
      <c r="P9" s="15">
        <f t="shared" si="22"/>
        <v>6522</v>
      </c>
      <c r="Q9" s="15">
        <f t="shared" si="22"/>
        <v>7761</v>
      </c>
      <c r="R9" s="15">
        <f t="shared" si="22"/>
        <v>4084</v>
      </c>
      <c r="S9" s="15">
        <f t="shared" si="22"/>
        <v>10428</v>
      </c>
      <c r="T9" s="15">
        <f t="shared" si="22"/>
        <v>13230</v>
      </c>
      <c r="U9" s="15">
        <f t="shared" si="22"/>
        <v>9964</v>
      </c>
      <c r="V9" s="15">
        <f t="shared" si="22"/>
        <v>6310</v>
      </c>
      <c r="W9" s="15">
        <f t="shared" si="22"/>
        <v>7452</v>
      </c>
      <c r="X9" s="15">
        <f t="shared" si="22"/>
        <v>13362.300000000003</v>
      </c>
      <c r="Y9" s="15">
        <f t="shared" si="22"/>
        <v>10063.64</v>
      </c>
      <c r="Z9" s="15">
        <f>Z5-Z8</f>
        <v>6373.1000000000022</v>
      </c>
      <c r="AF9" s="15">
        <f t="shared" ref="AF9:AH9" si="23">AF5-AF8</f>
        <v>19938</v>
      </c>
      <c r="AG9" s="15">
        <f t="shared" si="23"/>
        <v>17372</v>
      </c>
      <c r="AH9" s="15">
        <f t="shared" si="23"/>
        <v>15291</v>
      </c>
      <c r="AI9" s="15">
        <f>AI5-AI8</f>
        <v>23936</v>
      </c>
      <c r="AJ9" s="15">
        <f t="shared" ref="AJ9:AO9" si="24">AJ5-AJ8</f>
        <v>39932</v>
      </c>
      <c r="AK9" s="15">
        <f t="shared" si="24"/>
        <v>37251.040000000015</v>
      </c>
      <c r="AL9" s="15">
        <f t="shared" si="24"/>
        <v>37623.5504</v>
      </c>
      <c r="AM9" s="15">
        <f t="shared" si="24"/>
        <v>37999.785904000004</v>
      </c>
      <c r="AN9" s="15">
        <f t="shared" si="24"/>
        <v>38379.783763040003</v>
      </c>
      <c r="AO9" s="15">
        <f t="shared" si="24"/>
        <v>38763.581600670404</v>
      </c>
    </row>
    <row r="10" spans="1:288" x14ac:dyDescent="0.3">
      <c r="B10" s="12" t="s">
        <v>60</v>
      </c>
      <c r="C10" s="18">
        <v>-178</v>
      </c>
      <c r="D10" s="18">
        <v>-551</v>
      </c>
      <c r="E10" s="18">
        <v>-414</v>
      </c>
      <c r="F10" s="18">
        <v>3259</v>
      </c>
      <c r="G10" s="18">
        <v>92</v>
      </c>
      <c r="H10" s="18">
        <v>126</v>
      </c>
      <c r="I10" s="18">
        <v>319</v>
      </c>
      <c r="J10" s="18">
        <v>2795</v>
      </c>
      <c r="K10" s="18">
        <v>221</v>
      </c>
      <c r="L10" s="18">
        <v>-862</v>
      </c>
      <c r="M10" s="18">
        <v>1148</v>
      </c>
      <c r="N10" s="18">
        <v>436</v>
      </c>
      <c r="O10" s="7">
        <v>-1004</v>
      </c>
      <c r="P10" s="7">
        <v>-1343</v>
      </c>
      <c r="Q10" s="7">
        <v>-1696</v>
      </c>
      <c r="R10" s="7">
        <v>-835</v>
      </c>
      <c r="S10" s="7">
        <v>350</v>
      </c>
      <c r="T10" s="7">
        <v>772</v>
      </c>
      <c r="U10" s="7">
        <v>-59</v>
      </c>
      <c r="V10" s="7">
        <v>-846</v>
      </c>
      <c r="W10" s="7">
        <v>70</v>
      </c>
      <c r="X10" s="7">
        <f t="shared" ref="X10" si="25">T10*1.01</f>
        <v>779.72</v>
      </c>
      <c r="Y10" s="7">
        <f t="shared" ref="Y10" si="26">U10*1.01</f>
        <v>-59.59</v>
      </c>
      <c r="Z10" s="7">
        <f t="shared" ref="Z10" si="27">V10*1.01</f>
        <v>-854.46</v>
      </c>
      <c r="AF10" s="7">
        <f t="shared" ref="AF10" si="28">SUM(C10:F10)</f>
        <v>2116</v>
      </c>
      <c r="AG10" s="7">
        <f t="shared" ref="AG10" si="29">SUM(G10:J10)</f>
        <v>3332</v>
      </c>
      <c r="AH10" s="7">
        <f t="shared" ref="AH10" si="30">SUM(K10:N10)</f>
        <v>943</v>
      </c>
      <c r="AI10" s="7">
        <f>SUM(O10:R10)</f>
        <v>-4878</v>
      </c>
      <c r="AJ10" s="7">
        <f>SUM(S10:V10)</f>
        <v>217</v>
      </c>
      <c r="AK10" s="7">
        <f t="shared" ref="AK10" si="31">SUM(W10:Z10)</f>
        <v>-64.330000000000041</v>
      </c>
      <c r="AL10" s="7">
        <f t="shared" ref="AL10:AO10" si="32">AK10*1.01</f>
        <v>-64.973300000000037</v>
      </c>
      <c r="AM10" s="7">
        <f t="shared" si="32"/>
        <v>-65.623033000000035</v>
      </c>
      <c r="AN10" s="7">
        <f t="shared" si="32"/>
        <v>-66.279263330000035</v>
      </c>
      <c r="AO10" s="7">
        <f t="shared" si="32"/>
        <v>-66.942055963300035</v>
      </c>
    </row>
    <row r="11" spans="1:288" x14ac:dyDescent="0.3">
      <c r="B11" s="12" t="s">
        <v>12</v>
      </c>
      <c r="C11" s="7">
        <f t="shared" ref="C11:Z11" si="33">C9-C10</f>
        <v>5366</v>
      </c>
      <c r="D11" s="7">
        <f t="shared" si="33"/>
        <v>5762</v>
      </c>
      <c r="E11" s="7">
        <f t="shared" si="33"/>
        <v>5516</v>
      </c>
      <c r="F11" s="7">
        <f t="shared" si="33"/>
        <v>1178</v>
      </c>
      <c r="G11" s="7">
        <f t="shared" si="33"/>
        <v>5551</v>
      </c>
      <c r="H11" s="7">
        <f t="shared" si="33"/>
        <v>5209</v>
      </c>
      <c r="I11" s="7">
        <f t="shared" si="33"/>
        <v>4216</v>
      </c>
      <c r="J11" s="7">
        <f t="shared" si="33"/>
        <v>-936</v>
      </c>
      <c r="K11" s="7">
        <f t="shared" si="33"/>
        <v>4832</v>
      </c>
      <c r="L11" s="7">
        <f t="shared" si="33"/>
        <v>5220</v>
      </c>
      <c r="M11" s="7">
        <f t="shared" si="33"/>
        <v>3078</v>
      </c>
      <c r="N11" s="7">
        <f t="shared" si="33"/>
        <v>1218</v>
      </c>
      <c r="O11" s="7">
        <f t="shared" si="33"/>
        <v>6573</v>
      </c>
      <c r="P11" s="7">
        <f t="shared" si="33"/>
        <v>7865</v>
      </c>
      <c r="Q11" s="7">
        <f t="shared" si="33"/>
        <v>9457</v>
      </c>
      <c r="R11" s="7">
        <f t="shared" si="33"/>
        <v>4919</v>
      </c>
      <c r="S11" s="7">
        <f t="shared" si="33"/>
        <v>10078</v>
      </c>
      <c r="T11" s="7">
        <f t="shared" si="33"/>
        <v>12458</v>
      </c>
      <c r="U11" s="7">
        <f t="shared" si="33"/>
        <v>10023</v>
      </c>
      <c r="V11" s="7">
        <f t="shared" si="33"/>
        <v>7156</v>
      </c>
      <c r="W11" s="7">
        <f t="shared" si="33"/>
        <v>7382</v>
      </c>
      <c r="X11" s="7">
        <f t="shared" si="33"/>
        <v>12582.580000000004</v>
      </c>
      <c r="Y11" s="7">
        <f t="shared" si="33"/>
        <v>10123.23</v>
      </c>
      <c r="Z11" s="7">
        <f t="shared" si="33"/>
        <v>7227.5600000000022</v>
      </c>
      <c r="AF11" s="7">
        <f>AF9-AF10</f>
        <v>17822</v>
      </c>
      <c r="AG11" s="7">
        <f t="shared" ref="AG11:AO11" si="34">AG9-AG10</f>
        <v>14040</v>
      </c>
      <c r="AH11" s="7">
        <f t="shared" si="34"/>
        <v>14348</v>
      </c>
      <c r="AI11" s="7">
        <f t="shared" si="34"/>
        <v>28814</v>
      </c>
      <c r="AJ11" s="7">
        <f t="shared" si="34"/>
        <v>39715</v>
      </c>
      <c r="AK11" s="7">
        <f t="shared" si="34"/>
        <v>37315.370000000017</v>
      </c>
      <c r="AL11" s="7">
        <f t="shared" si="34"/>
        <v>37688.523699999998</v>
      </c>
      <c r="AM11" s="7">
        <f t="shared" si="34"/>
        <v>38065.408937000007</v>
      </c>
      <c r="AN11" s="7">
        <f t="shared" si="34"/>
        <v>38446.06302637</v>
      </c>
      <c r="AO11" s="7">
        <f t="shared" si="34"/>
        <v>38830.523656633704</v>
      </c>
    </row>
    <row r="12" spans="1:288" x14ac:dyDescent="0.3">
      <c r="B12" s="12" t="s">
        <v>13</v>
      </c>
      <c r="C12" s="18">
        <v>556</v>
      </c>
      <c r="D12" s="18">
        <v>648</v>
      </c>
      <c r="E12" s="18">
        <v>66</v>
      </c>
      <c r="F12" s="18">
        <v>-563</v>
      </c>
      <c r="G12" s="18">
        <v>433</v>
      </c>
      <c r="H12" s="18">
        <v>-915</v>
      </c>
      <c r="I12" s="18">
        <v>3047</v>
      </c>
      <c r="J12" s="18">
        <v>-1221</v>
      </c>
      <c r="K12" s="18">
        <v>475</v>
      </c>
      <c r="L12" s="18">
        <v>519</v>
      </c>
      <c r="M12" s="18">
        <v>-26</v>
      </c>
      <c r="N12" s="18">
        <v>-170</v>
      </c>
      <c r="O12" s="7">
        <v>808</v>
      </c>
      <c r="P12" s="7">
        <v>1123</v>
      </c>
      <c r="Q12" s="7">
        <v>-328</v>
      </c>
      <c r="R12" s="7">
        <v>249</v>
      </c>
      <c r="S12" s="7">
        <v>1172</v>
      </c>
      <c r="T12" s="7">
        <v>1570</v>
      </c>
      <c r="U12" s="7">
        <v>356</v>
      </c>
      <c r="V12" s="7">
        <v>230</v>
      </c>
      <c r="W12" s="7">
        <v>715</v>
      </c>
      <c r="X12" s="7">
        <f t="shared" ref="X12:Z13" si="35">T12*1.01</f>
        <v>1585.7</v>
      </c>
      <c r="Y12" s="7">
        <f t="shared" si="35"/>
        <v>359.56</v>
      </c>
      <c r="Z12" s="7">
        <f t="shared" si="35"/>
        <v>232.3</v>
      </c>
      <c r="AF12" s="7">
        <f>SUM(C12:F12)</f>
        <v>707</v>
      </c>
      <c r="AG12" s="7">
        <f t="shared" ref="AG12:AG13" si="36">SUM(G12:J12)</f>
        <v>1344</v>
      </c>
      <c r="AH12" s="7">
        <f t="shared" ref="AH12:AH13" si="37">SUM(K12:N12)</f>
        <v>798</v>
      </c>
      <c r="AI12" s="7">
        <f>SUM(O12:R12)</f>
        <v>1852</v>
      </c>
      <c r="AJ12" s="7">
        <f>SUM(S12:V12)</f>
        <v>3328</v>
      </c>
      <c r="AK12" s="7">
        <f>SUM(W12:Z12)</f>
        <v>2892.56</v>
      </c>
      <c r="AL12" s="7">
        <f>AL11*0.21</f>
        <v>7914.5899769999996</v>
      </c>
      <c r="AM12" s="7">
        <f t="shared" ref="AM12:AO12" si="38">AM11*0.21</f>
        <v>7993.7358767700016</v>
      </c>
      <c r="AN12" s="7">
        <f t="shared" si="38"/>
        <v>8073.6732355376998</v>
      </c>
      <c r="AO12" s="7">
        <f t="shared" si="38"/>
        <v>8154.4099678930779</v>
      </c>
    </row>
    <row r="13" spans="1:288" x14ac:dyDescent="0.3">
      <c r="B13" s="12" t="s">
        <v>67</v>
      </c>
      <c r="C13" s="18">
        <v>-1</v>
      </c>
      <c r="D13" s="18">
        <v>0</v>
      </c>
      <c r="E13" s="18">
        <v>11</v>
      </c>
      <c r="F13" s="18">
        <v>0</v>
      </c>
      <c r="G13" s="18">
        <v>0</v>
      </c>
      <c r="H13" s="18">
        <v>0</v>
      </c>
      <c r="I13" s="18">
        <v>4</v>
      </c>
      <c r="J13" s="18">
        <v>716</v>
      </c>
      <c r="K13" s="18">
        <v>0</v>
      </c>
      <c r="L13" s="18">
        <v>0</v>
      </c>
      <c r="M13" s="18">
        <v>0</v>
      </c>
      <c r="N13" s="18">
        <v>257</v>
      </c>
      <c r="O13" s="7">
        <v>1</v>
      </c>
      <c r="P13" s="7">
        <v>-236</v>
      </c>
      <c r="Q13" s="7">
        <v>-13</v>
      </c>
      <c r="R13" s="7">
        <v>-187</v>
      </c>
      <c r="S13" s="7">
        <v>-9</v>
      </c>
      <c r="T13" s="7">
        <v>34</v>
      </c>
      <c r="U13" s="7">
        <v>-21</v>
      </c>
      <c r="V13" s="7">
        <v>2</v>
      </c>
      <c r="W13" s="7">
        <v>1</v>
      </c>
      <c r="X13" s="7">
        <f t="shared" si="35"/>
        <v>34.340000000000003</v>
      </c>
      <c r="Y13" s="7">
        <f t="shared" si="35"/>
        <v>-21.21</v>
      </c>
      <c r="Z13" s="7">
        <f t="shared" si="35"/>
        <v>2.02</v>
      </c>
      <c r="AF13" s="7">
        <f>SUM(C13:F13)</f>
        <v>10</v>
      </c>
      <c r="AG13" s="7">
        <f t="shared" si="36"/>
        <v>720</v>
      </c>
      <c r="AH13" s="7">
        <f t="shared" si="37"/>
        <v>257</v>
      </c>
      <c r="AI13" s="7">
        <f>SUM(O13:R13)</f>
        <v>-435</v>
      </c>
      <c r="AJ13" s="7">
        <f>SUM(S13:V13)</f>
        <v>6</v>
      </c>
      <c r="AK13" s="7">
        <f>SUM(W13:Z13)</f>
        <v>16.150000000000002</v>
      </c>
      <c r="AL13" s="7">
        <f>AK13*1.01</f>
        <v>16.311500000000002</v>
      </c>
      <c r="AM13" s="7">
        <f t="shared" ref="AM13:AO13" si="39">AL13*1.01</f>
        <v>16.474615000000004</v>
      </c>
      <c r="AN13" s="7">
        <f t="shared" si="39"/>
        <v>16.639361150000003</v>
      </c>
      <c r="AO13" s="7">
        <f t="shared" si="39"/>
        <v>16.805754761500001</v>
      </c>
    </row>
    <row r="14" spans="1:288" x14ac:dyDescent="0.3">
      <c r="B14" s="12" t="s">
        <v>65</v>
      </c>
      <c r="C14" s="7">
        <f t="shared" ref="C14" si="40">C11-C12+C13</f>
        <v>4809</v>
      </c>
      <c r="D14" s="7">
        <f t="shared" ref="D14" si="41">D11-D12+D13</f>
        <v>5114</v>
      </c>
      <c r="E14" s="7">
        <f t="shared" ref="E14" si="42">E11-E12+E13</f>
        <v>5461</v>
      </c>
      <c r="F14" s="7">
        <f t="shared" ref="F14" si="43">F11-F12+F13</f>
        <v>1741</v>
      </c>
      <c r="G14" s="7">
        <f t="shared" ref="G14" si="44">G11-G12+G13</f>
        <v>5118</v>
      </c>
      <c r="H14" s="7">
        <f t="shared" ref="H14" si="45">H11-H12+H13</f>
        <v>6124</v>
      </c>
      <c r="I14" s="7">
        <f t="shared" ref="I14" si="46">I11-I12+I13</f>
        <v>1173</v>
      </c>
      <c r="J14" s="7">
        <f t="shared" ref="J14" si="47">J11-J12+J13</f>
        <v>1001</v>
      </c>
      <c r="K14" s="7">
        <f t="shared" ref="K14" si="48">K11-K12+K13</f>
        <v>4357</v>
      </c>
      <c r="L14" s="7">
        <f t="shared" ref="L14" si="49">L11-L12+L13</f>
        <v>4701</v>
      </c>
      <c r="M14" s="7">
        <f t="shared" ref="M14" si="50">M11-M12+M13</f>
        <v>3104</v>
      </c>
      <c r="N14" s="7">
        <f t="shared" ref="N14" si="51">N11-N12+N13</f>
        <v>1645</v>
      </c>
      <c r="O14" s="7">
        <f t="shared" ref="O14:V14" si="52">O11-O12+O13</f>
        <v>5766</v>
      </c>
      <c r="P14" s="7">
        <f t="shared" si="52"/>
        <v>6506</v>
      </c>
      <c r="Q14" s="7">
        <f t="shared" si="52"/>
        <v>9772</v>
      </c>
      <c r="R14" s="7">
        <f t="shared" si="52"/>
        <v>4483</v>
      </c>
      <c r="S14" s="7">
        <f t="shared" si="52"/>
        <v>8897</v>
      </c>
      <c r="T14" s="7">
        <f t="shared" si="52"/>
        <v>10922</v>
      </c>
      <c r="U14" s="7">
        <f t="shared" si="52"/>
        <v>9646</v>
      </c>
      <c r="V14" s="7">
        <f t="shared" si="52"/>
        <v>6928</v>
      </c>
      <c r="W14" s="7">
        <f>W11-W12+W13</f>
        <v>6668</v>
      </c>
      <c r="X14" s="7">
        <f t="shared" ref="X14:Z14" si="53">X11-X12+X13</f>
        <v>11031.220000000003</v>
      </c>
      <c r="Y14" s="7">
        <f t="shared" si="53"/>
        <v>9742.4600000000009</v>
      </c>
      <c r="Z14" s="7">
        <f t="shared" si="53"/>
        <v>6997.2800000000025</v>
      </c>
      <c r="AF14" s="7">
        <f t="shared" ref="AF14:AI14" si="54">AF11-AF12</f>
        <v>17115</v>
      </c>
      <c r="AG14" s="7">
        <f t="shared" si="54"/>
        <v>12696</v>
      </c>
      <c r="AH14" s="7">
        <f t="shared" si="54"/>
        <v>13550</v>
      </c>
      <c r="AI14" s="7">
        <f>AI11-AI12</f>
        <v>26962</v>
      </c>
      <c r="AJ14" s="7">
        <f t="shared" ref="AJ14:AO14" si="55">AJ11-AJ12</f>
        <v>36387</v>
      </c>
      <c r="AK14" s="7">
        <f t="shared" si="55"/>
        <v>34422.810000000019</v>
      </c>
      <c r="AL14" s="7">
        <f t="shared" si="55"/>
        <v>29773.933722999998</v>
      </c>
      <c r="AM14" s="7">
        <f t="shared" si="55"/>
        <v>30071.673060230005</v>
      </c>
      <c r="AN14" s="7">
        <f t="shared" si="55"/>
        <v>30372.389790832302</v>
      </c>
      <c r="AO14" s="7">
        <f t="shared" si="55"/>
        <v>30676.113688740625</v>
      </c>
    </row>
    <row r="15" spans="1:288" x14ac:dyDescent="0.3">
      <c r="B15" s="12" t="s">
        <v>66</v>
      </c>
      <c r="C15" s="18">
        <v>9</v>
      </c>
      <c r="D15" s="18">
        <v>7</v>
      </c>
      <c r="E15" s="18">
        <v>8</v>
      </c>
      <c r="F15" s="18">
        <v>11</v>
      </c>
      <c r="G15" s="18">
        <v>6</v>
      </c>
      <c r="H15" s="18">
        <v>10</v>
      </c>
      <c r="I15" s="18">
        <v>4</v>
      </c>
      <c r="J15" s="18">
        <v>10</v>
      </c>
      <c r="K15" s="18">
        <v>9</v>
      </c>
      <c r="L15" s="18">
        <v>8</v>
      </c>
      <c r="M15" s="18">
        <v>8</v>
      </c>
      <c r="N15" s="18">
        <v>11</v>
      </c>
      <c r="O15" s="7">
        <v>9</v>
      </c>
      <c r="P15" s="7">
        <v>26</v>
      </c>
      <c r="Q15" s="7">
        <v>12</v>
      </c>
      <c r="R15" s="7">
        <v>-2</v>
      </c>
      <c r="S15" s="7">
        <v>6</v>
      </c>
      <c r="T15" s="7">
        <v>6</v>
      </c>
      <c r="U15" s="7">
        <v>15</v>
      </c>
      <c r="V15" s="7">
        <v>8</v>
      </c>
      <c r="W15" s="7">
        <v>13</v>
      </c>
      <c r="X15" s="7">
        <f t="shared" ref="X15:Z15" si="56">T15*1.01</f>
        <v>6.0600000000000005</v>
      </c>
      <c r="Y15" s="7">
        <f t="shared" si="56"/>
        <v>15.15</v>
      </c>
      <c r="Z15" s="7">
        <f t="shared" si="56"/>
        <v>8.08</v>
      </c>
      <c r="AF15" s="7">
        <f>SUM(C15:F15)</f>
        <v>35</v>
      </c>
      <c r="AG15" s="7">
        <f>SUM(G15:J15)</f>
        <v>30</v>
      </c>
      <c r="AH15" s="7">
        <f>SUM(K15:N15)</f>
        <v>36</v>
      </c>
      <c r="AI15" s="7">
        <f>SUM(O15:R15)</f>
        <v>45</v>
      </c>
      <c r="AJ15" s="7">
        <f>SUM(S15:V15)</f>
        <v>35</v>
      </c>
      <c r="AK15" s="7">
        <f>SUM(W15:Z15)</f>
        <v>42.29</v>
      </c>
      <c r="AL15" s="7">
        <f t="shared" ref="AL15:AO15" si="57">AK15*1.01</f>
        <v>42.712899999999998</v>
      </c>
      <c r="AM15" s="7">
        <f t="shared" si="57"/>
        <v>43.140028999999998</v>
      </c>
      <c r="AN15" s="7">
        <f t="shared" si="57"/>
        <v>43.571429289999998</v>
      </c>
      <c r="AO15" s="7">
        <f t="shared" si="57"/>
        <v>44.0071435829</v>
      </c>
    </row>
    <row r="16" spans="1:288" s="15" customFormat="1" x14ac:dyDescent="0.3">
      <c r="A16" s="14"/>
      <c r="B16" s="14" t="s">
        <v>14</v>
      </c>
      <c r="C16" s="15">
        <f t="shared" ref="C16" si="58">C14-C15</f>
        <v>4800</v>
      </c>
      <c r="D16" s="15">
        <f t="shared" ref="D16" si="59">D14-D15</f>
        <v>5107</v>
      </c>
      <c r="E16" s="15">
        <f t="shared" ref="E16" si="60">E14-E15</f>
        <v>5453</v>
      </c>
      <c r="F16" s="15">
        <f t="shared" ref="F16" si="61">F14-F15</f>
        <v>1730</v>
      </c>
      <c r="G16" s="15">
        <f t="shared" ref="G16" si="62">G14-G15</f>
        <v>5112</v>
      </c>
      <c r="H16" s="15">
        <f t="shared" ref="H16" si="63">H14-H15</f>
        <v>6114</v>
      </c>
      <c r="I16" s="15">
        <f t="shared" ref="I16" si="64">I14-I15</f>
        <v>1169</v>
      </c>
      <c r="J16" s="15">
        <f t="shared" ref="J16" si="65">J14-J15</f>
        <v>991</v>
      </c>
      <c r="K16" s="15">
        <f t="shared" ref="K16" si="66">K14-K15</f>
        <v>4348</v>
      </c>
      <c r="L16" s="15">
        <f t="shared" ref="L16" si="67">L14-L15</f>
        <v>4693</v>
      </c>
      <c r="M16" s="15">
        <f t="shared" ref="M16" si="68">M14-M15</f>
        <v>3096</v>
      </c>
      <c r="N16" s="15">
        <f t="shared" ref="N16" si="69">N14-N15</f>
        <v>1634</v>
      </c>
      <c r="O16" s="15">
        <f t="shared" ref="O16:V16" si="70">O14-O15</f>
        <v>5757</v>
      </c>
      <c r="P16" s="15">
        <f t="shared" si="70"/>
        <v>6480</v>
      </c>
      <c r="Q16" s="15">
        <f t="shared" si="70"/>
        <v>9760</v>
      </c>
      <c r="R16" s="15">
        <f t="shared" si="70"/>
        <v>4485</v>
      </c>
      <c r="S16" s="15">
        <f t="shared" si="70"/>
        <v>8891</v>
      </c>
      <c r="T16" s="15">
        <f t="shared" si="70"/>
        <v>10916</v>
      </c>
      <c r="U16" s="15">
        <f t="shared" si="70"/>
        <v>9631</v>
      </c>
      <c r="V16" s="15">
        <f t="shared" si="70"/>
        <v>6920</v>
      </c>
      <c r="W16" s="15">
        <f>W14-W15</f>
        <v>6655</v>
      </c>
      <c r="X16" s="15">
        <f t="shared" ref="X16:Z16" si="71">X14-X15</f>
        <v>11025.160000000003</v>
      </c>
      <c r="Y16" s="15">
        <f t="shared" si="71"/>
        <v>9727.3100000000013</v>
      </c>
      <c r="Z16" s="15">
        <f t="shared" si="71"/>
        <v>6989.2000000000025</v>
      </c>
      <c r="AF16" s="15">
        <f t="shared" ref="AF16" si="72">AF14-AF15</f>
        <v>17080</v>
      </c>
      <c r="AG16" s="15">
        <f t="shared" ref="AG16" si="73">AG14-AG15</f>
        <v>12666</v>
      </c>
      <c r="AH16" s="15">
        <f t="shared" ref="AH16" si="74">AH14-AH15</f>
        <v>13514</v>
      </c>
      <c r="AI16" s="15">
        <f>AI14-AI15</f>
        <v>26917</v>
      </c>
      <c r="AJ16" s="15">
        <f t="shared" ref="AJ16" si="75">AJ14-AJ15</f>
        <v>36352</v>
      </c>
      <c r="AK16" s="15">
        <f t="shared" ref="AK16" si="76">AK14-AK15</f>
        <v>34380.520000000019</v>
      </c>
      <c r="AL16" s="15">
        <f t="shared" ref="AL16" si="77">AL14-AL15</f>
        <v>29731.220823</v>
      </c>
      <c r="AM16" s="15">
        <f t="shared" ref="AM16" si="78">AM14-AM15</f>
        <v>30028.533031230007</v>
      </c>
      <c r="AN16" s="15">
        <f t="shared" ref="AN16" si="79">AN14-AN15</f>
        <v>30328.8183615423</v>
      </c>
      <c r="AO16" s="15">
        <f t="shared" ref="AO16" si="80">AO14-AO15</f>
        <v>30632.106545157723</v>
      </c>
      <c r="AP16" s="7">
        <f>AO14*(1+$AS$22)</f>
        <v>30369.352551853219</v>
      </c>
      <c r="AQ16" s="7">
        <f t="shared" ref="AQ16:DB16" si="81">AP16*(1+$AS$22)</f>
        <v>30065.659026334688</v>
      </c>
      <c r="AR16" s="7">
        <f t="shared" si="81"/>
        <v>29765.00243607134</v>
      </c>
      <c r="AS16" s="7">
        <f t="shared" si="81"/>
        <v>29467.352411710624</v>
      </c>
      <c r="AT16" s="7">
        <f t="shared" si="81"/>
        <v>29172.678887593516</v>
      </c>
      <c r="AU16" s="7">
        <f t="shared" si="81"/>
        <v>28880.952098717582</v>
      </c>
      <c r="AV16" s="7">
        <f t="shared" si="81"/>
        <v>28592.142577730407</v>
      </c>
      <c r="AW16" s="7">
        <f t="shared" si="81"/>
        <v>28306.221151953101</v>
      </c>
      <c r="AX16" s="7">
        <f t="shared" si="81"/>
        <v>28023.158940433568</v>
      </c>
      <c r="AY16" s="7">
        <f t="shared" si="81"/>
        <v>27742.927351029233</v>
      </c>
      <c r="AZ16" s="7">
        <f t="shared" si="81"/>
        <v>27465.49807751894</v>
      </c>
      <c r="BA16" s="7">
        <f t="shared" si="81"/>
        <v>27190.843096743749</v>
      </c>
      <c r="BB16" s="7">
        <f t="shared" si="81"/>
        <v>26918.934665776313</v>
      </c>
      <c r="BC16" s="7">
        <f t="shared" si="81"/>
        <v>26649.745319118549</v>
      </c>
      <c r="BD16" s="7">
        <f t="shared" si="81"/>
        <v>26383.247865927362</v>
      </c>
      <c r="BE16" s="7">
        <f t="shared" si="81"/>
        <v>26119.415387268087</v>
      </c>
      <c r="BF16" s="7">
        <f t="shared" si="81"/>
        <v>25858.221233395405</v>
      </c>
      <c r="BG16" s="7">
        <f t="shared" si="81"/>
        <v>25599.639021061452</v>
      </c>
      <c r="BH16" s="7">
        <f t="shared" si="81"/>
        <v>25343.642630850838</v>
      </c>
      <c r="BI16" s="7">
        <f t="shared" si="81"/>
        <v>25090.20620454233</v>
      </c>
      <c r="BJ16" s="7">
        <f t="shared" si="81"/>
        <v>24839.304142496905</v>
      </c>
      <c r="BK16" s="7">
        <f t="shared" si="81"/>
        <v>24590.911101071935</v>
      </c>
      <c r="BL16" s="7">
        <f t="shared" si="81"/>
        <v>24345.001990061217</v>
      </c>
      <c r="BM16" s="7">
        <f t="shared" si="81"/>
        <v>24101.551970160606</v>
      </c>
      <c r="BN16" s="7">
        <f t="shared" si="81"/>
        <v>23860.536450459</v>
      </c>
      <c r="BO16" s="7">
        <f t="shared" si="81"/>
        <v>23621.931085954409</v>
      </c>
      <c r="BP16" s="7">
        <f t="shared" si="81"/>
        <v>23385.711775094864</v>
      </c>
      <c r="BQ16" s="7">
        <f t="shared" si="81"/>
        <v>23151.854657343916</v>
      </c>
      <c r="BR16" s="7">
        <f t="shared" si="81"/>
        <v>22920.336110770477</v>
      </c>
      <c r="BS16" s="7">
        <f t="shared" si="81"/>
        <v>22691.132749662771</v>
      </c>
      <c r="BT16" s="7">
        <f t="shared" si="81"/>
        <v>22464.221422166142</v>
      </c>
      <c r="BU16" s="7">
        <f t="shared" si="81"/>
        <v>22239.57920794448</v>
      </c>
      <c r="BV16" s="7">
        <f t="shared" si="81"/>
        <v>22017.183415865034</v>
      </c>
      <c r="BW16" s="7">
        <f t="shared" si="81"/>
        <v>21797.011581706385</v>
      </c>
      <c r="BX16" s="7">
        <f t="shared" si="81"/>
        <v>21579.041465889321</v>
      </c>
      <c r="BY16" s="7">
        <f t="shared" si="81"/>
        <v>21363.251051230429</v>
      </c>
      <c r="BZ16" s="7">
        <f t="shared" si="81"/>
        <v>21149.618540718126</v>
      </c>
      <c r="CA16" s="7">
        <f t="shared" si="81"/>
        <v>20938.122355310945</v>
      </c>
      <c r="CB16" s="7">
        <f t="shared" si="81"/>
        <v>20728.741131757834</v>
      </c>
      <c r="CC16" s="7">
        <f t="shared" si="81"/>
        <v>20521.453720440255</v>
      </c>
      <c r="CD16" s="7">
        <f t="shared" si="81"/>
        <v>20316.239183235852</v>
      </c>
      <c r="CE16" s="7">
        <f t="shared" si="81"/>
        <v>20113.076791403491</v>
      </c>
      <c r="CF16" s="7">
        <f t="shared" si="81"/>
        <v>19911.946023489458</v>
      </c>
      <c r="CG16" s="7">
        <f t="shared" si="81"/>
        <v>19712.826563254563</v>
      </c>
      <c r="CH16" s="7">
        <f t="shared" si="81"/>
        <v>19515.698297622017</v>
      </c>
      <c r="CI16" s="7">
        <f t="shared" si="81"/>
        <v>19320.541314645798</v>
      </c>
      <c r="CJ16" s="7">
        <f t="shared" si="81"/>
        <v>19127.33590149934</v>
      </c>
      <c r="CK16" s="7">
        <f t="shared" si="81"/>
        <v>18936.062542484346</v>
      </c>
      <c r="CL16" s="7">
        <f t="shared" si="81"/>
        <v>18746.701917059501</v>
      </c>
      <c r="CM16" s="7">
        <f t="shared" si="81"/>
        <v>18559.234897888906</v>
      </c>
      <c r="CN16" s="7">
        <f t="shared" si="81"/>
        <v>18373.642548910018</v>
      </c>
      <c r="CO16" s="7">
        <f t="shared" si="81"/>
        <v>18189.906123420918</v>
      </c>
      <c r="CP16" s="7">
        <f t="shared" si="81"/>
        <v>18008.007062186709</v>
      </c>
      <c r="CQ16" s="7">
        <f t="shared" si="81"/>
        <v>17827.92699156484</v>
      </c>
      <c r="CR16" s="7">
        <f t="shared" si="81"/>
        <v>17649.647721649191</v>
      </c>
      <c r="CS16" s="7">
        <f t="shared" si="81"/>
        <v>17473.151244432698</v>
      </c>
      <c r="CT16" s="7">
        <f t="shared" si="81"/>
        <v>17298.419731988371</v>
      </c>
      <c r="CU16" s="7">
        <f t="shared" si="81"/>
        <v>17125.435534668486</v>
      </c>
      <c r="CV16" s="7">
        <f t="shared" si="81"/>
        <v>16954.1811793218</v>
      </c>
      <c r="CW16" s="7">
        <f t="shared" si="81"/>
        <v>16784.639367528584</v>
      </c>
      <c r="CX16" s="7">
        <f t="shared" si="81"/>
        <v>16616.792973853298</v>
      </c>
      <c r="CY16" s="7">
        <f t="shared" si="81"/>
        <v>16450.625044114764</v>
      </c>
      <c r="CZ16" s="7">
        <f t="shared" si="81"/>
        <v>16286.118793673617</v>
      </c>
      <c r="DA16" s="7">
        <f t="shared" si="81"/>
        <v>16123.257605736881</v>
      </c>
      <c r="DB16" s="7">
        <f t="shared" si="81"/>
        <v>15962.025029679511</v>
      </c>
      <c r="DC16" s="7">
        <f t="shared" ref="DC16:FN16" si="82">DB16*(1+$AS$22)</f>
        <v>15802.404779382716</v>
      </c>
      <c r="DD16" s="7">
        <f t="shared" si="82"/>
        <v>15644.380731588888</v>
      </c>
      <c r="DE16" s="7">
        <f t="shared" si="82"/>
        <v>15487.936924272999</v>
      </c>
      <c r="DF16" s="7">
        <f t="shared" si="82"/>
        <v>15333.057555030269</v>
      </c>
      <c r="DG16" s="7">
        <f t="shared" si="82"/>
        <v>15179.726979479967</v>
      </c>
      <c r="DH16" s="7">
        <f t="shared" si="82"/>
        <v>15027.929709685168</v>
      </c>
      <c r="DI16" s="7">
        <f t="shared" si="82"/>
        <v>14877.650412588317</v>
      </c>
      <c r="DJ16" s="7">
        <f t="shared" si="82"/>
        <v>14728.873908462434</v>
      </c>
      <c r="DK16" s="7">
        <f t="shared" si="82"/>
        <v>14581.58516937781</v>
      </c>
      <c r="DL16" s="7">
        <f t="shared" si="82"/>
        <v>14435.769317684031</v>
      </c>
      <c r="DM16" s="7">
        <f t="shared" si="82"/>
        <v>14291.411624507191</v>
      </c>
      <c r="DN16" s="7">
        <f t="shared" si="82"/>
        <v>14148.497508262119</v>
      </c>
      <c r="DO16" s="7">
        <f t="shared" si="82"/>
        <v>14007.012533179497</v>
      </c>
      <c r="DP16" s="7">
        <f t="shared" si="82"/>
        <v>13866.942407847702</v>
      </c>
      <c r="DQ16" s="7">
        <f t="shared" si="82"/>
        <v>13728.272983769226</v>
      </c>
      <c r="DR16" s="7">
        <f t="shared" si="82"/>
        <v>13590.990253931534</v>
      </c>
      <c r="DS16" s="7">
        <f t="shared" si="82"/>
        <v>13455.080351392218</v>
      </c>
      <c r="DT16" s="7">
        <f t="shared" si="82"/>
        <v>13320.529547878295</v>
      </c>
      <c r="DU16" s="7">
        <f t="shared" si="82"/>
        <v>13187.324252399512</v>
      </c>
      <c r="DV16" s="7">
        <f t="shared" si="82"/>
        <v>13055.451009875516</v>
      </c>
      <c r="DW16" s="7">
        <f t="shared" si="82"/>
        <v>12924.896499776762</v>
      </c>
      <c r="DX16" s="7">
        <f t="shared" si="82"/>
        <v>12795.647534778995</v>
      </c>
      <c r="DY16" s="7">
        <f t="shared" si="82"/>
        <v>12667.691059431205</v>
      </c>
      <c r="DZ16" s="7">
        <f t="shared" si="82"/>
        <v>12541.014148836894</v>
      </c>
      <c r="EA16" s="7">
        <f t="shared" si="82"/>
        <v>12415.604007348524</v>
      </c>
      <c r="EB16" s="7">
        <f t="shared" si="82"/>
        <v>12291.447967275039</v>
      </c>
      <c r="EC16" s="7">
        <f t="shared" si="82"/>
        <v>12168.533487602288</v>
      </c>
      <c r="ED16" s="7">
        <f t="shared" si="82"/>
        <v>12046.848152726265</v>
      </c>
      <c r="EE16" s="7">
        <f t="shared" si="82"/>
        <v>11926.379671199002</v>
      </c>
      <c r="EF16" s="7">
        <f t="shared" si="82"/>
        <v>11807.115874487012</v>
      </c>
      <c r="EG16" s="7">
        <f t="shared" si="82"/>
        <v>11689.044715742142</v>
      </c>
      <c r="EH16" s="7">
        <f t="shared" si="82"/>
        <v>11572.15426858472</v>
      </c>
      <c r="EI16" s="7">
        <f t="shared" si="82"/>
        <v>11456.432725898872</v>
      </c>
      <c r="EJ16" s="7">
        <f t="shared" si="82"/>
        <v>11341.868398639883</v>
      </c>
      <c r="EK16" s="7">
        <f t="shared" si="82"/>
        <v>11228.449714653483</v>
      </c>
      <c r="EL16" s="7">
        <f t="shared" si="82"/>
        <v>11116.165217506948</v>
      </c>
      <c r="EM16" s="7">
        <f t="shared" si="82"/>
        <v>11005.003565331879</v>
      </c>
      <c r="EN16" s="7">
        <f t="shared" si="82"/>
        <v>10894.95352967856</v>
      </c>
      <c r="EO16" s="7">
        <f t="shared" si="82"/>
        <v>10786.003994381774</v>
      </c>
      <c r="EP16" s="7">
        <f t="shared" si="82"/>
        <v>10678.143954437955</v>
      </c>
      <c r="EQ16" s="7">
        <f t="shared" si="82"/>
        <v>10571.362514893575</v>
      </c>
      <c r="ER16" s="7">
        <f t="shared" si="82"/>
        <v>10465.64888974464</v>
      </c>
      <c r="ES16" s="7">
        <f t="shared" si="82"/>
        <v>10360.992400847193</v>
      </c>
      <c r="ET16" s="7">
        <f t="shared" si="82"/>
        <v>10257.382476838722</v>
      </c>
      <c r="EU16" s="7">
        <f t="shared" si="82"/>
        <v>10154.808652070335</v>
      </c>
      <c r="EV16" s="7">
        <f t="shared" si="82"/>
        <v>10053.260565549632</v>
      </c>
      <c r="EW16" s="7">
        <f t="shared" si="82"/>
        <v>9952.727959894135</v>
      </c>
      <c r="EX16" s="7">
        <f t="shared" si="82"/>
        <v>9853.2006802951928</v>
      </c>
      <c r="EY16" s="7">
        <f t="shared" si="82"/>
        <v>9754.6686734922405</v>
      </c>
      <c r="EZ16" s="7">
        <f t="shared" si="82"/>
        <v>9657.1219867573182</v>
      </c>
      <c r="FA16" s="7">
        <f t="shared" si="82"/>
        <v>9560.5507668897444</v>
      </c>
      <c r="FB16" s="7">
        <f t="shared" si="82"/>
        <v>9464.9452592208472</v>
      </c>
      <c r="FC16" s="7">
        <f t="shared" si="82"/>
        <v>9370.2958066286392</v>
      </c>
      <c r="FD16" s="7">
        <f t="shared" si="82"/>
        <v>9276.5928485623535</v>
      </c>
      <c r="FE16" s="7">
        <f t="shared" si="82"/>
        <v>9183.8269200767299</v>
      </c>
      <c r="FF16" s="7">
        <f t="shared" si="82"/>
        <v>9091.9886508759628</v>
      </c>
      <c r="FG16" s="7">
        <f t="shared" si="82"/>
        <v>9001.0687643672027</v>
      </c>
      <c r="FH16" s="7">
        <f t="shared" si="82"/>
        <v>8911.0580767235297</v>
      </c>
      <c r="FI16" s="7">
        <f t="shared" si="82"/>
        <v>8821.947495956294</v>
      </c>
      <c r="FJ16" s="7">
        <f t="shared" si="82"/>
        <v>8733.7280209967303</v>
      </c>
      <c r="FK16" s="7">
        <f t="shared" si="82"/>
        <v>8646.3907407867628</v>
      </c>
      <c r="FL16" s="7">
        <f t="shared" si="82"/>
        <v>8559.926833378895</v>
      </c>
      <c r="FM16" s="7">
        <f t="shared" si="82"/>
        <v>8474.3275650451069</v>
      </c>
      <c r="FN16" s="7">
        <f t="shared" si="82"/>
        <v>8389.5842893946556</v>
      </c>
      <c r="FO16" s="7">
        <f t="shared" ref="FO16:HZ16" si="83">FN16*(1+$AS$22)</f>
        <v>8305.6884465007097</v>
      </c>
      <c r="FP16" s="7">
        <f t="shared" si="83"/>
        <v>8222.6315620357018</v>
      </c>
      <c r="FQ16" s="7">
        <f t="shared" si="83"/>
        <v>8140.4052464153447</v>
      </c>
      <c r="FR16" s="7">
        <f t="shared" si="83"/>
        <v>8059.0011939511915</v>
      </c>
      <c r="FS16" s="7">
        <f t="shared" si="83"/>
        <v>7978.4111820116796</v>
      </c>
      <c r="FT16" s="7">
        <f t="shared" si="83"/>
        <v>7898.6270701915628</v>
      </c>
      <c r="FU16" s="7">
        <f t="shared" si="83"/>
        <v>7819.6407994896472</v>
      </c>
      <c r="FV16" s="7">
        <f t="shared" si="83"/>
        <v>7741.4443914947506</v>
      </c>
      <c r="FW16" s="7">
        <f t="shared" si="83"/>
        <v>7664.0299475798029</v>
      </c>
      <c r="FX16" s="7">
        <f t="shared" si="83"/>
        <v>7587.3896481040047</v>
      </c>
      <c r="FY16" s="7">
        <f t="shared" si="83"/>
        <v>7511.5157516229647</v>
      </c>
      <c r="FZ16" s="7">
        <f t="shared" si="83"/>
        <v>7436.4005941067353</v>
      </c>
      <c r="GA16" s="7">
        <f t="shared" si="83"/>
        <v>7362.036588165668</v>
      </c>
      <c r="GB16" s="7">
        <f t="shared" si="83"/>
        <v>7288.4162222840114</v>
      </c>
      <c r="GC16" s="7">
        <f t="shared" si="83"/>
        <v>7215.5320600611713</v>
      </c>
      <c r="GD16" s="7">
        <f t="shared" si="83"/>
        <v>7143.3767394605593</v>
      </c>
      <c r="GE16" s="7">
        <f t="shared" si="83"/>
        <v>7071.9429720659537</v>
      </c>
      <c r="GF16" s="7">
        <f t="shared" si="83"/>
        <v>7001.2235423452939</v>
      </c>
      <c r="GG16" s="7">
        <f t="shared" si="83"/>
        <v>6931.2113069218412</v>
      </c>
      <c r="GH16" s="7">
        <f t="shared" si="83"/>
        <v>6861.8991938526224</v>
      </c>
      <c r="GI16" s="7">
        <f t="shared" si="83"/>
        <v>6793.2802019140963</v>
      </c>
      <c r="GJ16" s="7">
        <f t="shared" si="83"/>
        <v>6725.3473998949557</v>
      </c>
      <c r="GK16" s="7">
        <f t="shared" si="83"/>
        <v>6658.0939258960061</v>
      </c>
      <c r="GL16" s="7">
        <f t="shared" si="83"/>
        <v>6591.5129866370462</v>
      </c>
      <c r="GM16" s="7">
        <f t="shared" si="83"/>
        <v>6525.5978567706761</v>
      </c>
      <c r="GN16" s="7">
        <f t="shared" si="83"/>
        <v>6460.3418782029694</v>
      </c>
      <c r="GO16" s="7">
        <f t="shared" si="83"/>
        <v>6395.7384594209398</v>
      </c>
      <c r="GP16" s="7">
        <f t="shared" si="83"/>
        <v>6331.7810748267302</v>
      </c>
      <c r="GQ16" s="7">
        <f t="shared" si="83"/>
        <v>6268.463264078463</v>
      </c>
      <c r="GR16" s="7">
        <f t="shared" si="83"/>
        <v>6205.7786314376781</v>
      </c>
      <c r="GS16" s="7">
        <f t="shared" si="83"/>
        <v>6143.7208451233009</v>
      </c>
      <c r="GT16" s="7">
        <f t="shared" si="83"/>
        <v>6082.2836366720676</v>
      </c>
      <c r="GU16" s="7">
        <f t="shared" si="83"/>
        <v>6021.4608003053472</v>
      </c>
      <c r="GV16" s="7">
        <f t="shared" si="83"/>
        <v>5961.2461923022938</v>
      </c>
      <c r="GW16" s="7">
        <f t="shared" si="83"/>
        <v>5901.6337303792707</v>
      </c>
      <c r="GX16" s="7">
        <f t="shared" si="83"/>
        <v>5842.6173930754776</v>
      </c>
      <c r="GY16" s="7">
        <f t="shared" si="83"/>
        <v>5784.1912191447227</v>
      </c>
      <c r="GZ16" s="7">
        <f t="shared" si="83"/>
        <v>5726.3493069532751</v>
      </c>
      <c r="HA16" s="7">
        <f t="shared" si="83"/>
        <v>5669.085813883742</v>
      </c>
      <c r="HB16" s="7">
        <f t="shared" si="83"/>
        <v>5612.394955744905</v>
      </c>
      <c r="HC16" s="7">
        <f t="shared" si="83"/>
        <v>5556.2710061874559</v>
      </c>
      <c r="HD16" s="7">
        <f t="shared" si="83"/>
        <v>5500.708296125581</v>
      </c>
      <c r="HE16" s="7">
        <f t="shared" si="83"/>
        <v>5445.7012131643251</v>
      </c>
      <c r="HF16" s="7">
        <f t="shared" si="83"/>
        <v>5391.2442010326813</v>
      </c>
      <c r="HG16" s="7">
        <f t="shared" si="83"/>
        <v>5337.3317590223542</v>
      </c>
      <c r="HH16" s="7">
        <f t="shared" si="83"/>
        <v>5283.9584414321307</v>
      </c>
      <c r="HI16" s="7">
        <f t="shared" si="83"/>
        <v>5231.1188570178092</v>
      </c>
      <c r="HJ16" s="7">
        <f t="shared" si="83"/>
        <v>5178.8076684476309</v>
      </c>
      <c r="HK16" s="7">
        <f t="shared" si="83"/>
        <v>5127.0195917631545</v>
      </c>
      <c r="HL16" s="7">
        <f t="shared" si="83"/>
        <v>5075.7493958455225</v>
      </c>
      <c r="HM16" s="7">
        <f t="shared" si="83"/>
        <v>5024.9919018870669</v>
      </c>
      <c r="HN16" s="7">
        <f t="shared" si="83"/>
        <v>4974.7419828681959</v>
      </c>
      <c r="HO16" s="7">
        <f t="shared" si="83"/>
        <v>4924.9945630395141</v>
      </c>
      <c r="HP16" s="7">
        <f t="shared" si="83"/>
        <v>4875.7446174091192</v>
      </c>
      <c r="HQ16" s="7">
        <f t="shared" si="83"/>
        <v>4826.9871712350277</v>
      </c>
      <c r="HR16" s="7">
        <f t="shared" si="83"/>
        <v>4778.7172995226774</v>
      </c>
      <c r="HS16" s="7">
        <f t="shared" si="83"/>
        <v>4730.9301265274507</v>
      </c>
      <c r="HT16" s="7">
        <f t="shared" si="83"/>
        <v>4683.6208252621764</v>
      </c>
      <c r="HU16" s="7">
        <f t="shared" si="83"/>
        <v>4636.7846170095545</v>
      </c>
      <c r="HV16" s="7">
        <f t="shared" si="83"/>
        <v>4590.4167708394589</v>
      </c>
      <c r="HW16" s="7">
        <f t="shared" si="83"/>
        <v>4544.5126031310647</v>
      </c>
      <c r="HX16" s="7">
        <f t="shared" si="83"/>
        <v>4499.0674770997539</v>
      </c>
      <c r="HY16" s="7">
        <f t="shared" si="83"/>
        <v>4454.0768023287565</v>
      </c>
      <c r="HZ16" s="7">
        <f t="shared" si="83"/>
        <v>4409.536034305469</v>
      </c>
      <c r="IA16" s="7">
        <f t="shared" ref="IA16:KB16" si="84">HZ16*(1+$AS$22)</f>
        <v>4365.4406739624146</v>
      </c>
      <c r="IB16" s="7">
        <f t="shared" si="84"/>
        <v>4321.7862672227902</v>
      </c>
      <c r="IC16" s="7">
        <f t="shared" si="84"/>
        <v>4278.5684045505623</v>
      </c>
      <c r="ID16" s="7">
        <f t="shared" si="84"/>
        <v>4235.7827205050562</v>
      </c>
      <c r="IE16" s="7">
        <f t="shared" si="84"/>
        <v>4193.4248933000054</v>
      </c>
      <c r="IF16" s="7">
        <f t="shared" si="84"/>
        <v>4151.4906443670052</v>
      </c>
      <c r="IG16" s="7">
        <f t="shared" si="84"/>
        <v>4109.9757379233351</v>
      </c>
      <c r="IH16" s="7">
        <f t="shared" si="84"/>
        <v>4068.8759805441018</v>
      </c>
      <c r="II16" s="7">
        <f t="shared" si="84"/>
        <v>4028.1872207386609</v>
      </c>
      <c r="IJ16" s="7">
        <f t="shared" si="84"/>
        <v>3987.9053485312743</v>
      </c>
      <c r="IK16" s="7">
        <f t="shared" si="84"/>
        <v>3948.0262950459614</v>
      </c>
      <c r="IL16" s="7">
        <f t="shared" si="84"/>
        <v>3908.5460320955017</v>
      </c>
      <c r="IM16" s="7">
        <f t="shared" si="84"/>
        <v>3869.4605717745467</v>
      </c>
      <c r="IN16" s="7">
        <f t="shared" si="84"/>
        <v>3830.7659660568011</v>
      </c>
      <c r="IO16" s="7">
        <f t="shared" si="84"/>
        <v>3792.4583063962332</v>
      </c>
      <c r="IP16" s="7">
        <f t="shared" si="84"/>
        <v>3754.5337233322707</v>
      </c>
      <c r="IQ16" s="7">
        <f t="shared" si="84"/>
        <v>3716.988386098948</v>
      </c>
      <c r="IR16" s="7">
        <f t="shared" si="84"/>
        <v>3679.8185022379585</v>
      </c>
      <c r="IS16" s="7">
        <f t="shared" si="84"/>
        <v>3643.0203172155789</v>
      </c>
      <c r="IT16" s="7">
        <f t="shared" si="84"/>
        <v>3606.590114043423</v>
      </c>
      <c r="IU16" s="7">
        <f t="shared" si="84"/>
        <v>3570.5242129029889</v>
      </c>
      <c r="IV16" s="7">
        <f t="shared" si="84"/>
        <v>3534.8189707739589</v>
      </c>
      <c r="IW16" s="7">
        <f t="shared" si="84"/>
        <v>3499.4707810662194</v>
      </c>
      <c r="IX16" s="7">
        <f t="shared" si="84"/>
        <v>3464.4760732555574</v>
      </c>
      <c r="IY16" s="7">
        <f t="shared" si="84"/>
        <v>3429.8313125230015</v>
      </c>
      <c r="IZ16" s="7">
        <f t="shared" si="84"/>
        <v>3395.5329993977716</v>
      </c>
      <c r="JA16" s="7">
        <f t="shared" si="84"/>
        <v>3361.5776694037941</v>
      </c>
      <c r="JB16" s="7">
        <f t="shared" si="84"/>
        <v>3327.9618927097563</v>
      </c>
      <c r="JC16" s="7">
        <f t="shared" si="84"/>
        <v>3294.6822737826587</v>
      </c>
      <c r="JD16" s="7">
        <f t="shared" si="84"/>
        <v>3261.7354510448322</v>
      </c>
      <c r="JE16" s="7">
        <f t="shared" si="84"/>
        <v>3229.1180965343838</v>
      </c>
      <c r="JF16" s="7">
        <f t="shared" si="84"/>
        <v>3196.82691556904</v>
      </c>
      <c r="JG16" s="7">
        <f t="shared" si="84"/>
        <v>3164.8586464133496</v>
      </c>
      <c r="JH16" s="7">
        <f t="shared" si="84"/>
        <v>3133.210059949216</v>
      </c>
      <c r="JI16" s="7">
        <f t="shared" si="84"/>
        <v>3101.8779593497238</v>
      </c>
      <c r="JJ16" s="7">
        <f t="shared" si="84"/>
        <v>3070.8591797562267</v>
      </c>
      <c r="JK16" s="7">
        <f t="shared" si="84"/>
        <v>3040.1505879586643</v>
      </c>
      <c r="JL16" s="7">
        <f t="shared" si="84"/>
        <v>3009.7490820790777</v>
      </c>
      <c r="JM16" s="7">
        <f t="shared" si="84"/>
        <v>2979.6515912582868</v>
      </c>
      <c r="JN16" s="7">
        <f t="shared" si="84"/>
        <v>2949.8550753457039</v>
      </c>
      <c r="JO16" s="7">
        <f t="shared" si="84"/>
        <v>2920.3565245922468</v>
      </c>
      <c r="JP16" s="7">
        <f t="shared" si="84"/>
        <v>2891.1529593463242</v>
      </c>
      <c r="JQ16" s="7">
        <f t="shared" si="84"/>
        <v>2862.2414297528608</v>
      </c>
      <c r="JR16" s="7">
        <f t="shared" si="84"/>
        <v>2833.6190154553319</v>
      </c>
      <c r="JS16" s="7">
        <f t="shared" si="84"/>
        <v>2805.2828253007788</v>
      </c>
      <c r="JT16" s="7">
        <f t="shared" si="84"/>
        <v>2777.2299970477711</v>
      </c>
      <c r="JU16" s="7">
        <f t="shared" si="84"/>
        <v>2749.4576970772932</v>
      </c>
      <c r="JV16" s="7">
        <f t="shared" si="84"/>
        <v>2721.9631201065204</v>
      </c>
      <c r="JW16" s="7">
        <f t="shared" si="84"/>
        <v>2694.7434889054553</v>
      </c>
      <c r="JX16" s="7">
        <f t="shared" si="84"/>
        <v>2667.7960540164008</v>
      </c>
      <c r="JY16" s="7">
        <f t="shared" si="84"/>
        <v>2641.1180934762369</v>
      </c>
      <c r="JZ16" s="7">
        <f t="shared" si="84"/>
        <v>2614.7069125414746</v>
      </c>
      <c r="KA16" s="7">
        <f t="shared" si="84"/>
        <v>2588.5598434160597</v>
      </c>
      <c r="KB16" s="7">
        <f t="shared" si="84"/>
        <v>2562.6742449818989</v>
      </c>
    </row>
    <row r="17" spans="1:45" x14ac:dyDescent="0.3">
      <c r="B17" s="12" t="s">
        <v>15</v>
      </c>
      <c r="C17" s="18">
        <v>6057</v>
      </c>
      <c r="D17" s="18">
        <v>5952</v>
      </c>
      <c r="E17" s="18">
        <v>5986</v>
      </c>
      <c r="F17" s="18">
        <v>5912</v>
      </c>
      <c r="G17" s="18">
        <v>5750</v>
      </c>
      <c r="H17" s="18">
        <v>5672</v>
      </c>
      <c r="I17" s="18">
        <v>5649</v>
      </c>
      <c r="J17" s="18">
        <v>5631</v>
      </c>
      <c r="K17" s="18">
        <v>5613</v>
      </c>
      <c r="L17" s="18">
        <v>5619</v>
      </c>
      <c r="M17" s="18">
        <v>5633</v>
      </c>
      <c r="N17" s="18">
        <v>5662</v>
      </c>
      <c r="O17" s="7">
        <v>5662</v>
      </c>
      <c r="P17" s="7">
        <v>5678</v>
      </c>
      <c r="Q17" s="7">
        <v>5725</v>
      </c>
      <c r="R17" s="7">
        <v>5768</v>
      </c>
      <c r="S17" s="7">
        <v>5758</v>
      </c>
      <c r="T17" s="7">
        <v>5712</v>
      </c>
      <c r="U17" s="7">
        <v>5718</v>
      </c>
      <c r="V17" s="7">
        <v>5743</v>
      </c>
      <c r="W17" s="7">
        <v>5727</v>
      </c>
      <c r="X17" s="7">
        <f t="shared" ref="X17:Z17" si="85">T17*1.01</f>
        <v>5769.12</v>
      </c>
      <c r="Y17" s="7">
        <f t="shared" si="85"/>
        <v>5775.18</v>
      </c>
      <c r="Z17" s="7">
        <f t="shared" si="85"/>
        <v>5800.43</v>
      </c>
      <c r="AF17" s="7">
        <f>F17</f>
        <v>5912</v>
      </c>
      <c r="AG17" s="7">
        <f>J17</f>
        <v>5631</v>
      </c>
      <c r="AH17" s="7">
        <f>N17</f>
        <v>5662</v>
      </c>
      <c r="AI17" s="7">
        <f>R17</f>
        <v>5768</v>
      </c>
      <c r="AJ17" s="7">
        <f>V17</f>
        <v>5743</v>
      </c>
      <c r="AK17" s="7">
        <f>Z17</f>
        <v>5800.43</v>
      </c>
      <c r="AL17" s="7">
        <f>AK17*0.99</f>
        <v>5742.4257000000007</v>
      </c>
      <c r="AM17" s="7">
        <f t="shared" ref="AM17:AO17" si="86">AL17*0.99</f>
        <v>5685.001443000001</v>
      </c>
      <c r="AN17" s="7">
        <f t="shared" si="86"/>
        <v>5628.1514285700014</v>
      </c>
      <c r="AO17" s="7">
        <f t="shared" si="86"/>
        <v>5571.8699142843016</v>
      </c>
    </row>
    <row r="18" spans="1:45" x14ac:dyDescent="0.3">
      <c r="B18" s="12" t="s">
        <v>16</v>
      </c>
      <c r="C18" s="13">
        <f t="shared" ref="C18:V18" si="87">C16/C17</f>
        <v>0.79247152055473002</v>
      </c>
      <c r="D18" s="13">
        <f t="shared" si="87"/>
        <v>0.85803091397849462</v>
      </c>
      <c r="E18" s="13">
        <f t="shared" si="87"/>
        <v>0.91095890410958902</v>
      </c>
      <c r="F18" s="13">
        <f t="shared" si="87"/>
        <v>0.29262516914749664</v>
      </c>
      <c r="G18" s="13">
        <f t="shared" si="87"/>
        <v>0.8890434782608696</v>
      </c>
      <c r="H18" s="13">
        <f t="shared" si="87"/>
        <v>1.0779266572637518</v>
      </c>
      <c r="I18" s="13">
        <f t="shared" si="87"/>
        <v>0.20693928128872366</v>
      </c>
      <c r="J18" s="13">
        <f t="shared" si="87"/>
        <v>0.17599005505238857</v>
      </c>
      <c r="K18" s="13">
        <f t="shared" si="87"/>
        <v>0.77463032246570462</v>
      </c>
      <c r="L18" s="13">
        <f t="shared" si="87"/>
        <v>0.83520199323723088</v>
      </c>
      <c r="M18" s="13">
        <f t="shared" si="87"/>
        <v>0.54961832061068705</v>
      </c>
      <c r="N18" s="13">
        <f t="shared" si="87"/>
        <v>0.28859060402684567</v>
      </c>
      <c r="O18" s="13">
        <f t="shared" si="87"/>
        <v>1.0167785234899329</v>
      </c>
      <c r="P18" s="13">
        <f t="shared" si="87"/>
        <v>1.1412469179288482</v>
      </c>
      <c r="Q18" s="13">
        <f t="shared" si="87"/>
        <v>1.7048034934497815</v>
      </c>
      <c r="R18" s="13">
        <f t="shared" si="87"/>
        <v>0.77756588072122057</v>
      </c>
      <c r="S18" s="13">
        <f t="shared" si="87"/>
        <v>1.5441125390760682</v>
      </c>
      <c r="T18" s="13">
        <f t="shared" si="87"/>
        <v>1.9110644257703082</v>
      </c>
      <c r="U18" s="13">
        <f t="shared" si="87"/>
        <v>1.6843301853795034</v>
      </c>
      <c r="V18" s="13">
        <f t="shared" si="87"/>
        <v>1.2049451506181439</v>
      </c>
      <c r="W18" s="13">
        <f>W16/W17</f>
        <v>1.1620394621966126</v>
      </c>
      <c r="X18" s="13">
        <f t="shared" ref="X18:Z18" si="88">X16/X17</f>
        <v>1.9110644257703087</v>
      </c>
      <c r="Y18" s="13">
        <f t="shared" si="88"/>
        <v>1.6843301853795034</v>
      </c>
      <c r="Z18" s="13">
        <f t="shared" si="88"/>
        <v>1.2049451506181441</v>
      </c>
      <c r="AA18" s="13"/>
      <c r="AB18" s="13"/>
      <c r="AC18" s="13"/>
      <c r="AD18" s="13"/>
      <c r="AF18" s="13">
        <f>AF16/AF17</f>
        <v>2.8890392422192153</v>
      </c>
      <c r="AG18" s="13">
        <f t="shared" ref="AG18:AO18" si="89">AG16/AG17</f>
        <v>2.249334043686734</v>
      </c>
      <c r="AH18" s="13">
        <f t="shared" si="89"/>
        <v>2.386789120452137</v>
      </c>
      <c r="AI18" s="13">
        <f t="shared" si="89"/>
        <v>4.6666088765603329</v>
      </c>
      <c r="AJ18" s="13">
        <f t="shared" si="89"/>
        <v>6.329792791224099</v>
      </c>
      <c r="AK18" s="13">
        <f t="shared" si="89"/>
        <v>5.9272364290233686</v>
      </c>
      <c r="AL18" s="13">
        <f t="shared" si="89"/>
        <v>5.1774672196455231</v>
      </c>
      <c r="AM18" s="13">
        <f t="shared" si="89"/>
        <v>5.2820625170121005</v>
      </c>
      <c r="AN18" s="13">
        <f t="shared" si="89"/>
        <v>5.3887708506891112</v>
      </c>
      <c r="AO18" s="13">
        <f t="shared" si="89"/>
        <v>5.4976349082787896</v>
      </c>
    </row>
    <row r="19" spans="1:45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45" x14ac:dyDescent="0.3">
      <c r="B20" s="12" t="s">
        <v>38</v>
      </c>
      <c r="G20" s="24">
        <f>G3/C3-1</f>
        <v>1.6426468309313602E-2</v>
      </c>
      <c r="H20" s="24">
        <f>H3/D3-1</f>
        <v>-1.5000742611020357E-2</v>
      </c>
      <c r="I20" s="24">
        <f>I3/E3-1</f>
        <v>-4.6473153857722993E-2</v>
      </c>
      <c r="J20" s="24">
        <f>J3/F3-1</f>
        <v>-0.25236119061247853</v>
      </c>
      <c r="K20" s="24">
        <f>K3/G3-1</f>
        <v>-8.3091934746150287E-2</v>
      </c>
      <c r="L20" s="24">
        <f>L3/H3-1</f>
        <v>-0.11029855247285891</v>
      </c>
      <c r="M20" s="24">
        <f>M3/I3-1</f>
        <v>-4.3296529968454234E-2</v>
      </c>
      <c r="N20" s="24">
        <f>N3/J3-1</f>
        <v>0.11819312852904584</v>
      </c>
      <c r="O20" s="24">
        <f>O3/K3-1</f>
        <v>0.20685068174260057</v>
      </c>
      <c r="P20" s="24">
        <f>P3/L3-1</f>
        <v>0.60147445131768484</v>
      </c>
      <c r="Q20" s="24">
        <f>Q3/M3-1</f>
        <v>0.98128761025471922</v>
      </c>
      <c r="R20" s="24">
        <f>R3/N3-1</f>
        <v>1.0402259500171174</v>
      </c>
      <c r="S20" s="24">
        <f>S3/O3-1</f>
        <v>0.76777349131992279</v>
      </c>
      <c r="T20" s="24">
        <f>T3/P3-1</f>
        <v>0.46790835493941474</v>
      </c>
      <c r="U20" s="24">
        <f>U3/Q3-1</f>
        <v>-5.8123569794050312E-2</v>
      </c>
      <c r="V20" s="24">
        <f>V3/R3-1</f>
        <v>1.8961322258578717E-2</v>
      </c>
      <c r="W20" s="24">
        <f>W3/S3-1</f>
        <v>-0.28755699310237326</v>
      </c>
      <c r="X20" s="24">
        <f>X3/T3-1</f>
        <v>1.0000000000000009E-2</v>
      </c>
      <c r="Y20" s="24">
        <f>Y3/U3-1</f>
        <v>1.0000000000000009E-2</v>
      </c>
      <c r="Z20" s="24">
        <f>Z3/V3-1</f>
        <v>1.0000000000000009E-2</v>
      </c>
      <c r="AA20" s="24"/>
      <c r="AB20" s="24"/>
      <c r="AC20" s="24"/>
      <c r="AD20" s="24"/>
      <c r="AG20" s="24">
        <f>AG3/AF3-1</f>
        <v>-7.7079372180591244E-2</v>
      </c>
      <c r="AH20" s="24">
        <f>AH3/AG3-1</f>
        <v>-3.7708791985619383E-2</v>
      </c>
      <c r="AI20" s="24">
        <f>AI3/AH3-1</f>
        <v>0.70615397531693391</v>
      </c>
      <c r="AJ20" s="24">
        <f>AJ3/AI3-1</f>
        <v>0.23426582029327814</v>
      </c>
      <c r="AK20" s="24">
        <f>AK3/AJ3-1</f>
        <v>-6.6104195114171982E-2</v>
      </c>
      <c r="AL20" s="24">
        <f>AL3/AK3-1</f>
        <v>1.0000000000000009E-2</v>
      </c>
      <c r="AM20" s="24">
        <f>AM3/AL3-1</f>
        <v>1.0000000000000009E-2</v>
      </c>
      <c r="AN20" s="24">
        <f>AN3/AM3-1</f>
        <v>1.0000000000000009E-2</v>
      </c>
      <c r="AO20" s="24">
        <f>AO3/AN3-1</f>
        <v>1.0000000000000009E-2</v>
      </c>
    </row>
    <row r="21" spans="1:45" x14ac:dyDescent="0.3">
      <c r="B21" s="12" t="s">
        <v>61</v>
      </c>
      <c r="G21" s="24">
        <f>G4/C4-1</f>
        <v>-5.0721810378462684E-2</v>
      </c>
      <c r="H21" s="24">
        <f>H4/D4-1</f>
        <v>-0.11659807956104251</v>
      </c>
      <c r="I21" s="24">
        <f>I4/E4-1</f>
        <v>-3.4149962880475115E-2</v>
      </c>
      <c r="J21" s="24">
        <f>J4/F4-1</f>
        <v>-0.32130081300813007</v>
      </c>
      <c r="K21" s="24">
        <f>K4/G4-1</f>
        <v>-2.2605836415947378E-2</v>
      </c>
      <c r="L21" s="24">
        <f>L4/H4-1</f>
        <v>-0.11451863354037262</v>
      </c>
      <c r="M21" s="24">
        <f>M4/I4-1</f>
        <v>-2.8055342044581044E-2</v>
      </c>
      <c r="N21" s="24">
        <f>N4/J4-1</f>
        <v>0.39865836128413989</v>
      </c>
      <c r="O21" s="24">
        <f>O4/K4-1</f>
        <v>0.74810765349032793</v>
      </c>
      <c r="P21" s="24">
        <f>P4/L4-1</f>
        <v>2.0670758439281016</v>
      </c>
      <c r="Q21" s="24">
        <f>Q4/M4-1</f>
        <v>2.9272439699485964</v>
      </c>
      <c r="R21" s="24">
        <f>R4/N4-1</f>
        <v>2.3353888317917093</v>
      </c>
      <c r="S21" s="24">
        <f>S4/O4-1</f>
        <v>1.4017320182824151</v>
      </c>
      <c r="T21" s="24">
        <f>T4/P4-1</f>
        <v>0.2361349342481418</v>
      </c>
      <c r="U21" s="24">
        <f>U4/Q4-1</f>
        <v>-0.38954893274265001</v>
      </c>
      <c r="V21" s="24">
        <f>V4/R4-1</f>
        <v>-9.0386195562859317E-3</v>
      </c>
      <c r="W21" s="24">
        <f>W4/S4-1</f>
        <v>-0.51061698717948723</v>
      </c>
      <c r="X21" s="24">
        <f>X4/T4-1</f>
        <v>1.0000000000000009E-2</v>
      </c>
      <c r="Y21" s="24">
        <f>Y4/U4-1</f>
        <v>1.0000000000000009E-2</v>
      </c>
      <c r="Z21" s="24">
        <f>Z4/V4-1</f>
        <v>1.0000000000000009E-2</v>
      </c>
      <c r="AA21" s="24"/>
      <c r="AB21" s="24"/>
      <c r="AC21" s="24"/>
      <c r="AD21" s="24"/>
      <c r="AG21" s="24">
        <f>AG4/AF4-1</f>
        <v>-0.13780227596017069</v>
      </c>
      <c r="AH21" s="24">
        <f>AH4/AG4-1</f>
        <v>4.2173644050319758E-2</v>
      </c>
      <c r="AI21" s="24">
        <f>AI4/AH4-1</f>
        <v>2.0494706638963094</v>
      </c>
      <c r="AJ21" s="24">
        <f>AJ4/AI4-1</f>
        <v>0.1142727361214757</v>
      </c>
      <c r="AK21" s="24">
        <f>AK4/AJ4-1</f>
        <v>-0.14135078473051277</v>
      </c>
      <c r="AL21" s="24">
        <f>AL4/AK4-1</f>
        <v>1.0000000000000009E-2</v>
      </c>
      <c r="AM21" s="24">
        <f>AM4/AL4-1</f>
        <v>1.0000000000000009E-2</v>
      </c>
      <c r="AN21" s="24">
        <f>AN4/AM4-1</f>
        <v>1.0000000000000009E-2</v>
      </c>
      <c r="AO21" s="24">
        <f>AO4/AN4-1</f>
        <v>1.0000000000000009E-2</v>
      </c>
    </row>
    <row r="22" spans="1:45" x14ac:dyDescent="0.3">
      <c r="B22" s="12" t="s">
        <v>39</v>
      </c>
      <c r="G22" s="24">
        <f>G5/C5-1</f>
        <v>3.3065841632021753E-2</v>
      </c>
      <c r="H22" s="24">
        <f>H5/D5-1</f>
        <v>1.3080568720379215E-2</v>
      </c>
      <c r="I22" s="24">
        <f>I5/E5-1</f>
        <v>-4.9603923047906395E-2</v>
      </c>
      <c r="J22" s="24">
        <f>J5/F5-1</f>
        <v>-0.23291441152187875</v>
      </c>
      <c r="K22" s="24">
        <f>K5/G5-1</f>
        <v>-9.6864763687412259E-2</v>
      </c>
      <c r="L22" s="24">
        <f>L5/H5-1</f>
        <v>-0.10928143712574845</v>
      </c>
      <c r="M22" s="24">
        <f>M5/I5-1</f>
        <v>-4.723159357015283E-2</v>
      </c>
      <c r="N22" s="24">
        <f>N5/J5-1</f>
        <v>4.819421191102613E-2</v>
      </c>
      <c r="O22" s="24">
        <f>O5/K5-1</f>
        <v>7.3471502590673587E-2</v>
      </c>
      <c r="P22" s="24">
        <f>P5/L5-1</f>
        <v>0.25031512605042017</v>
      </c>
      <c r="Q22" s="24">
        <f>Q5/M5-1</f>
        <v>0.46875650906061228</v>
      </c>
      <c r="R22" s="24">
        <f>R5/N5-1</f>
        <v>0.60889903023388481</v>
      </c>
      <c r="S22" s="24">
        <f>S5/O5-1</f>
        <v>0.51337001641085056</v>
      </c>
      <c r="T22" s="24">
        <f>T5/P5-1</f>
        <v>0.60413341174493818</v>
      </c>
      <c r="U22" s="24">
        <f>U5/Q5-1</f>
        <v>0.17528185492448412</v>
      </c>
      <c r="V22" s="24">
        <f>V5/R5-1</f>
        <v>3.8292440788540549E-2</v>
      </c>
      <c r="W22" s="24">
        <f>W5/S5-1</f>
        <v>-0.1454997767429993</v>
      </c>
      <c r="X22" s="24">
        <f>X5/T5-1</f>
        <v>1.0000000000000231E-2</v>
      </c>
      <c r="Y22" s="24">
        <f>Y5/U5-1</f>
        <v>1.0000000000000009E-2</v>
      </c>
      <c r="Z22" s="24">
        <f>Z5/V5-1</f>
        <v>1.0000000000000231E-2</v>
      </c>
      <c r="AA22" s="24"/>
      <c r="AB22" s="24"/>
      <c r="AC22" s="24"/>
      <c r="AD22" s="24"/>
      <c r="AG22" s="24">
        <f>AG5/AF5-1</f>
        <v>-6.0969857068729705E-2</v>
      </c>
      <c r="AH22" s="24">
        <f>AH5/AG5-1</f>
        <v>-5.7167256926129673E-2</v>
      </c>
      <c r="AI22" s="24">
        <f>AI5/AH5-1</f>
        <v>0.34446013266909992</v>
      </c>
      <c r="AJ22" s="24">
        <f>AJ5/AI5-1</f>
        <v>0.30754750629123984</v>
      </c>
      <c r="AK22" s="24" t="s">
        <v>62</v>
      </c>
      <c r="AL22" s="24">
        <f>AL5/AK5-1</f>
        <v>9.9999999999997868E-3</v>
      </c>
      <c r="AM22" s="24">
        <f>AM5/AL5-1</f>
        <v>1.0000000000000009E-2</v>
      </c>
      <c r="AN22" s="24">
        <f>AN5/AM5-1</f>
        <v>1.0000000000000009E-2</v>
      </c>
      <c r="AO22" s="24">
        <f>AO5/AN5-1</f>
        <v>1.0000000000000009E-2</v>
      </c>
      <c r="AR22" s="17" t="s">
        <v>51</v>
      </c>
      <c r="AS22" s="23">
        <v>-0.01</v>
      </c>
    </row>
    <row r="23" spans="1:45" x14ac:dyDescent="0.3">
      <c r="B23" s="12" t="s">
        <v>40</v>
      </c>
      <c r="G23" s="24">
        <f>G8/C8-1</f>
        <v>-2.192046556741023E-2</v>
      </c>
      <c r="H23" s="24">
        <f>H8/D8-1</f>
        <v>2.6222138977336495E-3</v>
      </c>
      <c r="I23" s="24">
        <f>I8/E8-1</f>
        <v>7.4518356961104093E-3</v>
      </c>
      <c r="J23" s="24">
        <f>J8/F8-1</f>
        <v>6.0334158415842332E-3</v>
      </c>
      <c r="K23" s="24">
        <f>K8/G8-1</f>
        <v>-8.825862752875846E-2</v>
      </c>
      <c r="L23" s="24">
        <f>L8/H8-1</f>
        <v>-3.5680926583224415E-2</v>
      </c>
      <c r="M23" s="24">
        <f>M8/I8-1</f>
        <v>-3.0128089482229892E-2</v>
      </c>
      <c r="N23" s="24">
        <f>N8/J8-1</f>
        <v>9.3495309856989062E-2</v>
      </c>
      <c r="O23" s="24">
        <f>O8/K8-1</f>
        <v>4.1983902545138063E-2</v>
      </c>
      <c r="P23" s="24">
        <f>P8/L8-1</f>
        <v>4.2425416505230462E-2</v>
      </c>
      <c r="Q23" s="24">
        <f>Q8/M8-1</f>
        <v>0.1796875</v>
      </c>
      <c r="R23" s="24">
        <f>R8/N8-1</f>
        <v>0.40880326255097743</v>
      </c>
      <c r="S23" s="24">
        <f>S8/O8-1</f>
        <v>9.5824634655532259E-2</v>
      </c>
      <c r="T23" s="24">
        <f>T8/P8-1</f>
        <v>8.9760267608251176E-2</v>
      </c>
      <c r="U23" s="24">
        <f>U8/Q8-1</f>
        <v>4.2415641753390076E-2</v>
      </c>
      <c r="V23" s="24">
        <f>V8/R8-1</f>
        <v>-0.16829706528249155</v>
      </c>
      <c r="W23" s="24">
        <f>W8/S8-1</f>
        <v>0.13240617260430554</v>
      </c>
      <c r="X23" s="24">
        <f>X8/T8-1</f>
        <v>1.0000000000000009E-2</v>
      </c>
      <c r="Y23" s="24">
        <f>Y8/U8-1</f>
        <v>1.0000000000000009E-2</v>
      </c>
      <c r="Z23" s="24">
        <f>Z8/V8-1</f>
        <v>1.0000000000000009E-2</v>
      </c>
      <c r="AA23" s="24"/>
      <c r="AB23" s="24"/>
      <c r="AC23" s="24"/>
      <c r="AD23" s="24"/>
      <c r="AG23" s="24">
        <f>AG8/AF8-1</f>
        <v>-8.4594835262685741E-4</v>
      </c>
      <c r="AH23" s="24">
        <f>AH8/AG8-1</f>
        <v>-8.6894523416960467E-3</v>
      </c>
      <c r="AI23" s="24">
        <f>AI8/AH8-1</f>
        <v>0.19261889777937613</v>
      </c>
      <c r="AJ23" s="24">
        <f>AJ8/AI8-1</f>
        <v>-1.7903584486072877E-2</v>
      </c>
      <c r="AK23" s="24">
        <f>AK8/AJ8-1</f>
        <v>3.4658811789990862E-2</v>
      </c>
      <c r="AL23" s="24">
        <f>AL8/AK8-1</f>
        <v>1.0000000000000009E-2</v>
      </c>
      <c r="AM23" s="24">
        <f>AM8/AL8-1</f>
        <v>1.0000000000000009E-2</v>
      </c>
      <c r="AN23" s="24">
        <f>AN8/AM8-1</f>
        <v>1.0000000000000009E-2</v>
      </c>
      <c r="AO23" s="24">
        <f>AO8/AN8-1</f>
        <v>1.0000000000000009E-2</v>
      </c>
      <c r="AR23" s="17" t="s">
        <v>52</v>
      </c>
      <c r="AS23" s="26">
        <f>WACC!C18</f>
        <v>4.6066701511560011E-2</v>
      </c>
    </row>
    <row r="24" spans="1:45" x14ac:dyDescent="0.3">
      <c r="B24" s="12" t="s">
        <v>41</v>
      </c>
      <c r="G24" s="24">
        <f>G9/C9-1</f>
        <v>8.7702390131071617E-2</v>
      </c>
      <c r="H24" s="24">
        <f>H9/D9-1</f>
        <v>2.3795816541930526E-2</v>
      </c>
      <c r="I24" s="24">
        <f>I9/E9-1</f>
        <v>-0.11113288906311247</v>
      </c>
      <c r="J24" s="24">
        <f>J9/F9-1</f>
        <v>-0.58102321388325451</v>
      </c>
      <c r="K24" s="24">
        <f>K9/G9-1</f>
        <v>-0.10455431508063084</v>
      </c>
      <c r="L24" s="24">
        <f>L9/H9-1</f>
        <v>-0.18313027179006558</v>
      </c>
      <c r="M24" s="24">
        <f>M9/I9-1</f>
        <v>-6.8136714443219448E-2</v>
      </c>
      <c r="N24" s="24">
        <f>N9/J9-1</f>
        <v>-0.11027434104357181</v>
      </c>
      <c r="O24" s="24">
        <f>O9/K9-1</f>
        <v>0.10211755392835942</v>
      </c>
      <c r="P24" s="24">
        <f>P9/L9-1</f>
        <v>0.49655805415328125</v>
      </c>
      <c r="Q24" s="24">
        <f>Q9/M9-1</f>
        <v>0.83648840511121625</v>
      </c>
      <c r="R24" s="24">
        <f>R9/N9-1</f>
        <v>1.4691656590084645</v>
      </c>
      <c r="S24" s="24">
        <f>S9/O9-1</f>
        <v>0.8725085293589514</v>
      </c>
      <c r="T24" s="24">
        <f>T9/P9-1</f>
        <v>1.0285188592456302</v>
      </c>
      <c r="U24" s="24">
        <f>U9/Q9-1</f>
        <v>0.2838551733024095</v>
      </c>
      <c r="V24" s="24">
        <f>V9/R9-1</f>
        <v>0.5450538687561215</v>
      </c>
      <c r="W24" s="24">
        <f>W9/S9-1</f>
        <v>-0.28538550057537404</v>
      </c>
      <c r="X24" s="24">
        <f>X9/T9-1</f>
        <v>1.0000000000000231E-2</v>
      </c>
      <c r="Y24" s="24">
        <f>Y9/U9-1</f>
        <v>1.0000000000000009E-2</v>
      </c>
      <c r="Z24" s="24">
        <f>Z9/V9-1</f>
        <v>1.0000000000000453E-2</v>
      </c>
      <c r="AA24" s="24"/>
      <c r="AB24" s="24"/>
      <c r="AC24" s="24"/>
      <c r="AD24" s="24"/>
      <c r="AG24" s="24">
        <f>AG9/AF9-1</f>
        <v>-0.12869896679707094</v>
      </c>
      <c r="AH24" s="24">
        <f>AH9/AG9-1</f>
        <v>-0.11979046741883492</v>
      </c>
      <c r="AI24" s="24">
        <f>AI9/AH9-1</f>
        <v>0.56536524753122741</v>
      </c>
      <c r="AJ24" s="24">
        <f>AJ9/AI9-1</f>
        <v>0.66828208556149726</v>
      </c>
      <c r="AK24" s="24">
        <f>AK9/AJ9-1</f>
        <v>-6.7138134829209273E-2</v>
      </c>
      <c r="AL24" s="24">
        <f>AL9/AK9-1</f>
        <v>9.9999999999995648E-3</v>
      </c>
      <c r="AM24" s="24">
        <f>AM9/AL9-1</f>
        <v>1.0000000000000009E-2</v>
      </c>
      <c r="AN24" s="24">
        <f>AN9/AM9-1</f>
        <v>1.0000000000000009E-2</v>
      </c>
      <c r="AO24" s="24">
        <f>AO9/AN9-1</f>
        <v>1.0000000000000009E-2</v>
      </c>
      <c r="AR24" s="17" t="s">
        <v>53</v>
      </c>
      <c r="AS24" s="12">
        <f>NPV(AS23,AJ16:KB16)</f>
        <v>578217.5534239579</v>
      </c>
    </row>
    <row r="25" spans="1:45" x14ac:dyDescent="0.3">
      <c r="B25" s="12" t="s">
        <v>42</v>
      </c>
      <c r="G25" s="24">
        <f t="shared" ref="G25:R25" si="90">G14/C14-1</f>
        <v>6.4254522769806588E-2</v>
      </c>
      <c r="H25" s="24">
        <f t="shared" si="90"/>
        <v>0.19749706687524449</v>
      </c>
      <c r="I25" s="24">
        <f t="shared" si="90"/>
        <v>-0.7852041750595129</v>
      </c>
      <c r="J25" s="24">
        <f t="shared" si="90"/>
        <v>-0.42504307869040781</v>
      </c>
      <c r="K25" s="24">
        <f t="shared" si="90"/>
        <v>-0.14869089488081277</v>
      </c>
      <c r="L25" s="24">
        <f t="shared" si="90"/>
        <v>-0.23236446766819074</v>
      </c>
      <c r="M25" s="24">
        <f t="shared" si="90"/>
        <v>1.6462063086104006</v>
      </c>
      <c r="N25" s="24">
        <f t="shared" si="90"/>
        <v>0.64335664335664333</v>
      </c>
      <c r="O25" s="24">
        <f t="shared" si="90"/>
        <v>0.32338765205416564</v>
      </c>
      <c r="P25" s="24">
        <f t="shared" si="90"/>
        <v>0.38396085939161884</v>
      </c>
      <c r="Q25" s="24">
        <f t="shared" si="90"/>
        <v>2.1481958762886597</v>
      </c>
      <c r="R25" s="24">
        <f t="shared" si="90"/>
        <v>1.7252279635258359</v>
      </c>
      <c r="S25" s="24">
        <f>S14/O14-1</f>
        <v>0.543010752688172</v>
      </c>
      <c r="T25" s="24">
        <f>T14/P14-1</f>
        <v>0.67875806947433137</v>
      </c>
      <c r="U25" s="24">
        <f>U14/Q14-1</f>
        <v>-1.2893982808022897E-2</v>
      </c>
      <c r="V25" s="24">
        <f>V14/R14-1</f>
        <v>0.54539370956948474</v>
      </c>
      <c r="W25" s="24">
        <f>W14/S14-1</f>
        <v>-0.25053388782735753</v>
      </c>
      <c r="X25" s="24">
        <f>X14/T14-1</f>
        <v>1.0000000000000231E-2</v>
      </c>
      <c r="Y25" s="24">
        <f>Y14/U14-1</f>
        <v>1.0000000000000009E-2</v>
      </c>
      <c r="Z25" s="24">
        <f>Z14/V14-1</f>
        <v>1.0000000000000453E-2</v>
      </c>
      <c r="AA25" s="24"/>
      <c r="AB25" s="24"/>
      <c r="AC25" s="24"/>
      <c r="AD25" s="24"/>
      <c r="AG25" s="24">
        <f t="shared" ref="AG25:AJ25" si="91">AG14/AF14-1</f>
        <v>-0.25819456617002634</v>
      </c>
      <c r="AH25" s="24">
        <f t="shared" si="91"/>
        <v>6.7265280403276728E-2</v>
      </c>
      <c r="AI25" s="24">
        <f t="shared" si="91"/>
        <v>0.9898154981549816</v>
      </c>
      <c r="AJ25" s="24">
        <f>AJ14/AI14-1</f>
        <v>0.34956605593056889</v>
      </c>
      <c r="AK25" s="24">
        <f>AK14/AJ14-1</f>
        <v>-5.3980542501442241E-2</v>
      </c>
      <c r="AL25" s="24">
        <f>AL14/AK14-1</f>
        <v>-0.1350522016360669</v>
      </c>
      <c r="AM25" s="24">
        <f>AM14/AL14-1</f>
        <v>1.0000000000000231E-2</v>
      </c>
      <c r="AN25" s="24">
        <f>AN14/AM14-1</f>
        <v>9.9999999999997868E-3</v>
      </c>
      <c r="AO25" s="24">
        <f>AO14/AN14-1</f>
        <v>1.0000000000000009E-2</v>
      </c>
      <c r="AR25" s="17" t="s">
        <v>54</v>
      </c>
      <c r="AS25" s="18">
        <f>Main!C8-Main!C9</f>
        <v>-15920</v>
      </c>
    </row>
    <row r="26" spans="1:45" x14ac:dyDescent="0.3">
      <c r="B26" s="12" t="s">
        <v>43</v>
      </c>
      <c r="G26" s="24">
        <f t="shared" ref="G26" si="92">G17/C17-1</f>
        <v>-5.0685157668812986E-2</v>
      </c>
      <c r="H26" s="24">
        <f t="shared" ref="H26" si="93">H17/D17-1</f>
        <v>-4.704301075268813E-2</v>
      </c>
      <c r="I26" s="24">
        <f t="shared" ref="I26" si="94">I17/E17-1</f>
        <v>-5.6298028733712036E-2</v>
      </c>
      <c r="J26" s="24">
        <f t="shared" ref="J26" si="95">J17/F17-1</f>
        <v>-4.7530446549391092E-2</v>
      </c>
      <c r="K26" s="24">
        <f t="shared" ref="K26" si="96">K17/G17-1</f>
        <v>-2.3826086956521775E-2</v>
      </c>
      <c r="L26" s="24">
        <f t="shared" ref="L26" si="97">L17/H17-1</f>
        <v>-9.3441466854724542E-3</v>
      </c>
      <c r="M26" s="24">
        <f t="shared" ref="M26" si="98">M17/I17-1</f>
        <v>-2.8323597096830966E-3</v>
      </c>
      <c r="N26" s="24">
        <f t="shared" ref="N26" si="99">N17/J17-1</f>
        <v>5.5052388563310295E-3</v>
      </c>
      <c r="O26" s="24">
        <f t="shared" ref="O26" si="100">O17/K17-1</f>
        <v>8.7297345448067443E-3</v>
      </c>
      <c r="P26" s="24">
        <f t="shared" ref="P26" si="101">P17/L17-1</f>
        <v>1.0500088983804945E-2</v>
      </c>
      <c r="Q26" s="24">
        <f t="shared" ref="Q26" si="102">Q17/M17-1</f>
        <v>1.6332327356648246E-2</v>
      </c>
      <c r="R26" s="24">
        <f t="shared" ref="R26" si="103">R17/N17-1</f>
        <v>1.8721299894030485E-2</v>
      </c>
      <c r="S26" s="24">
        <f t="shared" ref="S26:Z26" si="104">S17/O17-1</f>
        <v>1.6955139526668939E-2</v>
      </c>
      <c r="T26" s="24">
        <f t="shared" si="104"/>
        <v>5.9880239520957446E-3</v>
      </c>
      <c r="U26" s="24">
        <f t="shared" si="104"/>
        <v>-1.2227074235807711E-3</v>
      </c>
      <c r="V26" s="24">
        <f t="shared" si="104"/>
        <v>-4.3342579750347277E-3</v>
      </c>
      <c r="W26" s="24">
        <f t="shared" si="104"/>
        <v>-5.3838138242445766E-3</v>
      </c>
      <c r="X26" s="24">
        <f t="shared" si="104"/>
        <v>1.0000000000000009E-2</v>
      </c>
      <c r="Y26" s="24">
        <f t="shared" si="104"/>
        <v>1.0000000000000009E-2</v>
      </c>
      <c r="Z26" s="24">
        <f t="shared" si="104"/>
        <v>1.0000000000000009E-2</v>
      </c>
      <c r="AA26" s="24"/>
      <c r="AB26" s="24"/>
      <c r="AC26" s="24"/>
      <c r="AD26" s="24"/>
      <c r="AG26" s="24">
        <f t="shared" ref="AG26" si="105">AG17/AF17-1</f>
        <v>-4.7530446549391092E-2</v>
      </c>
      <c r="AH26" s="24">
        <f t="shared" ref="AH26" si="106">AH17/AG17-1</f>
        <v>5.5052388563310295E-3</v>
      </c>
      <c r="AI26" s="24">
        <f t="shared" ref="AI26" si="107">AI17/AH17-1</f>
        <v>1.8721299894030485E-2</v>
      </c>
      <c r="AJ26" s="24">
        <f t="shared" ref="AJ26:AO26" si="108">AJ17/AI17-1</f>
        <v>-4.3342579750347277E-3</v>
      </c>
      <c r="AK26" s="24">
        <f t="shared" si="108"/>
        <v>1.0000000000000009E-2</v>
      </c>
      <c r="AL26" s="24">
        <f t="shared" si="108"/>
        <v>-9.9999999999998979E-3</v>
      </c>
      <c r="AM26" s="24">
        <f t="shared" si="108"/>
        <v>-9.9999999999998979E-3</v>
      </c>
      <c r="AN26" s="24">
        <f t="shared" si="108"/>
        <v>-9.9999999999998979E-3</v>
      </c>
      <c r="AO26" s="24">
        <f t="shared" si="108"/>
        <v>-1.0000000000000009E-2</v>
      </c>
      <c r="AR26" s="18" t="s">
        <v>55</v>
      </c>
      <c r="AS26" s="18">
        <f>AS24+AS25</f>
        <v>562297.5534239579</v>
      </c>
    </row>
    <row r="27" spans="1:45" x14ac:dyDescent="0.3">
      <c r="B27" s="12" t="s">
        <v>44</v>
      </c>
      <c r="C27" s="24">
        <f>C5/C3</f>
        <v>0.80141019680768633</v>
      </c>
      <c r="D27" s="24">
        <f>D5/D3</f>
        <v>0.78345462646665676</v>
      </c>
      <c r="E27" s="24">
        <f>E5/E3</f>
        <v>0.79741314483380965</v>
      </c>
      <c r="F27" s="24">
        <f>F5/F3</f>
        <v>0.77997996565540928</v>
      </c>
      <c r="G27" s="24">
        <f>G5/G3</f>
        <v>0.81452965391065713</v>
      </c>
      <c r="H27" s="24">
        <f>H5/H3</f>
        <v>0.80579010856453559</v>
      </c>
      <c r="I27" s="24">
        <f>I5/I3</f>
        <v>0.794794952681388</v>
      </c>
      <c r="J27" s="24">
        <f>J5/J3</f>
        <v>0.8002679682266246</v>
      </c>
      <c r="K27" s="24">
        <f>K5/K3</f>
        <v>0.80229464582640508</v>
      </c>
      <c r="L27" s="24">
        <f>L5/L3</f>
        <v>0.80671129565291078</v>
      </c>
      <c r="M27" s="24">
        <f>M5/M3</f>
        <v>0.79152584288187289</v>
      </c>
      <c r="N27" s="24">
        <f>N5/N3</f>
        <v>0.75017117425539204</v>
      </c>
      <c r="O27" s="24">
        <f>O5/O3</f>
        <v>0.71362634334527419</v>
      </c>
      <c r="P27" s="24">
        <f>P5/P3</f>
        <v>0.62982168368696756</v>
      </c>
      <c r="Q27" s="24">
        <f>Q5/Q3</f>
        <v>0.58676929477844808</v>
      </c>
      <c r="R27" s="24">
        <f>R5/R3</f>
        <v>0.59157647453645446</v>
      </c>
      <c r="S27" s="24">
        <f>S5/S3</f>
        <v>0.61092708779860494</v>
      </c>
      <c r="T27" s="24">
        <f>T5/T3</f>
        <v>0.68827049239420368</v>
      </c>
      <c r="U27" s="24">
        <f>U5/U3</f>
        <v>0.73217598727802813</v>
      </c>
      <c r="V27" s="24">
        <f>V5/V3</f>
        <v>0.6027995059695348</v>
      </c>
      <c r="W27" s="24">
        <f>W5/W3</f>
        <v>0.73274258833825623</v>
      </c>
      <c r="X27" s="24">
        <f>X5/X3</f>
        <v>0.68827049239420379</v>
      </c>
      <c r="Y27" s="24">
        <f>Y5/Y3</f>
        <v>0.73217598727802802</v>
      </c>
      <c r="Z27" s="24">
        <f>Z5/Z3</f>
        <v>0.6027995059695348</v>
      </c>
      <c r="AA27" s="24"/>
      <c r="AB27" s="24"/>
      <c r="AC27" s="24"/>
      <c r="AD27" s="24"/>
      <c r="AF27" s="24">
        <f>AF5/AF3</f>
        <v>0.79032919509376287</v>
      </c>
      <c r="AG27" s="24">
        <f>AG5/AG3</f>
        <v>0.80412433600614008</v>
      </c>
      <c r="AH27" s="24">
        <f>AH5/AH3</f>
        <v>0.78786415918058939</v>
      </c>
      <c r="AI27" s="24">
        <f>AI5/AI3</f>
        <v>0.62084194469048326</v>
      </c>
      <c r="AJ27" s="24">
        <f>AJ5/AJ3</f>
        <v>0.65770300305987184</v>
      </c>
      <c r="AK27" s="24">
        <f>AK5/AK3</f>
        <v>0.68528282676280472</v>
      </c>
      <c r="AL27" s="24">
        <f>AL5/AL3</f>
        <v>0.68528282676280461</v>
      </c>
      <c r="AM27" s="24">
        <f>AM5/AM3</f>
        <v>0.68528282676280461</v>
      </c>
      <c r="AN27" s="24">
        <f>AN5/AN3</f>
        <v>0.68528282676280461</v>
      </c>
      <c r="AO27" s="24">
        <f>AO5/AO3</f>
        <v>0.68528282676280461</v>
      </c>
      <c r="AR27" s="18" t="s">
        <v>56</v>
      </c>
      <c r="AS27" s="27">
        <f>AS26/Main!C6</f>
        <v>98.183613309578817</v>
      </c>
    </row>
    <row r="28" spans="1:45" x14ac:dyDescent="0.3">
      <c r="B28" s="12" t="s">
        <v>45</v>
      </c>
      <c r="C28" s="24">
        <f>C9/C3</f>
        <v>0.40198357353169067</v>
      </c>
      <c r="D28" s="24">
        <f>D9/D3</f>
        <v>0.38697460270310413</v>
      </c>
      <c r="E28" s="24">
        <f>E9/E3</f>
        <v>0.38366671679951875</v>
      </c>
      <c r="F28" s="24">
        <f>F9/F3</f>
        <v>0.31747281053234117</v>
      </c>
      <c r="G28" s="24">
        <f>G9/G3</f>
        <v>0.4301722823601159</v>
      </c>
      <c r="H28" s="24">
        <f>H9/H3</f>
        <v>0.40221652593486129</v>
      </c>
      <c r="I28" s="24">
        <f>I9/I3</f>
        <v>0.35764984227129337</v>
      </c>
      <c r="J28" s="24">
        <f>J9/J3</f>
        <v>0.17791176189109006</v>
      </c>
      <c r="K28" s="24">
        <f>K9/K3</f>
        <v>0.42010309278350516</v>
      </c>
      <c r="L28" s="24">
        <f>L9/L3</f>
        <v>0.36929073807304463</v>
      </c>
      <c r="M28" s="24">
        <f>M9/M3</f>
        <v>0.34836369631522546</v>
      </c>
      <c r="N28" s="24">
        <f>N9/N3</f>
        <v>0.14156110920917495</v>
      </c>
      <c r="O28" s="24">
        <f>O9/O3</f>
        <v>0.38364563240562138</v>
      </c>
      <c r="P28" s="24">
        <f>P9/P3</f>
        <v>0.34509762421292134</v>
      </c>
      <c r="Q28" s="24">
        <f>Q9/Q3</f>
        <v>0.32290409819013938</v>
      </c>
      <c r="R28" s="24">
        <f>R9/R3</f>
        <v>0.17132309757529995</v>
      </c>
      <c r="S28" s="24">
        <f>S9/S3</f>
        <v>0.40637543353727446</v>
      </c>
      <c r="T28" s="24">
        <f>T9/T3</f>
        <v>0.47689423978083773</v>
      </c>
      <c r="U28" s="24">
        <f>U9/U3</f>
        <v>0.44014488912448096</v>
      </c>
      <c r="V28" s="24">
        <f>V9/V3</f>
        <v>0.25977768629065456</v>
      </c>
      <c r="W28" s="24">
        <f>W9/W3</f>
        <v>0.40761404660321626</v>
      </c>
      <c r="X28" s="24">
        <f>X9/X3</f>
        <v>0.47689423978083778</v>
      </c>
      <c r="Y28" s="24">
        <f>Y9/Y3</f>
        <v>0.44014488912448091</v>
      </c>
      <c r="Z28" s="24">
        <f>Z9/Z3</f>
        <v>0.25977768629065467</v>
      </c>
      <c r="AA28" s="24"/>
      <c r="AB28" s="24"/>
      <c r="AC28" s="24"/>
      <c r="AD28" s="24"/>
      <c r="AF28" s="24">
        <f>AF9/AF3</f>
        <v>0.37165865115758862</v>
      </c>
      <c r="AG28" s="24">
        <f>AG9/AG3</f>
        <v>0.35087152349982831</v>
      </c>
      <c r="AH28" s="24">
        <f>AH9/AH3</f>
        <v>0.32094282595919738</v>
      </c>
      <c r="AI28" s="24">
        <f>AI9/AI3</f>
        <v>0.29445920677098708</v>
      </c>
      <c r="AJ28" s="24">
        <f>AJ9/AJ3</f>
        <v>0.3980026113564103</v>
      </c>
      <c r="AK28" s="24">
        <f>AK9/AK3</f>
        <v>0.39756197257806147</v>
      </c>
      <c r="AL28" s="24">
        <f>AL9/AL3</f>
        <v>0.39756197257806136</v>
      </c>
      <c r="AM28" s="24">
        <f>AM9/AM3</f>
        <v>0.39756197257806136</v>
      </c>
      <c r="AN28" s="24">
        <f>AN9/AN3</f>
        <v>0.39756197257806136</v>
      </c>
      <c r="AO28" s="24">
        <f>AO9/AO3</f>
        <v>0.39756197257806142</v>
      </c>
      <c r="AR28" s="18" t="s">
        <v>57</v>
      </c>
      <c r="AS28" s="27">
        <f>Main!C5</f>
        <v>40.299900000000001</v>
      </c>
    </row>
    <row r="29" spans="1:45" x14ac:dyDescent="0.3">
      <c r="B29" s="12" t="s">
        <v>46</v>
      </c>
      <c r="C29" s="24">
        <f t="shared" ref="C29:G29" si="109">C12/C11</f>
        <v>0.10361535594483787</v>
      </c>
      <c r="D29" s="24">
        <f t="shared" si="109"/>
        <v>0.11246095105866019</v>
      </c>
      <c r="E29" s="24">
        <f t="shared" si="109"/>
        <v>1.1965192168237854E-2</v>
      </c>
      <c r="F29" s="24">
        <f t="shared" si="109"/>
        <v>-0.47792869269949068</v>
      </c>
      <c r="G29" s="24">
        <f t="shared" ref="G29:S29" si="110">G12/G11</f>
        <v>7.8003963249864888E-2</v>
      </c>
      <c r="H29" s="24">
        <f t="shared" si="110"/>
        <v>-0.17565751583797273</v>
      </c>
      <c r="I29" s="24">
        <f t="shared" si="110"/>
        <v>0.72272296015180271</v>
      </c>
      <c r="J29" s="24">
        <f t="shared" si="110"/>
        <v>1.3044871794871795</v>
      </c>
      <c r="K29" s="24">
        <f t="shared" si="110"/>
        <v>9.8302980132450327E-2</v>
      </c>
      <c r="L29" s="24">
        <f t="shared" si="110"/>
        <v>9.9425287356321834E-2</v>
      </c>
      <c r="M29" s="24">
        <f t="shared" si="110"/>
        <v>-8.4470435347628325E-3</v>
      </c>
      <c r="N29" s="24">
        <f t="shared" si="110"/>
        <v>-0.13957307060755336</v>
      </c>
      <c r="O29" s="24">
        <f t="shared" si="110"/>
        <v>0.1229271261220143</v>
      </c>
      <c r="P29" s="24">
        <f t="shared" si="110"/>
        <v>0.1427844882390337</v>
      </c>
      <c r="Q29" s="24">
        <f t="shared" si="110"/>
        <v>-3.4683303373162735E-2</v>
      </c>
      <c r="R29" s="24">
        <f t="shared" si="110"/>
        <v>5.0620044724537509E-2</v>
      </c>
      <c r="S29" s="24">
        <f t="shared" ref="O29:Z29" si="111">S12/S11</f>
        <v>0.11629291526096448</v>
      </c>
      <c r="T29" s="24">
        <f t="shared" si="111"/>
        <v>0.12602343875421415</v>
      </c>
      <c r="U29" s="24">
        <f t="shared" si="111"/>
        <v>3.5518307891848747E-2</v>
      </c>
      <c r="V29" s="24">
        <f t="shared" si="111"/>
        <v>3.2140860816098377E-2</v>
      </c>
      <c r="W29" s="24">
        <f t="shared" si="111"/>
        <v>9.6857220265510705E-2</v>
      </c>
      <c r="X29" s="24">
        <f t="shared" si="111"/>
        <v>0.12602343875421412</v>
      </c>
      <c r="Y29" s="24">
        <f t="shared" si="111"/>
        <v>3.5518307891848747E-2</v>
      </c>
      <c r="Z29" s="24">
        <f t="shared" si="111"/>
        <v>3.214086081609837E-2</v>
      </c>
      <c r="AA29" s="24"/>
      <c r="AB29" s="24"/>
      <c r="AC29" s="24"/>
      <c r="AD29" s="24"/>
      <c r="AF29" s="24">
        <f t="shared" ref="AF29" si="112">AF12/AF11</f>
        <v>3.9670070699135897E-2</v>
      </c>
      <c r="AG29" s="24">
        <f t="shared" ref="AG29:AJ29" si="113">AG12/AG11</f>
        <v>9.5726495726495733E-2</v>
      </c>
      <c r="AH29" s="24">
        <f t="shared" si="113"/>
        <v>5.5617507666573737E-2</v>
      </c>
      <c r="AI29" s="24">
        <f t="shared" si="113"/>
        <v>6.4274311098771436E-2</v>
      </c>
      <c r="AJ29" s="24">
        <f t="shared" ref="AJ29:AO29" si="114">AJ12/AJ11</f>
        <v>8.3797054009819974E-2</v>
      </c>
      <c r="AK29" s="24">
        <f t="shared" si="114"/>
        <v>7.7516583649043236E-2</v>
      </c>
      <c r="AL29" s="24">
        <f t="shared" si="114"/>
        <v>0.21</v>
      </c>
      <c r="AM29" s="24">
        <f t="shared" si="114"/>
        <v>0.21</v>
      </c>
      <c r="AN29" s="24">
        <f t="shared" si="114"/>
        <v>0.21</v>
      </c>
      <c r="AO29" s="24">
        <f t="shared" si="114"/>
        <v>0.21</v>
      </c>
      <c r="AR29" s="25" t="s">
        <v>58</v>
      </c>
      <c r="AS29" s="28">
        <f>AS27/AS28-1</f>
        <v>1.4363239935974734</v>
      </c>
    </row>
  </sheetData>
  <phoneticPr fontId="4" type="noConversion"/>
  <conditionalFormatting sqref="AS2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6D2A-AAAE-4123-BB43-C858CF872FF3}">
  <dimension ref="B3:D18"/>
  <sheetViews>
    <sheetView workbookViewId="0">
      <selection activeCell="C10" sqref="C10"/>
    </sheetView>
  </sheetViews>
  <sheetFormatPr defaultRowHeight="14.5" x14ac:dyDescent="0.35"/>
  <cols>
    <col min="2" max="2" width="15.6328125" bestFit="1" customWidth="1"/>
  </cols>
  <sheetData>
    <row r="3" spans="2:4" x14ac:dyDescent="0.35">
      <c r="B3" s="17" t="s">
        <v>7</v>
      </c>
      <c r="C3" s="18">
        <f>Main!C9</f>
        <v>35892</v>
      </c>
      <c r="D3" s="17"/>
    </row>
    <row r="4" spans="2:4" x14ac:dyDescent="0.35">
      <c r="B4" s="17" t="s">
        <v>26</v>
      </c>
      <c r="C4" s="18">
        <f>Main!C7</f>
        <v>230797.52730000002</v>
      </c>
      <c r="D4" s="17"/>
    </row>
    <row r="5" spans="2:4" x14ac:dyDescent="0.35">
      <c r="B5" s="17" t="s">
        <v>27</v>
      </c>
      <c r="C5" s="18">
        <f>C3+C4</f>
        <v>266689.52730000002</v>
      </c>
      <c r="D5" s="17"/>
    </row>
    <row r="6" spans="2:4" x14ac:dyDescent="0.35">
      <c r="B6" s="19" t="s">
        <v>28</v>
      </c>
      <c r="C6" s="20">
        <f>C3/C5</f>
        <v>0.13458346251304035</v>
      </c>
      <c r="D6" s="17"/>
    </row>
    <row r="7" spans="2:4" x14ac:dyDescent="0.35">
      <c r="B7" s="19" t="s">
        <v>29</v>
      </c>
      <c r="C7" s="20">
        <f>C4/C5</f>
        <v>0.86541653748695968</v>
      </c>
      <c r="D7" s="17"/>
    </row>
    <row r="8" spans="2:4" x14ac:dyDescent="0.35">
      <c r="B8" s="17"/>
      <c r="C8" s="17"/>
      <c r="D8" s="17"/>
    </row>
    <row r="9" spans="2:4" x14ac:dyDescent="0.35">
      <c r="B9" s="17" t="s">
        <v>30</v>
      </c>
      <c r="C9" s="21">
        <f>AVERAGE(Model!AF29:AJ29)</f>
        <v>6.7817087840159357E-2</v>
      </c>
      <c r="D9" s="17"/>
    </row>
    <row r="10" spans="2:4" x14ac:dyDescent="0.35">
      <c r="B10" s="17" t="s">
        <v>31</v>
      </c>
      <c r="C10" s="18">
        <v>1238</v>
      </c>
      <c r="D10" s="17" t="s">
        <v>80</v>
      </c>
    </row>
    <row r="11" spans="2:4" x14ac:dyDescent="0.35">
      <c r="B11" s="19" t="s">
        <v>32</v>
      </c>
      <c r="C11" s="22">
        <f>C10/C3</f>
        <v>3.4492365986849439E-2</v>
      </c>
      <c r="D11" s="17"/>
    </row>
    <row r="12" spans="2:4" x14ac:dyDescent="0.35">
      <c r="B12" s="17"/>
      <c r="C12" s="17"/>
      <c r="D12" s="17"/>
    </row>
    <row r="13" spans="2:4" x14ac:dyDescent="0.35">
      <c r="B13" s="17" t="s">
        <v>33</v>
      </c>
      <c r="C13" s="21">
        <f>'[1]T-Bond Yields'!$C$12</f>
        <v>3.8899999999999997E-2</v>
      </c>
      <c r="D13" s="17"/>
    </row>
    <row r="14" spans="2:4" x14ac:dyDescent="0.35">
      <c r="B14" s="17" t="s">
        <v>34</v>
      </c>
      <c r="C14" s="17">
        <v>0.59</v>
      </c>
      <c r="D14" s="17" t="s">
        <v>63</v>
      </c>
    </row>
    <row r="15" spans="2:4" x14ac:dyDescent="0.35">
      <c r="B15" s="17" t="s">
        <v>35</v>
      </c>
      <c r="C15" s="23">
        <v>0.06</v>
      </c>
      <c r="D15" s="17"/>
    </row>
    <row r="16" spans="2:4" x14ac:dyDescent="0.35">
      <c r="B16" s="19" t="s">
        <v>36</v>
      </c>
      <c r="C16" s="20">
        <f>C13+C14*(C15-C13)</f>
        <v>5.1348999999999999E-2</v>
      </c>
      <c r="D16" s="17"/>
    </row>
    <row r="17" spans="2:4" x14ac:dyDescent="0.35">
      <c r="B17" s="17"/>
      <c r="C17" s="17"/>
      <c r="D17" s="17"/>
    </row>
    <row r="18" spans="2:4" x14ac:dyDescent="0.35">
      <c r="B18" s="19" t="s">
        <v>37</v>
      </c>
      <c r="C18" s="20">
        <f>(C6*C11)+(C7*C16)*(1-C9)</f>
        <v>4.6066701511560011E-2</v>
      </c>
      <c r="D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Sheldon</dc:creator>
  <cp:lastModifiedBy>Bill Sheldon</cp:lastModifiedBy>
  <dcterms:created xsi:type="dcterms:W3CDTF">2023-02-26T20:58:42Z</dcterms:created>
  <dcterms:modified xsi:type="dcterms:W3CDTF">2023-06-13T17:48:42Z</dcterms:modified>
</cp:coreProperties>
</file>