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lshe\Documents\Models\"/>
    </mc:Choice>
  </mc:AlternateContent>
  <xr:revisionPtr revIDLastSave="0" documentId="13_ncr:1_{07F8BBA9-2843-4B6E-8D21-9AB0444BD974}" xr6:coauthVersionLast="47" xr6:coauthVersionMax="47" xr10:uidLastSave="{00000000-0000-0000-0000-000000000000}"/>
  <bookViews>
    <workbookView xWindow="-28920" yWindow="-120" windowWidth="29040" windowHeight="15720" xr2:uid="{5A5E85D4-48E5-46E8-AC90-9F7718E66B19}"/>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W9" i="2" l="1"/>
  <c r="AX9" i="2"/>
  <c r="AY9" i="2" s="1"/>
  <c r="AZ9" i="2" s="1"/>
  <c r="BA9" i="2" s="1"/>
  <c r="AW5" i="2"/>
  <c r="AX5" i="2" s="1"/>
  <c r="AY5" i="2" s="1"/>
  <c r="AZ5" i="2" s="1"/>
  <c r="BA5" i="2" s="1"/>
  <c r="AX4" i="2"/>
  <c r="AY4" i="2" s="1"/>
  <c r="AZ4" i="2" s="1"/>
  <c r="BA4" i="2" s="1"/>
  <c r="AW4" i="2"/>
  <c r="AX3" i="2"/>
  <c r="AW3" i="2"/>
  <c r="AY17" i="2"/>
  <c r="AZ17" i="2" s="1"/>
  <c r="BA17" i="2" s="1"/>
  <c r="AX17" i="2"/>
  <c r="AW17" i="2"/>
  <c r="AX16" i="2"/>
  <c r="AY16" i="2" s="1"/>
  <c r="AZ16" i="2" s="1"/>
  <c r="BA16" i="2" s="1"/>
  <c r="AW16" i="2"/>
  <c r="AX15" i="2"/>
  <c r="AY15" i="2" s="1"/>
  <c r="AZ15" i="2" s="1"/>
  <c r="BA15" i="2" s="1"/>
  <c r="AW15" i="2"/>
  <c r="AH22" i="2"/>
  <c r="AG22" i="2"/>
  <c r="AF22" i="2"/>
  <c r="AE22" i="2"/>
  <c r="AX11" i="2"/>
  <c r="AY11" i="2" s="1"/>
  <c r="AZ11" i="2" s="1"/>
  <c r="BA11" i="2" s="1"/>
  <c r="AW11" i="2"/>
  <c r="AY10" i="2"/>
  <c r="AZ10" i="2" s="1"/>
  <c r="AX10" i="2"/>
  <c r="AW10" i="2"/>
  <c r="AX30" i="2" s="1"/>
  <c r="AX7" i="2"/>
  <c r="AY7" i="2" s="1"/>
  <c r="AZ7" i="2" s="1"/>
  <c r="BA7" i="2" s="1"/>
  <c r="AW7" i="2"/>
  <c r="AY30" i="2"/>
  <c r="AF13" i="2"/>
  <c r="AG13" i="2"/>
  <c r="AH13" i="2"/>
  <c r="AE13" i="2"/>
  <c r="AV30" i="2"/>
  <c r="AU30" i="2"/>
  <c r="AT30" i="2"/>
  <c r="AS30" i="2"/>
  <c r="AR30" i="2"/>
  <c r="AQ30" i="2"/>
  <c r="AP30" i="2"/>
  <c r="AV29" i="2"/>
  <c r="AV28" i="2"/>
  <c r="AV27" i="2"/>
  <c r="AV20" i="2"/>
  <c r="AV17" i="2"/>
  <c r="AV16" i="2"/>
  <c r="AV15" i="2"/>
  <c r="AV11" i="2"/>
  <c r="AV12" i="2" s="1"/>
  <c r="AV10" i="2"/>
  <c r="AV9" i="2"/>
  <c r="AV7" i="2"/>
  <c r="AV5" i="2"/>
  <c r="AV4" i="2"/>
  <c r="AV3" i="2"/>
  <c r="AH7" i="2"/>
  <c r="AG7" i="2"/>
  <c r="AF7" i="2"/>
  <c r="AE7" i="2"/>
  <c r="AH3" i="2"/>
  <c r="AG3" i="2"/>
  <c r="AF3" i="2"/>
  <c r="AE3" i="2"/>
  <c r="AH4" i="2"/>
  <c r="AG4" i="2"/>
  <c r="AF4" i="2"/>
  <c r="AE4" i="2"/>
  <c r="AH5" i="2"/>
  <c r="AG5" i="2"/>
  <c r="AF5" i="2"/>
  <c r="AE5" i="2"/>
  <c r="AH30" i="2"/>
  <c r="AG30" i="2"/>
  <c r="AF30" i="2"/>
  <c r="AE30" i="2"/>
  <c r="AH29" i="2"/>
  <c r="AG29" i="2"/>
  <c r="AF29" i="2"/>
  <c r="AE29" i="2"/>
  <c r="AD30" i="2"/>
  <c r="AC30" i="2"/>
  <c r="AB30" i="2"/>
  <c r="AA30" i="2"/>
  <c r="Z30" i="2"/>
  <c r="Y30" i="2"/>
  <c r="X30" i="2"/>
  <c r="W30" i="2"/>
  <c r="V30" i="2"/>
  <c r="U30" i="2"/>
  <c r="T30" i="2"/>
  <c r="S30" i="2"/>
  <c r="R30" i="2"/>
  <c r="Q30" i="2"/>
  <c r="P30" i="2"/>
  <c r="O30" i="2"/>
  <c r="N30" i="2"/>
  <c r="M30" i="2"/>
  <c r="L30" i="2"/>
  <c r="K30" i="2"/>
  <c r="J30" i="2"/>
  <c r="I30" i="2"/>
  <c r="H30" i="2"/>
  <c r="G30" i="2"/>
  <c r="AH9" i="2"/>
  <c r="AG9" i="2"/>
  <c r="AF9" i="2"/>
  <c r="AE9" i="2"/>
  <c r="AH10" i="2"/>
  <c r="AG10" i="2"/>
  <c r="AF10" i="2"/>
  <c r="AE10" i="2"/>
  <c r="Z62" i="2"/>
  <c r="Z61" i="2"/>
  <c r="Z65" i="2" s="1"/>
  <c r="Z67" i="2" s="1"/>
  <c r="X67" i="2"/>
  <c r="W67" i="2"/>
  <c r="V67" i="2"/>
  <c r="U67" i="2"/>
  <c r="T67" i="2"/>
  <c r="AC65" i="2"/>
  <c r="AC67" i="2" s="1"/>
  <c r="AB65" i="2"/>
  <c r="AB67" i="2" s="1"/>
  <c r="AA65" i="2"/>
  <c r="AA67" i="2" s="1"/>
  <c r="Y65" i="2"/>
  <c r="Y67" i="2" s="1"/>
  <c r="X65" i="2"/>
  <c r="W65" i="2"/>
  <c r="V65" i="2"/>
  <c r="U65" i="2"/>
  <c r="T65" i="2"/>
  <c r="S65" i="2"/>
  <c r="S67" i="2" s="1"/>
  <c r="AC55" i="2"/>
  <c r="AB55" i="2"/>
  <c r="AA55" i="2"/>
  <c r="Z55" i="2"/>
  <c r="Y55" i="2"/>
  <c r="X55" i="2"/>
  <c r="W55" i="2"/>
  <c r="V55" i="2"/>
  <c r="U55" i="2"/>
  <c r="T55" i="2"/>
  <c r="S55" i="2"/>
  <c r="R55" i="2"/>
  <c r="Q55" i="2"/>
  <c r="P55" i="2"/>
  <c r="O55" i="2"/>
  <c r="Z45" i="2"/>
  <c r="AD62" i="2"/>
  <c r="AD61" i="2"/>
  <c r="AD45" i="2"/>
  <c r="AD55" i="2" s="1"/>
  <c r="AC29" i="2"/>
  <c r="AB29" i="2"/>
  <c r="AA29" i="2"/>
  <c r="Z29" i="2"/>
  <c r="Y29" i="2"/>
  <c r="X29" i="2"/>
  <c r="W29" i="2"/>
  <c r="V29" i="2"/>
  <c r="U29" i="2"/>
  <c r="T29" i="2"/>
  <c r="S29" i="2"/>
  <c r="R29" i="2"/>
  <c r="N29" i="2"/>
  <c r="AD29" i="2"/>
  <c r="AU11" i="2"/>
  <c r="AU10" i="2"/>
  <c r="AU9" i="2"/>
  <c r="AU7" i="2"/>
  <c r="AU5" i="2"/>
  <c r="AU4" i="2"/>
  <c r="AU3" i="2"/>
  <c r="AT11" i="2"/>
  <c r="AT10" i="2"/>
  <c r="AT9" i="2"/>
  <c r="AT7" i="2"/>
  <c r="AT5" i="2"/>
  <c r="AT4" i="2"/>
  <c r="AT3" i="2"/>
  <c r="AS11" i="2"/>
  <c r="AS10" i="2"/>
  <c r="AS9" i="2"/>
  <c r="AS7" i="2"/>
  <c r="AS5" i="2"/>
  <c r="AS4" i="2"/>
  <c r="AS3" i="2"/>
  <c r="AR11" i="2"/>
  <c r="AR10" i="2"/>
  <c r="AR9" i="2"/>
  <c r="AR7" i="2"/>
  <c r="AR5" i="2"/>
  <c r="AR4" i="2"/>
  <c r="AR3" i="2"/>
  <c r="AQ11" i="2"/>
  <c r="AQ9" i="2"/>
  <c r="AQ7" i="2"/>
  <c r="AQ5" i="2"/>
  <c r="AQ4" i="2"/>
  <c r="AQ3" i="2"/>
  <c r="AP11" i="2"/>
  <c r="AP9" i="2"/>
  <c r="AP7" i="2"/>
  <c r="AP5" i="2"/>
  <c r="AP4" i="2"/>
  <c r="AP3" i="2"/>
  <c r="AO11" i="2"/>
  <c r="AO9" i="2"/>
  <c r="AO7" i="2"/>
  <c r="AV6" i="2"/>
  <c r="AV8" i="2" s="1"/>
  <c r="AO5" i="2"/>
  <c r="AO4" i="2"/>
  <c r="AO3" i="2"/>
  <c r="C10" i="2"/>
  <c r="D10" i="2"/>
  <c r="E10" i="2"/>
  <c r="F10" i="2"/>
  <c r="G10" i="2"/>
  <c r="K10" i="2"/>
  <c r="H10" i="2"/>
  <c r="L10" i="2"/>
  <c r="I10" i="2"/>
  <c r="M10" i="2"/>
  <c r="M6" i="2"/>
  <c r="M8" i="2" s="1"/>
  <c r="J10" i="2"/>
  <c r="N10" i="2"/>
  <c r="AB6" i="2"/>
  <c r="AB8" i="2" s="1"/>
  <c r="AB12" i="2" s="1"/>
  <c r="AB31" i="2" s="1"/>
  <c r="AA6" i="2"/>
  <c r="AA8" i="2" s="1"/>
  <c r="AA12" i="2" s="1"/>
  <c r="AA31" i="2" s="1"/>
  <c r="Z6" i="2"/>
  <c r="Z8" i="2" s="1"/>
  <c r="Z12" i="2" s="1"/>
  <c r="Z31" i="2" s="1"/>
  <c r="Y6" i="2"/>
  <c r="Y8" i="2" s="1"/>
  <c r="Y12" i="2" s="1"/>
  <c r="Y31" i="2" s="1"/>
  <c r="X6" i="2"/>
  <c r="X8" i="2" s="1"/>
  <c r="X12" i="2" s="1"/>
  <c r="X31" i="2" s="1"/>
  <c r="W6" i="2"/>
  <c r="W8" i="2" s="1"/>
  <c r="W12" i="2" s="1"/>
  <c r="W31" i="2" s="1"/>
  <c r="V6" i="2"/>
  <c r="U6" i="2"/>
  <c r="U8" i="2" s="1"/>
  <c r="U12" i="2" s="1"/>
  <c r="U31" i="2" s="1"/>
  <c r="T6" i="2"/>
  <c r="T8" i="2" s="1"/>
  <c r="T12" i="2" s="1"/>
  <c r="T31" i="2" s="1"/>
  <c r="S6" i="2"/>
  <c r="S8" i="2" s="1"/>
  <c r="S12" i="2" s="1"/>
  <c r="S31" i="2" s="1"/>
  <c r="R6" i="2"/>
  <c r="R8" i="2" s="1"/>
  <c r="R12" i="2" s="1"/>
  <c r="R31" i="2" s="1"/>
  <c r="Q6" i="2"/>
  <c r="Q8" i="2" s="1"/>
  <c r="Q12" i="2" s="1"/>
  <c r="Q31" i="2" s="1"/>
  <c r="P6" i="2"/>
  <c r="P8" i="2" s="1"/>
  <c r="P12" i="2" s="1"/>
  <c r="P31" i="2" s="1"/>
  <c r="O6" i="2"/>
  <c r="O8" i="2" s="1"/>
  <c r="O12" i="2" s="1"/>
  <c r="O31" i="2" s="1"/>
  <c r="N6" i="2"/>
  <c r="N8" i="2" s="1"/>
  <c r="L6" i="2"/>
  <c r="L8" i="2" s="1"/>
  <c r="K6" i="2"/>
  <c r="K8" i="2" s="1"/>
  <c r="J6" i="2"/>
  <c r="J8" i="2" s="1"/>
  <c r="I6" i="2"/>
  <c r="I8" i="2" s="1"/>
  <c r="H6" i="2"/>
  <c r="H8" i="2" s="1"/>
  <c r="G6" i="2"/>
  <c r="G8" i="2" s="1"/>
  <c r="F6" i="2"/>
  <c r="F8" i="2" s="1"/>
  <c r="E6" i="2"/>
  <c r="E8" i="2" s="1"/>
  <c r="D6" i="2"/>
  <c r="D8" i="2" s="1"/>
  <c r="C6" i="2"/>
  <c r="C8" i="2" s="1"/>
  <c r="AC6" i="2"/>
  <c r="AC8" i="2" s="1"/>
  <c r="AC12" i="2" s="1"/>
  <c r="AC31" i="2" s="1"/>
  <c r="AD6" i="2"/>
  <c r="AD8" i="2" s="1"/>
  <c r="AD12" i="2" s="1"/>
  <c r="AD31" i="2" s="1"/>
  <c r="AC71" i="2"/>
  <c r="AB71" i="2"/>
  <c r="AA71" i="2"/>
  <c r="Z71" i="2"/>
  <c r="Y71" i="2"/>
  <c r="X71" i="2"/>
  <c r="W71" i="2"/>
  <c r="V71" i="2"/>
  <c r="U71" i="2"/>
  <c r="T71" i="2"/>
  <c r="S71" i="2"/>
  <c r="R71" i="2"/>
  <c r="Q71" i="2"/>
  <c r="P71" i="2"/>
  <c r="O71" i="2"/>
  <c r="N71" i="2"/>
  <c r="M71" i="2"/>
  <c r="L71" i="2"/>
  <c r="K71" i="2"/>
  <c r="J71" i="2"/>
  <c r="I71" i="2"/>
  <c r="H71" i="2"/>
  <c r="G71" i="2"/>
  <c r="F71" i="2"/>
  <c r="E71" i="2"/>
  <c r="D71" i="2"/>
  <c r="C71" i="2"/>
  <c r="AD71" i="2"/>
  <c r="AW29" i="2" l="1"/>
  <c r="AW6" i="2"/>
  <c r="AW8" i="2"/>
  <c r="AW12" i="2" s="1"/>
  <c r="BA10" i="2"/>
  <c r="BA30" i="2" s="1"/>
  <c r="AZ30" i="2"/>
  <c r="AW30" i="2"/>
  <c r="AY29" i="2"/>
  <c r="AX29" i="2"/>
  <c r="AX6" i="2"/>
  <c r="AV31" i="2"/>
  <c r="AV13" i="2"/>
  <c r="AE6" i="2"/>
  <c r="AE8" i="2" s="1"/>
  <c r="AE28" i="2" s="1"/>
  <c r="AG6" i="2"/>
  <c r="AG8" i="2" s="1"/>
  <c r="AG28" i="2" s="1"/>
  <c r="AH6" i="2"/>
  <c r="AH8" i="2" s="1"/>
  <c r="AH28" i="2" s="1"/>
  <c r="AF6" i="2"/>
  <c r="AF8" i="2" s="1"/>
  <c r="AF28" i="2" s="1"/>
  <c r="AH27" i="2"/>
  <c r="AF27" i="2"/>
  <c r="AG27" i="2"/>
  <c r="AD65" i="2"/>
  <c r="AD67" i="2" s="1"/>
  <c r="AS6" i="2"/>
  <c r="AF12" i="2"/>
  <c r="AF31" i="2" s="1"/>
  <c r="AG12" i="2"/>
  <c r="AG31" i="2" s="1"/>
  <c r="AU29" i="2"/>
  <c r="AD27" i="2"/>
  <c r="G28" i="2"/>
  <c r="AQ6" i="2"/>
  <c r="AQ8" i="2" s="1"/>
  <c r="G27" i="2"/>
  <c r="AQ29" i="2"/>
  <c r="M28" i="2"/>
  <c r="AR29" i="2"/>
  <c r="I27" i="2"/>
  <c r="AP10" i="2"/>
  <c r="S27" i="2"/>
  <c r="V27" i="2"/>
  <c r="H27" i="2"/>
  <c r="AT29" i="2"/>
  <c r="AP29" i="2"/>
  <c r="J27" i="2"/>
  <c r="K27" i="2"/>
  <c r="E12" i="2"/>
  <c r="E31" i="2" s="1"/>
  <c r="M27" i="2"/>
  <c r="J28" i="2"/>
  <c r="Q27" i="2"/>
  <c r="AQ10" i="2"/>
  <c r="N28" i="2"/>
  <c r="L12" i="2"/>
  <c r="L31" i="2" s="1"/>
  <c r="L28" i="2"/>
  <c r="U28" i="2"/>
  <c r="Z27" i="2"/>
  <c r="V8" i="2"/>
  <c r="D12" i="2"/>
  <c r="D31" i="2" s="1"/>
  <c r="AO6" i="2"/>
  <c r="AO8" i="2" s="1"/>
  <c r="AC27" i="2"/>
  <c r="Y28" i="2"/>
  <c r="AD28" i="2"/>
  <c r="Z28" i="2"/>
  <c r="AA28" i="2"/>
  <c r="G12" i="2"/>
  <c r="G31" i="2" s="1"/>
  <c r="L27" i="2"/>
  <c r="H28" i="2"/>
  <c r="AB28" i="2"/>
  <c r="H12" i="2"/>
  <c r="H31" i="2" s="1"/>
  <c r="I28" i="2"/>
  <c r="AC28" i="2"/>
  <c r="I12" i="2"/>
  <c r="I31" i="2" s="1"/>
  <c r="N27" i="2"/>
  <c r="O27" i="2"/>
  <c r="K28" i="2"/>
  <c r="P27" i="2"/>
  <c r="AR6" i="2"/>
  <c r="AS27" i="2" s="1"/>
  <c r="R27" i="2"/>
  <c r="AU6" i="2"/>
  <c r="AU8" i="2" s="1"/>
  <c r="O28" i="2"/>
  <c r="Y27" i="2"/>
  <c r="AA27" i="2"/>
  <c r="W28" i="2"/>
  <c r="AB27" i="2"/>
  <c r="X28" i="2"/>
  <c r="T27" i="2"/>
  <c r="P28" i="2"/>
  <c r="AS29" i="2"/>
  <c r="U27" i="2"/>
  <c r="Q28" i="2"/>
  <c r="R28" i="2"/>
  <c r="AO10" i="2"/>
  <c r="W27" i="2"/>
  <c r="S28" i="2"/>
  <c r="X27" i="2"/>
  <c r="T28" i="2"/>
  <c r="J12" i="2"/>
  <c r="J31" i="2" s="1"/>
  <c r="AP6" i="2"/>
  <c r="AS8" i="2"/>
  <c r="AT6" i="2"/>
  <c r="AS12" i="2"/>
  <c r="AS31" i="2" s="1"/>
  <c r="C12" i="2"/>
  <c r="C31" i="2" s="1"/>
  <c r="F12" i="2"/>
  <c r="F31" i="2" s="1"/>
  <c r="K12" i="2"/>
  <c r="K31" i="2" s="1"/>
  <c r="M12" i="2"/>
  <c r="M31" i="2" s="1"/>
  <c r="N12" i="2"/>
  <c r="N31" i="2" s="1"/>
  <c r="C13" i="3"/>
  <c r="AW31" i="2" l="1"/>
  <c r="AW14" i="2"/>
  <c r="AW13" i="2" s="1"/>
  <c r="AW27" i="2"/>
  <c r="BA29" i="2"/>
  <c r="AZ29" i="2"/>
  <c r="AW28" i="2"/>
  <c r="AY3" i="2" s="1"/>
  <c r="AX8" i="2"/>
  <c r="AX27" i="2"/>
  <c r="AH12" i="2"/>
  <c r="AH31" i="2" s="1"/>
  <c r="AE12" i="2"/>
  <c r="AE31" i="2" s="1"/>
  <c r="AE27" i="2"/>
  <c r="AP27" i="2"/>
  <c r="AQ12" i="2"/>
  <c r="AQ31" i="2" s="1"/>
  <c r="AO12" i="2"/>
  <c r="AO31" i="2" s="1"/>
  <c r="AQ27" i="2"/>
  <c r="AU12" i="2"/>
  <c r="AU31" i="2" s="1"/>
  <c r="AU27" i="2"/>
  <c r="V12" i="2"/>
  <c r="V31" i="2" s="1"/>
  <c r="V28" i="2"/>
  <c r="AT8" i="2"/>
  <c r="AT27" i="2"/>
  <c r="AR8" i="2"/>
  <c r="AR27" i="2"/>
  <c r="AP8" i="2"/>
  <c r="C3" i="3"/>
  <c r="C16" i="3"/>
  <c r="BH36" i="2"/>
  <c r="AY6" i="2" l="1"/>
  <c r="AX12" i="2"/>
  <c r="AX28" i="2"/>
  <c r="AZ3" i="2" s="1"/>
  <c r="AP12" i="2"/>
  <c r="AP31" i="2" s="1"/>
  <c r="AP28" i="2"/>
  <c r="AQ28" i="2"/>
  <c r="AR28" i="2"/>
  <c r="AR12" i="2"/>
  <c r="AR31" i="2" s="1"/>
  <c r="AT12" i="2"/>
  <c r="AT31" i="2" s="1"/>
  <c r="AT28" i="2"/>
  <c r="AS28" i="2"/>
  <c r="AU28" i="2"/>
  <c r="AH34" i="2"/>
  <c r="AH33" i="2"/>
  <c r="AG34" i="2"/>
  <c r="AG33" i="2"/>
  <c r="AF34" i="2"/>
  <c r="AF33" i="2"/>
  <c r="AE34" i="2"/>
  <c r="AE33" i="2"/>
  <c r="AW20" i="2"/>
  <c r="AX20" i="2" s="1"/>
  <c r="AY20" i="2" s="1"/>
  <c r="AZ20" i="2" s="1"/>
  <c r="BA20" i="2" s="1"/>
  <c r="AH24" i="2"/>
  <c r="AH39" i="2" s="1"/>
  <c r="AG24" i="2"/>
  <c r="AG39" i="2" s="1"/>
  <c r="AF24" i="2"/>
  <c r="AF39" i="2" s="1"/>
  <c r="AE24" i="2"/>
  <c r="AE39" i="2" s="1"/>
  <c r="AH17" i="2"/>
  <c r="AH37" i="2" s="1"/>
  <c r="AG17" i="2"/>
  <c r="AG37" i="2" s="1"/>
  <c r="AF17" i="2"/>
  <c r="AF37" i="2" s="1"/>
  <c r="AE17" i="2"/>
  <c r="AE37" i="2" s="1"/>
  <c r="AH16" i="2"/>
  <c r="AH36" i="2" s="1"/>
  <c r="AG16" i="2"/>
  <c r="AG36" i="2" s="1"/>
  <c r="AF16" i="2"/>
  <c r="AF36" i="2" s="1"/>
  <c r="AE16" i="2"/>
  <c r="AE36" i="2" s="1"/>
  <c r="AH15" i="2"/>
  <c r="AG15" i="2"/>
  <c r="AG35" i="2" s="1"/>
  <c r="AF15" i="2"/>
  <c r="AF35" i="2" s="1"/>
  <c r="AE15" i="2"/>
  <c r="AE35" i="2" s="1"/>
  <c r="AH35" i="2"/>
  <c r="AU22" i="2"/>
  <c r="AU20" i="2"/>
  <c r="AU17" i="2"/>
  <c r="AU16" i="2"/>
  <c r="AU15" i="2"/>
  <c r="AU13" i="2"/>
  <c r="AT20" i="2"/>
  <c r="AT22" i="2"/>
  <c r="AT17" i="2"/>
  <c r="AT16" i="2"/>
  <c r="AT15" i="2"/>
  <c r="AT13" i="2"/>
  <c r="AS22" i="2"/>
  <c r="AS20" i="2"/>
  <c r="AS17" i="2"/>
  <c r="AS16" i="2"/>
  <c r="AS15" i="2"/>
  <c r="AS13" i="2"/>
  <c r="AR22" i="2"/>
  <c r="AR20" i="2"/>
  <c r="AR17" i="2"/>
  <c r="AR16" i="2"/>
  <c r="AR15" i="2"/>
  <c r="AR13" i="2"/>
  <c r="AQ22" i="2"/>
  <c r="AQ20" i="2"/>
  <c r="AQ17" i="2"/>
  <c r="AQ16" i="2"/>
  <c r="AQ15" i="2"/>
  <c r="AQ13" i="2"/>
  <c r="AP22" i="2"/>
  <c r="AP20" i="2"/>
  <c r="AP17" i="2"/>
  <c r="AP16" i="2"/>
  <c r="AP15" i="2"/>
  <c r="AP13" i="2"/>
  <c r="AU24" i="2"/>
  <c r="AT24" i="2"/>
  <c r="AS24" i="2"/>
  <c r="AR24" i="2"/>
  <c r="AQ24" i="2"/>
  <c r="AO24" i="2"/>
  <c r="AP24" i="2"/>
  <c r="AP39" i="2" s="1"/>
  <c r="AO22" i="2"/>
  <c r="AO20" i="2"/>
  <c r="AO17" i="2"/>
  <c r="AO16" i="2"/>
  <c r="AO15" i="2"/>
  <c r="AO13" i="2"/>
  <c r="R39" i="2"/>
  <c r="Q39" i="2"/>
  <c r="P39" i="2"/>
  <c r="O39" i="2"/>
  <c r="N39" i="2"/>
  <c r="M39" i="2"/>
  <c r="L39" i="2"/>
  <c r="K39" i="2"/>
  <c r="J39" i="2"/>
  <c r="I39" i="2"/>
  <c r="H39" i="2"/>
  <c r="G39" i="2"/>
  <c r="R37" i="2"/>
  <c r="Q37" i="2"/>
  <c r="P37" i="2"/>
  <c r="O37" i="2"/>
  <c r="N37" i="2"/>
  <c r="M37" i="2"/>
  <c r="L37" i="2"/>
  <c r="K37" i="2"/>
  <c r="J37" i="2"/>
  <c r="I37" i="2"/>
  <c r="H37" i="2"/>
  <c r="G37" i="2"/>
  <c r="R36" i="2"/>
  <c r="Q36" i="2"/>
  <c r="P36" i="2"/>
  <c r="O36" i="2"/>
  <c r="N36" i="2"/>
  <c r="M36" i="2"/>
  <c r="L36" i="2"/>
  <c r="K36" i="2"/>
  <c r="J36" i="2"/>
  <c r="I36" i="2"/>
  <c r="H36" i="2"/>
  <c r="G36" i="2"/>
  <c r="R35" i="2"/>
  <c r="Q35" i="2"/>
  <c r="P35" i="2"/>
  <c r="O35" i="2"/>
  <c r="N35" i="2"/>
  <c r="M35" i="2"/>
  <c r="L35" i="2"/>
  <c r="K35" i="2"/>
  <c r="J35" i="2"/>
  <c r="I35" i="2"/>
  <c r="H35" i="2"/>
  <c r="G35" i="2"/>
  <c r="R34" i="2"/>
  <c r="Q34" i="2"/>
  <c r="P34" i="2"/>
  <c r="O34" i="2"/>
  <c r="N34" i="2"/>
  <c r="M34" i="2"/>
  <c r="L34" i="2"/>
  <c r="K34" i="2"/>
  <c r="J34" i="2"/>
  <c r="I34" i="2"/>
  <c r="H34" i="2"/>
  <c r="G34" i="2"/>
  <c r="R33" i="2"/>
  <c r="Q33" i="2"/>
  <c r="P33" i="2"/>
  <c r="O33" i="2"/>
  <c r="N33" i="2"/>
  <c r="M33" i="2"/>
  <c r="L33" i="2"/>
  <c r="K33" i="2"/>
  <c r="J33" i="2"/>
  <c r="I33" i="2"/>
  <c r="H33" i="2"/>
  <c r="G33" i="2"/>
  <c r="S33" i="2"/>
  <c r="T33" i="2"/>
  <c r="U33" i="2"/>
  <c r="V33" i="2"/>
  <c r="W33" i="2"/>
  <c r="X33" i="2"/>
  <c r="Y33" i="2"/>
  <c r="Z33" i="2"/>
  <c r="S34" i="2"/>
  <c r="T34" i="2"/>
  <c r="U34" i="2"/>
  <c r="V34" i="2"/>
  <c r="W34" i="2"/>
  <c r="X34" i="2"/>
  <c r="Y34" i="2"/>
  <c r="Z34" i="2"/>
  <c r="S35" i="2"/>
  <c r="T35" i="2"/>
  <c r="U35" i="2"/>
  <c r="V35" i="2"/>
  <c r="W35" i="2"/>
  <c r="X35" i="2"/>
  <c r="Y35" i="2"/>
  <c r="Z35" i="2"/>
  <c r="S36" i="2"/>
  <c r="T36" i="2"/>
  <c r="U36" i="2"/>
  <c r="V36" i="2"/>
  <c r="W36" i="2"/>
  <c r="X36" i="2"/>
  <c r="Y36" i="2"/>
  <c r="Z36" i="2"/>
  <c r="S37" i="2"/>
  <c r="T37" i="2"/>
  <c r="U37" i="2"/>
  <c r="V37" i="2"/>
  <c r="W37" i="2"/>
  <c r="X37" i="2"/>
  <c r="Y37" i="2"/>
  <c r="Z37" i="2"/>
  <c r="S39" i="2"/>
  <c r="T39" i="2"/>
  <c r="U39" i="2"/>
  <c r="V39" i="2"/>
  <c r="W39" i="2"/>
  <c r="X39" i="2"/>
  <c r="Y39" i="2"/>
  <c r="Z39" i="2"/>
  <c r="P14" i="2"/>
  <c r="P40" i="2" s="1"/>
  <c r="AC39" i="2"/>
  <c r="AB39" i="2"/>
  <c r="AA39" i="2"/>
  <c r="AC37" i="2"/>
  <c r="AB37" i="2"/>
  <c r="AA37" i="2"/>
  <c r="AC36" i="2"/>
  <c r="AB36" i="2"/>
  <c r="AA36" i="2"/>
  <c r="AC35" i="2"/>
  <c r="AB35" i="2"/>
  <c r="AA35" i="2"/>
  <c r="AC34" i="2"/>
  <c r="AB34" i="2"/>
  <c r="AA34" i="2"/>
  <c r="AC33" i="2"/>
  <c r="AB33" i="2"/>
  <c r="AA33" i="2"/>
  <c r="AD39" i="2"/>
  <c r="AD37" i="2"/>
  <c r="AD36" i="2"/>
  <c r="AD35" i="2"/>
  <c r="AD34" i="2"/>
  <c r="AD33" i="2"/>
  <c r="X14" i="2"/>
  <c r="X40" i="2" s="1"/>
  <c r="Y18" i="2"/>
  <c r="AC18" i="2"/>
  <c r="AB18" i="2"/>
  <c r="AA18" i="2"/>
  <c r="Z18" i="2"/>
  <c r="X18" i="2"/>
  <c r="W18" i="2"/>
  <c r="V18" i="2"/>
  <c r="U18" i="2"/>
  <c r="T18" i="2"/>
  <c r="S18" i="2"/>
  <c r="R18" i="2"/>
  <c r="Q18" i="2"/>
  <c r="P18" i="2"/>
  <c r="O18" i="2"/>
  <c r="N18" i="2"/>
  <c r="M18" i="2"/>
  <c r="L18" i="2"/>
  <c r="K18" i="2"/>
  <c r="J18" i="2"/>
  <c r="I18" i="2"/>
  <c r="H18" i="2"/>
  <c r="G18" i="2"/>
  <c r="F18" i="2"/>
  <c r="E18" i="2"/>
  <c r="D18" i="2"/>
  <c r="C18" i="2"/>
  <c r="AC14" i="2"/>
  <c r="AC40" i="2" s="1"/>
  <c r="AB14" i="2"/>
  <c r="AB40" i="2" s="1"/>
  <c r="AA14" i="2"/>
  <c r="AA40" i="2" s="1"/>
  <c r="Z14" i="2"/>
  <c r="Z40" i="2" s="1"/>
  <c r="Y14" i="2"/>
  <c r="Y40" i="2" s="1"/>
  <c r="W14" i="2"/>
  <c r="W40" i="2" s="1"/>
  <c r="V14" i="2"/>
  <c r="V40" i="2" s="1"/>
  <c r="U14" i="2"/>
  <c r="U40" i="2" s="1"/>
  <c r="T14" i="2"/>
  <c r="T40" i="2" s="1"/>
  <c r="S14" i="2"/>
  <c r="S40" i="2" s="1"/>
  <c r="R14" i="2"/>
  <c r="R40" i="2" s="1"/>
  <c r="Q14" i="2"/>
  <c r="Q40" i="2" s="1"/>
  <c r="O14" i="2"/>
  <c r="O40" i="2" s="1"/>
  <c r="N14" i="2"/>
  <c r="N40" i="2" s="1"/>
  <c r="M14" i="2"/>
  <c r="L14" i="2"/>
  <c r="L40" i="2" s="1"/>
  <c r="K14" i="2"/>
  <c r="K40" i="2" s="1"/>
  <c r="J14" i="2"/>
  <c r="J40" i="2" s="1"/>
  <c r="I14" i="2"/>
  <c r="I40" i="2" s="1"/>
  <c r="H14" i="2"/>
  <c r="H40" i="2" s="1"/>
  <c r="G14" i="2"/>
  <c r="G40" i="2" s="1"/>
  <c r="F14" i="2"/>
  <c r="E14" i="2"/>
  <c r="D14" i="2"/>
  <c r="C14" i="2"/>
  <c r="AD18" i="2"/>
  <c r="AD14" i="2"/>
  <c r="D7" i="1"/>
  <c r="D4" i="1" a="1"/>
  <c r="D4" i="1" s="1"/>
  <c r="AZ6" i="2" l="1"/>
  <c r="AY8" i="2"/>
  <c r="AY27" i="2"/>
  <c r="AX31" i="2"/>
  <c r="AX14" i="2"/>
  <c r="AX13" i="2" s="1"/>
  <c r="AT39" i="2"/>
  <c r="AP33" i="2"/>
  <c r="AS35" i="2"/>
  <c r="AP35" i="2"/>
  <c r="AD19" i="2"/>
  <c r="AD21" i="2" s="1"/>
  <c r="AU34" i="2"/>
  <c r="AR36" i="2"/>
  <c r="AP36" i="2"/>
  <c r="AS33" i="2"/>
  <c r="AO18" i="2"/>
  <c r="AV37" i="2"/>
  <c r="AT33" i="2"/>
  <c r="AQ35" i="2"/>
  <c r="AQ36" i="2"/>
  <c r="AS18" i="2"/>
  <c r="AP34" i="2"/>
  <c r="AU37" i="2"/>
  <c r="AR33" i="2"/>
  <c r="AR34" i="2"/>
  <c r="AU33" i="2"/>
  <c r="AR39" i="2"/>
  <c r="AV24" i="2"/>
  <c r="AW24" i="2" s="1"/>
  <c r="AX24" i="2" s="1"/>
  <c r="AY24" i="2" s="1"/>
  <c r="AZ24" i="2" s="1"/>
  <c r="BA24" i="2" s="1"/>
  <c r="BA39" i="2" s="1"/>
  <c r="AQ39" i="2"/>
  <c r="AO14" i="2"/>
  <c r="AP18" i="2"/>
  <c r="AS36" i="2"/>
  <c r="AS39" i="2"/>
  <c r="AR18" i="2"/>
  <c r="AP37" i="2"/>
  <c r="AQ33" i="2"/>
  <c r="AQ34" i="2"/>
  <c r="AQ18" i="2"/>
  <c r="AT34" i="2"/>
  <c r="AV35" i="2"/>
  <c r="AW35" i="2"/>
  <c r="M19" i="2"/>
  <c r="M21" i="2" s="1"/>
  <c r="M23" i="2" s="1"/>
  <c r="M25" i="2" s="1"/>
  <c r="AT18" i="2"/>
  <c r="AR37" i="2"/>
  <c r="AU36" i="2"/>
  <c r="D6" i="1"/>
  <c r="C4" i="3" s="1"/>
  <c r="BH39" i="2"/>
  <c r="AH18" i="2"/>
  <c r="AE18" i="2"/>
  <c r="AF18" i="2"/>
  <c r="AG18" i="2"/>
  <c r="AF14" i="2"/>
  <c r="AF40" i="2" s="1"/>
  <c r="AG14" i="2"/>
  <c r="AG40" i="2" s="1"/>
  <c r="AH14" i="2"/>
  <c r="AH40" i="2" s="1"/>
  <c r="AE14" i="2"/>
  <c r="AE40" i="2" s="1"/>
  <c r="AR35" i="2"/>
  <c r="AT35" i="2"/>
  <c r="AS37" i="2"/>
  <c r="AS34" i="2"/>
  <c r="AU18" i="2"/>
  <c r="AT37" i="2"/>
  <c r="AD40" i="2"/>
  <c r="AU39" i="2"/>
  <c r="AS14" i="2"/>
  <c r="AS40" i="2" s="1"/>
  <c r="AQ37" i="2"/>
  <c r="AU35" i="2"/>
  <c r="M40" i="2"/>
  <c r="J19" i="2"/>
  <c r="AA19" i="2"/>
  <c r="AT36" i="2"/>
  <c r="AT14" i="2"/>
  <c r="AT40" i="2" s="1"/>
  <c r="AU14" i="2"/>
  <c r="AR14" i="2"/>
  <c r="AQ14" i="2"/>
  <c r="AP14" i="2"/>
  <c r="C19" i="2"/>
  <c r="C21" i="2" s="1"/>
  <c r="C23" i="2" s="1"/>
  <c r="C25" i="2" s="1"/>
  <c r="D19" i="2"/>
  <c r="D21" i="2" s="1"/>
  <c r="D23" i="2" s="1"/>
  <c r="D25" i="2" s="1"/>
  <c r="E19" i="2"/>
  <c r="E21" i="2" s="1"/>
  <c r="E23" i="2" s="1"/>
  <c r="E25" i="2" s="1"/>
  <c r="F19" i="2"/>
  <c r="F21" i="2" s="1"/>
  <c r="F23" i="2" s="1"/>
  <c r="F25" i="2" s="1"/>
  <c r="G19" i="2"/>
  <c r="K19" i="2"/>
  <c r="H19" i="2"/>
  <c r="L19" i="2"/>
  <c r="I19" i="2"/>
  <c r="N19" i="2"/>
  <c r="O19" i="2"/>
  <c r="S19" i="2"/>
  <c r="P19" i="2"/>
  <c r="T19" i="2"/>
  <c r="Q19" i="2"/>
  <c r="U19" i="2"/>
  <c r="R19" i="2"/>
  <c r="V19" i="2"/>
  <c r="W19" i="2"/>
  <c r="X19" i="2"/>
  <c r="AB19" i="2"/>
  <c r="Y19" i="2"/>
  <c r="AC19" i="2"/>
  <c r="Z19" i="2"/>
  <c r="AY12" i="2" l="1"/>
  <c r="AY28" i="2"/>
  <c r="BA3" i="2" s="1"/>
  <c r="AZ8" i="2"/>
  <c r="AZ27" i="2"/>
  <c r="AD41" i="2"/>
  <c r="AH19" i="2"/>
  <c r="AH21" i="2" s="1"/>
  <c r="AV36" i="2"/>
  <c r="AW36" i="2"/>
  <c r="AX36" i="2"/>
  <c r="AX39" i="2"/>
  <c r="AO19" i="2"/>
  <c r="AO21" i="2" s="1"/>
  <c r="AO42" i="2" s="1"/>
  <c r="AO40" i="2"/>
  <c r="AY39" i="2"/>
  <c r="AZ39" i="2"/>
  <c r="AT19" i="2"/>
  <c r="AT21" i="2" s="1"/>
  <c r="AW39" i="2"/>
  <c r="AV18" i="2"/>
  <c r="M41" i="2"/>
  <c r="AW33" i="2"/>
  <c r="M42" i="2"/>
  <c r="AV39" i="2"/>
  <c r="C5" i="3"/>
  <c r="C6" i="3" s="1"/>
  <c r="D9" i="1"/>
  <c r="AY36" i="2"/>
  <c r="AV34" i="2"/>
  <c r="AV33" i="2"/>
  <c r="AV14" i="2"/>
  <c r="AF19" i="2"/>
  <c r="AF21" i="2" s="1"/>
  <c r="AG19" i="2"/>
  <c r="AG21" i="2" s="1"/>
  <c r="AE19" i="2"/>
  <c r="AE21" i="2" s="1"/>
  <c r="V21" i="2"/>
  <c r="V41" i="2"/>
  <c r="R21" i="2"/>
  <c r="R41" i="2"/>
  <c r="AB21" i="2"/>
  <c r="AB41" i="2"/>
  <c r="AD23" i="2"/>
  <c r="AD42" i="2"/>
  <c r="W21" i="2"/>
  <c r="W41" i="2"/>
  <c r="U21" i="2"/>
  <c r="U41" i="2"/>
  <c r="AS19" i="2"/>
  <c r="L21" i="2"/>
  <c r="L41" i="2"/>
  <c r="AA41" i="2"/>
  <c r="AA21" i="2"/>
  <c r="AA42" i="2" s="1"/>
  <c r="Z21" i="2"/>
  <c r="Z41" i="2"/>
  <c r="J21" i="2"/>
  <c r="J41" i="2"/>
  <c r="Y21" i="2"/>
  <c r="Y41" i="2"/>
  <c r="X21" i="2"/>
  <c r="X41" i="2"/>
  <c r="Q21" i="2"/>
  <c r="Q41" i="2"/>
  <c r="AP19" i="2"/>
  <c r="AP40" i="2"/>
  <c r="T21" i="2"/>
  <c r="T41" i="2"/>
  <c r="AQ19" i="2"/>
  <c r="AQ40" i="2"/>
  <c r="P21" i="2"/>
  <c r="P41" i="2"/>
  <c r="AR19" i="2"/>
  <c r="AR40" i="2"/>
  <c r="S21" i="2"/>
  <c r="S41" i="2"/>
  <c r="O21" i="2"/>
  <c r="O41" i="2"/>
  <c r="N21" i="2"/>
  <c r="N41" i="2"/>
  <c r="AU19" i="2"/>
  <c r="AU40" i="2"/>
  <c r="I21" i="2"/>
  <c r="I41" i="2"/>
  <c r="H21" i="2"/>
  <c r="H41" i="2"/>
  <c r="K21" i="2"/>
  <c r="K41" i="2"/>
  <c r="G21" i="2"/>
  <c r="G41" i="2"/>
  <c r="AC21" i="2"/>
  <c r="AC41" i="2"/>
  <c r="BA6" i="2" l="1"/>
  <c r="BA8" i="2" s="1"/>
  <c r="AZ12" i="2"/>
  <c r="AZ28" i="2"/>
  <c r="AY14" i="2"/>
  <c r="AY13" i="2" s="1"/>
  <c r="AY31" i="2"/>
  <c r="AV22" i="2"/>
  <c r="AO41" i="2"/>
  <c r="AT41" i="2"/>
  <c r="AW37" i="2"/>
  <c r="AH41" i="2"/>
  <c r="AY37" i="2"/>
  <c r="AW18" i="2"/>
  <c r="AX37" i="2"/>
  <c r="AO23" i="2"/>
  <c r="AO25" i="2" s="1"/>
  <c r="AX18" i="2"/>
  <c r="AX35" i="2"/>
  <c r="AX34" i="2"/>
  <c r="AW34" i="2"/>
  <c r="C7" i="3"/>
  <c r="BA37" i="2"/>
  <c r="AZ37" i="2"/>
  <c r="AY35" i="2"/>
  <c r="AY18" i="2"/>
  <c r="BA36" i="2"/>
  <c r="AZ36" i="2"/>
  <c r="AV40" i="2"/>
  <c r="AV19" i="2"/>
  <c r="AF41" i="2"/>
  <c r="AG41" i="2"/>
  <c r="AE41" i="2"/>
  <c r="AH23" i="2"/>
  <c r="AH42" i="2"/>
  <c r="AG23" i="2"/>
  <c r="AG42" i="2"/>
  <c r="AF23" i="2"/>
  <c r="AF42" i="2"/>
  <c r="AE23" i="2"/>
  <c r="AE42" i="2"/>
  <c r="N23" i="2"/>
  <c r="N42" i="2"/>
  <c r="U23" i="2"/>
  <c r="U42" i="2"/>
  <c r="X23" i="2"/>
  <c r="X42" i="2"/>
  <c r="S23" i="2"/>
  <c r="S42" i="2"/>
  <c r="J23" i="2"/>
  <c r="J42" i="2"/>
  <c r="AQ21" i="2"/>
  <c r="AQ41" i="2"/>
  <c r="T23" i="2"/>
  <c r="T42" i="2"/>
  <c r="L23" i="2"/>
  <c r="L42" i="2"/>
  <c r="AT23" i="2"/>
  <c r="AT42" i="2"/>
  <c r="AR21" i="2"/>
  <c r="AR41" i="2"/>
  <c r="G23" i="2"/>
  <c r="G42" i="2"/>
  <c r="Z23" i="2"/>
  <c r="AD38" i="2" s="1"/>
  <c r="Z42" i="2"/>
  <c r="K23" i="2"/>
  <c r="K42" i="2"/>
  <c r="AA23" i="2"/>
  <c r="H23" i="2"/>
  <c r="H42" i="2"/>
  <c r="AB23" i="2"/>
  <c r="AB42" i="2"/>
  <c r="I23" i="2"/>
  <c r="I42" i="2"/>
  <c r="AP21" i="2"/>
  <c r="AP41" i="2"/>
  <c r="AS21" i="2"/>
  <c r="AS41" i="2"/>
  <c r="R23" i="2"/>
  <c r="R42" i="2"/>
  <c r="O23" i="2"/>
  <c r="O42" i="2"/>
  <c r="Y23" i="2"/>
  <c r="Y42" i="2"/>
  <c r="AC23" i="2"/>
  <c r="AC42" i="2"/>
  <c r="W23" i="2"/>
  <c r="W42" i="2"/>
  <c r="P23" i="2"/>
  <c r="P42" i="2"/>
  <c r="AD25" i="2"/>
  <c r="AU21" i="2"/>
  <c r="AU41" i="2"/>
  <c r="Q23" i="2"/>
  <c r="Q42" i="2"/>
  <c r="V23" i="2"/>
  <c r="V42" i="2"/>
  <c r="BA27" i="2" l="1"/>
  <c r="AZ31" i="2"/>
  <c r="AZ14" i="2"/>
  <c r="AZ13" i="2" s="1"/>
  <c r="BA12" i="2"/>
  <c r="BA28" i="2"/>
  <c r="AY34" i="2"/>
  <c r="AW40" i="2"/>
  <c r="AW19" i="2"/>
  <c r="AX33" i="2"/>
  <c r="AZ18" i="2"/>
  <c r="AZ35" i="2"/>
  <c r="AV21" i="2"/>
  <c r="AV41" i="2"/>
  <c r="AF25" i="2"/>
  <c r="AF38" i="2"/>
  <c r="AG25" i="2"/>
  <c r="AG38" i="2"/>
  <c r="AH25" i="2"/>
  <c r="AH38" i="2"/>
  <c r="AE25" i="2"/>
  <c r="AE38" i="2"/>
  <c r="AR23" i="2"/>
  <c r="AR42" i="2"/>
  <c r="AT25" i="2"/>
  <c r="AB25" i="2"/>
  <c r="AB38" i="2"/>
  <c r="L25" i="2"/>
  <c r="L38" i="2"/>
  <c r="AA25" i="2"/>
  <c r="AA38" i="2"/>
  <c r="K25" i="2"/>
  <c r="K38" i="2"/>
  <c r="O25" i="2"/>
  <c r="O38" i="2"/>
  <c r="R25" i="2"/>
  <c r="R38" i="2"/>
  <c r="U25" i="2"/>
  <c r="U38" i="2"/>
  <c r="Q25" i="2"/>
  <c r="Q38" i="2"/>
  <c r="AS23" i="2"/>
  <c r="AS42" i="2"/>
  <c r="N25" i="2"/>
  <c r="N38" i="2"/>
  <c r="I25" i="2"/>
  <c r="I38" i="2"/>
  <c r="M38" i="2"/>
  <c r="P25" i="2"/>
  <c r="P38" i="2"/>
  <c r="W25" i="2"/>
  <c r="W38" i="2"/>
  <c r="H25" i="2"/>
  <c r="H38" i="2"/>
  <c r="T25" i="2"/>
  <c r="T38" i="2"/>
  <c r="AC25" i="2"/>
  <c r="AC38" i="2"/>
  <c r="AQ23" i="2"/>
  <c r="AQ42" i="2"/>
  <c r="Y25" i="2"/>
  <c r="Y38" i="2"/>
  <c r="J25" i="2"/>
  <c r="J38" i="2"/>
  <c r="Z25" i="2"/>
  <c r="Z38" i="2"/>
  <c r="S25" i="2"/>
  <c r="S38" i="2"/>
  <c r="V25" i="2"/>
  <c r="V38" i="2"/>
  <c r="G25" i="2"/>
  <c r="G38" i="2"/>
  <c r="X25" i="2"/>
  <c r="X38" i="2"/>
  <c r="AU23" i="2"/>
  <c r="AU42" i="2"/>
  <c r="AP23" i="2"/>
  <c r="AP42" i="2"/>
  <c r="BA31" i="2" l="1"/>
  <c r="BA14" i="2"/>
  <c r="BA13" i="2" s="1"/>
  <c r="BA34" i="2" s="1"/>
  <c r="C9" i="3"/>
  <c r="C11" i="3" s="1"/>
  <c r="C18" i="3" s="1"/>
  <c r="BH34" i="2" s="1"/>
  <c r="AY33" i="2"/>
  <c r="AW21" i="2"/>
  <c r="AW22" i="2" s="1"/>
  <c r="AW41" i="2"/>
  <c r="AX40" i="2"/>
  <c r="AX19" i="2"/>
  <c r="AZ34" i="2"/>
  <c r="BA35" i="2"/>
  <c r="BA18" i="2"/>
  <c r="AV23" i="2"/>
  <c r="AV38" i="2" s="1"/>
  <c r="AV42" i="2"/>
  <c r="AU25" i="2"/>
  <c r="AU38" i="2"/>
  <c r="AQ25" i="2"/>
  <c r="AQ38" i="2"/>
  <c r="AS25" i="2"/>
  <c r="AS38" i="2"/>
  <c r="AP25" i="2"/>
  <c r="AP38" i="2"/>
  <c r="AT38" i="2"/>
  <c r="AR25" i="2"/>
  <c r="AR38" i="2"/>
  <c r="AX41" i="2" l="1"/>
  <c r="AX21" i="2"/>
  <c r="AX22" i="2" s="1"/>
  <c r="AW42" i="2"/>
  <c r="AY40" i="2"/>
  <c r="AY19" i="2"/>
  <c r="AZ33" i="2"/>
  <c r="AV25" i="2"/>
  <c r="AZ40" i="2" l="1"/>
  <c r="AZ19" i="2"/>
  <c r="BA33" i="2"/>
  <c r="AY21" i="2"/>
  <c r="AY22" i="2" s="1"/>
  <c r="AY41" i="2"/>
  <c r="AW23" i="2"/>
  <c r="AX42" i="2"/>
  <c r="AX23" i="2" l="1"/>
  <c r="AX25" i="2" s="1"/>
  <c r="AW25" i="2"/>
  <c r="AW38" i="2"/>
  <c r="AY42" i="2"/>
  <c r="BA40" i="2"/>
  <c r="BA19" i="2"/>
  <c r="AZ21" i="2"/>
  <c r="AZ22" i="2" s="1"/>
  <c r="AZ41" i="2"/>
  <c r="AX38" i="2" l="1"/>
  <c r="AZ42" i="2"/>
  <c r="BA41" i="2"/>
  <c r="BA21" i="2"/>
  <c r="BA22" i="2" s="1"/>
  <c r="AY23" i="2"/>
  <c r="AZ23" i="2" l="1"/>
  <c r="AZ38" i="2" s="1"/>
  <c r="AY38" i="2"/>
  <c r="AY25" i="2"/>
  <c r="BA42" i="2"/>
  <c r="AZ25" i="2" l="1"/>
  <c r="BA23" i="2"/>
  <c r="BB23" i="2" s="1"/>
  <c r="BC23" i="2" s="1"/>
  <c r="BD23" i="2" s="1"/>
  <c r="BE23" i="2" s="1"/>
  <c r="BF23" i="2" s="1"/>
  <c r="BG23" i="2" s="1"/>
  <c r="BH23" i="2" s="1"/>
  <c r="BI23" i="2" s="1"/>
  <c r="BJ23" i="2" s="1"/>
  <c r="BK23" i="2" s="1"/>
  <c r="BL23" i="2" s="1"/>
  <c r="BM23" i="2" s="1"/>
  <c r="BN23" i="2" s="1"/>
  <c r="BO23" i="2" s="1"/>
  <c r="BP23" i="2" s="1"/>
  <c r="BQ23" i="2" s="1"/>
  <c r="BR23" i="2" s="1"/>
  <c r="BS23" i="2" s="1"/>
  <c r="BT23" i="2" s="1"/>
  <c r="BU23" i="2" s="1"/>
  <c r="BV23" i="2" s="1"/>
  <c r="BW23" i="2" s="1"/>
  <c r="BX23" i="2" s="1"/>
  <c r="BY23" i="2" s="1"/>
  <c r="BZ23" i="2" s="1"/>
  <c r="CA23" i="2" s="1"/>
  <c r="CB23" i="2" s="1"/>
  <c r="CC23" i="2" s="1"/>
  <c r="CD23" i="2" s="1"/>
  <c r="CE23" i="2" s="1"/>
  <c r="CF23" i="2" s="1"/>
  <c r="CG23" i="2" s="1"/>
  <c r="CH23" i="2" s="1"/>
  <c r="CI23" i="2" s="1"/>
  <c r="CJ23" i="2" s="1"/>
  <c r="CK23" i="2" s="1"/>
  <c r="CL23" i="2" s="1"/>
  <c r="CM23" i="2" s="1"/>
  <c r="CN23" i="2" s="1"/>
  <c r="CO23" i="2" s="1"/>
  <c r="CP23" i="2" s="1"/>
  <c r="CQ23" i="2" s="1"/>
  <c r="CR23" i="2" s="1"/>
  <c r="CS23" i="2" s="1"/>
  <c r="CT23" i="2" s="1"/>
  <c r="CU23" i="2" s="1"/>
  <c r="CV23" i="2" s="1"/>
  <c r="CW23" i="2" s="1"/>
  <c r="CX23" i="2" s="1"/>
  <c r="CY23" i="2" s="1"/>
  <c r="CZ23" i="2" s="1"/>
  <c r="DA23" i="2" s="1"/>
  <c r="DB23" i="2" s="1"/>
  <c r="DC23" i="2" s="1"/>
  <c r="DD23" i="2" s="1"/>
  <c r="DE23" i="2" s="1"/>
  <c r="DF23" i="2" s="1"/>
  <c r="DG23" i="2" s="1"/>
  <c r="DH23" i="2" s="1"/>
  <c r="DI23" i="2" s="1"/>
  <c r="DJ23" i="2" s="1"/>
  <c r="DK23" i="2" s="1"/>
  <c r="DL23" i="2" s="1"/>
  <c r="DM23" i="2" s="1"/>
  <c r="DN23" i="2" s="1"/>
  <c r="DO23" i="2" s="1"/>
  <c r="DP23" i="2" s="1"/>
  <c r="DQ23" i="2" s="1"/>
  <c r="DR23" i="2" s="1"/>
  <c r="DS23" i="2" s="1"/>
  <c r="DT23" i="2" s="1"/>
  <c r="DU23" i="2" s="1"/>
  <c r="DV23" i="2" s="1"/>
  <c r="DW23" i="2" s="1"/>
  <c r="DX23" i="2" s="1"/>
  <c r="DY23" i="2" s="1"/>
  <c r="DZ23" i="2" s="1"/>
  <c r="EA23" i="2" s="1"/>
  <c r="EB23" i="2" s="1"/>
  <c r="EC23" i="2" s="1"/>
  <c r="ED23" i="2" s="1"/>
  <c r="EE23" i="2" s="1"/>
  <c r="EF23" i="2" s="1"/>
  <c r="EG23" i="2" s="1"/>
  <c r="EH23" i="2" s="1"/>
  <c r="EI23" i="2" s="1"/>
  <c r="EJ23" i="2" s="1"/>
  <c r="EK23" i="2" s="1"/>
  <c r="EL23" i="2" s="1"/>
  <c r="EM23" i="2" s="1"/>
  <c r="EN23" i="2" s="1"/>
  <c r="EO23" i="2" s="1"/>
  <c r="EP23" i="2" s="1"/>
  <c r="EQ23" i="2" s="1"/>
  <c r="ER23" i="2" s="1"/>
  <c r="ES23" i="2" s="1"/>
  <c r="ET23" i="2" s="1"/>
  <c r="EU23" i="2" s="1"/>
  <c r="EV23" i="2" s="1"/>
  <c r="EW23" i="2" s="1"/>
  <c r="EX23" i="2" s="1"/>
  <c r="EY23" i="2" s="1"/>
  <c r="EZ23" i="2" s="1"/>
  <c r="FA23" i="2" s="1"/>
  <c r="FB23" i="2" s="1"/>
  <c r="FC23" i="2" s="1"/>
  <c r="FD23" i="2" s="1"/>
  <c r="FE23" i="2" s="1"/>
  <c r="FF23" i="2" s="1"/>
  <c r="FG23" i="2" s="1"/>
  <c r="FH23" i="2" s="1"/>
  <c r="FI23" i="2" s="1"/>
  <c r="FJ23" i="2" s="1"/>
  <c r="FK23" i="2" s="1"/>
  <c r="FL23" i="2" s="1"/>
  <c r="FM23" i="2" s="1"/>
  <c r="FN23" i="2" s="1"/>
  <c r="FO23" i="2" s="1"/>
  <c r="FP23" i="2" s="1"/>
  <c r="FQ23" i="2" s="1"/>
  <c r="FR23" i="2" s="1"/>
  <c r="FS23" i="2" s="1"/>
  <c r="FT23" i="2" s="1"/>
  <c r="FU23" i="2" s="1"/>
  <c r="FV23" i="2" s="1"/>
  <c r="FW23" i="2" s="1"/>
  <c r="FX23" i="2" s="1"/>
  <c r="FY23" i="2" s="1"/>
  <c r="FZ23" i="2" s="1"/>
  <c r="GA23" i="2" s="1"/>
  <c r="GB23" i="2" s="1"/>
  <c r="GC23" i="2" s="1"/>
  <c r="GD23" i="2" s="1"/>
  <c r="GE23" i="2" s="1"/>
  <c r="GF23" i="2" s="1"/>
  <c r="GG23" i="2" s="1"/>
  <c r="GH23" i="2" s="1"/>
  <c r="GI23" i="2" s="1"/>
  <c r="GJ23" i="2" s="1"/>
  <c r="GK23" i="2" s="1"/>
  <c r="GL23" i="2" s="1"/>
  <c r="GM23" i="2" s="1"/>
  <c r="GN23" i="2" s="1"/>
  <c r="GO23" i="2" s="1"/>
  <c r="GP23" i="2" s="1"/>
  <c r="GQ23" i="2" s="1"/>
  <c r="GR23" i="2" s="1"/>
  <c r="GS23" i="2" s="1"/>
  <c r="GT23" i="2" s="1"/>
  <c r="GU23" i="2" s="1"/>
  <c r="GV23" i="2" s="1"/>
  <c r="GW23" i="2" s="1"/>
  <c r="GX23" i="2" s="1"/>
  <c r="GY23" i="2" s="1"/>
  <c r="GZ23" i="2" s="1"/>
  <c r="HA23" i="2" s="1"/>
  <c r="HB23" i="2" s="1"/>
  <c r="HC23" i="2" s="1"/>
  <c r="HD23" i="2" s="1"/>
  <c r="HE23" i="2" s="1"/>
  <c r="HF23" i="2" s="1"/>
  <c r="HG23" i="2" s="1"/>
  <c r="HH23" i="2" s="1"/>
  <c r="HI23" i="2" s="1"/>
  <c r="HJ23" i="2" s="1"/>
  <c r="HK23" i="2" s="1"/>
  <c r="HL23" i="2" s="1"/>
  <c r="HM23" i="2" s="1"/>
  <c r="HN23" i="2" s="1"/>
  <c r="HO23" i="2" s="1"/>
  <c r="HP23" i="2" s="1"/>
  <c r="HQ23" i="2" s="1"/>
  <c r="HR23" i="2" s="1"/>
  <c r="HS23" i="2" s="1"/>
  <c r="HT23" i="2" s="1"/>
  <c r="HU23" i="2" s="1"/>
  <c r="HV23" i="2" s="1"/>
  <c r="HW23" i="2" s="1"/>
  <c r="HX23" i="2" s="1"/>
  <c r="HY23" i="2" s="1"/>
  <c r="HZ23" i="2" s="1"/>
  <c r="IA23" i="2" s="1"/>
  <c r="IB23" i="2" s="1"/>
  <c r="IC23" i="2" s="1"/>
  <c r="ID23" i="2" s="1"/>
  <c r="IE23" i="2" s="1"/>
  <c r="IF23" i="2" s="1"/>
  <c r="IG23" i="2" s="1"/>
  <c r="IH23" i="2" s="1"/>
  <c r="II23" i="2" s="1"/>
  <c r="IJ23" i="2" s="1"/>
  <c r="IK23" i="2" s="1"/>
  <c r="IL23" i="2" s="1"/>
  <c r="IM23" i="2" s="1"/>
  <c r="IN23" i="2" s="1"/>
  <c r="IO23" i="2" s="1"/>
  <c r="IP23" i="2" s="1"/>
  <c r="IQ23" i="2" s="1"/>
  <c r="IR23" i="2" s="1"/>
  <c r="IS23" i="2" s="1"/>
  <c r="IT23" i="2" s="1"/>
  <c r="IU23" i="2" s="1"/>
  <c r="IV23" i="2" s="1"/>
  <c r="IW23" i="2" s="1"/>
  <c r="IX23" i="2" s="1"/>
  <c r="IY23" i="2" s="1"/>
  <c r="IZ23" i="2" s="1"/>
  <c r="JA23" i="2" s="1"/>
  <c r="JB23" i="2" s="1"/>
  <c r="JC23" i="2" s="1"/>
  <c r="JD23" i="2" s="1"/>
  <c r="JE23" i="2" s="1"/>
  <c r="JF23" i="2" s="1"/>
  <c r="JG23" i="2" s="1"/>
  <c r="JH23" i="2" s="1"/>
  <c r="JI23" i="2" s="1"/>
  <c r="JJ23" i="2" s="1"/>
  <c r="JK23" i="2" s="1"/>
  <c r="JL23" i="2" s="1"/>
  <c r="JM23" i="2" s="1"/>
  <c r="JN23" i="2" s="1"/>
  <c r="JO23" i="2" s="1"/>
  <c r="JP23" i="2" s="1"/>
  <c r="JQ23" i="2" s="1"/>
  <c r="JR23" i="2" s="1"/>
  <c r="JS23" i="2" s="1"/>
  <c r="JT23" i="2" s="1"/>
  <c r="JU23" i="2" s="1"/>
  <c r="JV23" i="2" s="1"/>
  <c r="JW23" i="2" s="1"/>
  <c r="JX23" i="2" s="1"/>
  <c r="JY23" i="2" s="1"/>
  <c r="JZ23" i="2" s="1"/>
  <c r="KA23" i="2" s="1"/>
  <c r="KB23" i="2" s="1"/>
  <c r="KC23" i="2" s="1"/>
  <c r="KD23" i="2" s="1"/>
  <c r="KE23" i="2" s="1"/>
  <c r="KF23" i="2" s="1"/>
  <c r="KG23" i="2" s="1"/>
  <c r="KH23" i="2" s="1"/>
  <c r="KI23" i="2" s="1"/>
  <c r="KJ23" i="2" s="1"/>
  <c r="KK23" i="2" s="1"/>
  <c r="KL23" i="2" s="1"/>
  <c r="KM23" i="2" s="1"/>
  <c r="KN23" i="2" s="1"/>
  <c r="KO23" i="2" s="1"/>
  <c r="KP23" i="2" s="1"/>
  <c r="KQ23" i="2" s="1"/>
  <c r="KR23" i="2" s="1"/>
  <c r="KS23" i="2" s="1"/>
  <c r="KT23" i="2" s="1"/>
  <c r="KU23" i="2" s="1"/>
  <c r="KV23" i="2" s="1"/>
  <c r="KW23" i="2" s="1"/>
  <c r="KX23" i="2" s="1"/>
  <c r="KY23" i="2" s="1"/>
  <c r="KZ23" i="2" s="1"/>
  <c r="LA23" i="2" s="1"/>
  <c r="LB23" i="2" s="1"/>
  <c r="LC23" i="2" s="1"/>
  <c r="LD23" i="2" s="1"/>
  <c r="LE23" i="2" s="1"/>
  <c r="LF23" i="2" s="1"/>
  <c r="LG23" i="2" s="1"/>
  <c r="LH23" i="2" s="1"/>
  <c r="LI23" i="2" s="1"/>
  <c r="LJ23" i="2" s="1"/>
  <c r="LK23" i="2" s="1"/>
  <c r="LL23" i="2" s="1"/>
  <c r="LM23" i="2" s="1"/>
  <c r="LN23" i="2" s="1"/>
  <c r="LO23" i="2" s="1"/>
  <c r="LP23" i="2" s="1"/>
  <c r="LQ23" i="2" s="1"/>
  <c r="LR23" i="2" s="1"/>
  <c r="LS23" i="2" s="1"/>
  <c r="LT23" i="2" s="1"/>
  <c r="LU23" i="2" s="1"/>
  <c r="LV23" i="2" s="1"/>
  <c r="LW23" i="2" s="1"/>
  <c r="LX23" i="2" s="1"/>
  <c r="LY23" i="2" s="1"/>
  <c r="LZ23" i="2" s="1"/>
  <c r="MA23" i="2" s="1"/>
  <c r="MB23" i="2" s="1"/>
  <c r="MC23" i="2" s="1"/>
  <c r="MD23" i="2" s="1"/>
  <c r="ME23" i="2" s="1"/>
  <c r="MF23" i="2" s="1"/>
  <c r="MG23" i="2" s="1"/>
  <c r="MH23" i="2" s="1"/>
  <c r="MI23" i="2" s="1"/>
  <c r="MJ23" i="2" s="1"/>
  <c r="MK23" i="2" s="1"/>
  <c r="ML23" i="2" s="1"/>
  <c r="MM23" i="2" s="1"/>
  <c r="MN23" i="2" s="1"/>
  <c r="MO23" i="2" s="1"/>
  <c r="MP23" i="2" s="1"/>
  <c r="MQ23" i="2" s="1"/>
  <c r="MR23" i="2" s="1"/>
  <c r="MS23" i="2" s="1"/>
  <c r="MT23" i="2" s="1"/>
  <c r="MU23" i="2" s="1"/>
  <c r="MV23" i="2" s="1"/>
  <c r="MW23" i="2" s="1"/>
  <c r="MX23" i="2" s="1"/>
  <c r="MY23" i="2" s="1"/>
  <c r="MZ23" i="2" s="1"/>
  <c r="NA23" i="2" s="1"/>
  <c r="NB23" i="2" s="1"/>
  <c r="NC23" i="2" s="1"/>
  <c r="ND23" i="2" s="1"/>
  <c r="NE23" i="2" s="1"/>
  <c r="NF23" i="2" s="1"/>
  <c r="NG23" i="2" s="1"/>
  <c r="NH23" i="2" s="1"/>
  <c r="NI23" i="2" s="1"/>
  <c r="NJ23" i="2" s="1"/>
  <c r="NK23" i="2" s="1"/>
  <c r="NL23" i="2" s="1"/>
  <c r="NM23" i="2" s="1"/>
  <c r="NN23" i="2" s="1"/>
  <c r="NO23" i="2" s="1"/>
  <c r="NP23" i="2" s="1"/>
  <c r="NQ23" i="2" s="1"/>
  <c r="NR23" i="2" s="1"/>
  <c r="NS23" i="2" s="1"/>
  <c r="NT23" i="2" s="1"/>
  <c r="NU23" i="2" s="1"/>
  <c r="NV23" i="2" s="1"/>
  <c r="NW23" i="2" s="1"/>
  <c r="NX23" i="2" s="1"/>
  <c r="NY23" i="2" s="1"/>
  <c r="NZ23" i="2" s="1"/>
  <c r="OA23" i="2" s="1"/>
  <c r="OB23" i="2" s="1"/>
  <c r="OC23" i="2" s="1"/>
  <c r="OD23" i="2" s="1"/>
  <c r="OE23" i="2" s="1"/>
  <c r="OF23" i="2" s="1"/>
  <c r="OG23" i="2" s="1"/>
  <c r="OH23" i="2" s="1"/>
  <c r="OI23" i="2" s="1"/>
  <c r="OJ23" i="2" s="1"/>
  <c r="OK23" i="2" s="1"/>
  <c r="OL23" i="2" s="1"/>
  <c r="OM23" i="2" s="1"/>
  <c r="ON23" i="2" s="1"/>
  <c r="OO23" i="2" s="1"/>
  <c r="OP23" i="2" s="1"/>
  <c r="OQ23" i="2" s="1"/>
  <c r="OR23" i="2" s="1"/>
  <c r="OS23" i="2" s="1"/>
  <c r="OT23" i="2" s="1"/>
  <c r="OU23" i="2" s="1"/>
  <c r="OV23" i="2" s="1"/>
  <c r="OW23" i="2" s="1"/>
  <c r="OX23" i="2" s="1"/>
  <c r="OY23" i="2" s="1"/>
  <c r="OZ23" i="2" s="1"/>
  <c r="PA23" i="2" s="1"/>
  <c r="PB23" i="2" s="1"/>
  <c r="PC23" i="2" s="1"/>
  <c r="PD23" i="2" s="1"/>
  <c r="PE23" i="2" s="1"/>
  <c r="PF23" i="2" s="1"/>
  <c r="PG23" i="2" s="1"/>
  <c r="PH23" i="2" s="1"/>
  <c r="PI23" i="2" s="1"/>
  <c r="PJ23" i="2" s="1"/>
  <c r="PK23" i="2" s="1"/>
  <c r="PL23" i="2" s="1"/>
  <c r="PM23" i="2" s="1"/>
  <c r="PN23" i="2" s="1"/>
  <c r="PO23" i="2" s="1"/>
  <c r="PP23" i="2" s="1"/>
  <c r="PQ23" i="2" s="1"/>
  <c r="PR23" i="2" s="1"/>
  <c r="PS23" i="2" s="1"/>
  <c r="PT23" i="2" s="1"/>
  <c r="PU23" i="2" s="1"/>
  <c r="PV23" i="2" s="1"/>
  <c r="PW23" i="2" s="1"/>
  <c r="PX23" i="2" s="1"/>
  <c r="PY23" i="2" s="1"/>
  <c r="PZ23" i="2" s="1"/>
  <c r="QA23" i="2" s="1"/>
  <c r="QB23" i="2" s="1"/>
  <c r="QC23" i="2" s="1"/>
  <c r="QD23" i="2" s="1"/>
  <c r="QE23" i="2" s="1"/>
  <c r="QF23" i="2" s="1"/>
  <c r="QG23" i="2" s="1"/>
  <c r="QH23" i="2" s="1"/>
  <c r="QI23" i="2" s="1"/>
  <c r="QJ23" i="2" s="1"/>
  <c r="QK23" i="2" s="1"/>
  <c r="QL23" i="2" s="1"/>
  <c r="QM23" i="2" s="1"/>
  <c r="QN23" i="2" s="1"/>
  <c r="QO23" i="2" s="1"/>
  <c r="QP23" i="2" s="1"/>
  <c r="QQ23" i="2" s="1"/>
  <c r="QR23" i="2" s="1"/>
  <c r="QS23" i="2" s="1"/>
  <c r="QT23" i="2" s="1"/>
  <c r="QU23" i="2" s="1"/>
  <c r="QV23" i="2" s="1"/>
  <c r="QW23" i="2" s="1"/>
  <c r="QX23" i="2" s="1"/>
  <c r="QY23" i="2" s="1"/>
  <c r="QZ23" i="2" s="1"/>
  <c r="RA23" i="2" s="1"/>
  <c r="RB23" i="2" s="1"/>
  <c r="RC23" i="2" s="1"/>
  <c r="RD23" i="2" s="1"/>
  <c r="RE23" i="2" s="1"/>
  <c r="RF23" i="2" s="1"/>
  <c r="RG23" i="2" s="1"/>
  <c r="RH23" i="2" s="1"/>
  <c r="RI23" i="2" s="1"/>
  <c r="RJ23" i="2" s="1"/>
  <c r="RK23" i="2" s="1"/>
  <c r="RL23" i="2" s="1"/>
  <c r="RM23" i="2" s="1"/>
  <c r="RN23" i="2" s="1"/>
  <c r="RO23" i="2" s="1"/>
  <c r="RP23" i="2" s="1"/>
  <c r="RQ23" i="2" s="1"/>
  <c r="RR23" i="2" s="1"/>
  <c r="RS23" i="2" s="1"/>
  <c r="RT23" i="2" s="1"/>
  <c r="RU23" i="2" s="1"/>
  <c r="RV23" i="2" s="1"/>
  <c r="RW23" i="2" s="1"/>
  <c r="RX23" i="2" s="1"/>
  <c r="RY23" i="2" s="1"/>
  <c r="RZ23" i="2" s="1"/>
  <c r="SA23" i="2" s="1"/>
  <c r="SB23" i="2" s="1"/>
  <c r="SC23" i="2" s="1"/>
  <c r="SD23" i="2" s="1"/>
  <c r="SE23" i="2" s="1"/>
  <c r="SF23" i="2" s="1"/>
  <c r="SG23" i="2" s="1"/>
  <c r="SH23" i="2" s="1"/>
  <c r="SI23" i="2" s="1"/>
  <c r="SJ23" i="2" s="1"/>
  <c r="SK23" i="2" s="1"/>
  <c r="SL23" i="2" s="1"/>
  <c r="SM23" i="2" s="1"/>
  <c r="SN23" i="2" s="1"/>
  <c r="SO23" i="2" s="1"/>
  <c r="SP23" i="2" s="1"/>
  <c r="SQ23" i="2" s="1"/>
  <c r="SR23" i="2" s="1"/>
  <c r="SS23" i="2" s="1"/>
  <c r="ST23" i="2" s="1"/>
  <c r="SU23" i="2" s="1"/>
  <c r="SV23" i="2" s="1"/>
  <c r="SW23" i="2" s="1"/>
  <c r="SX23" i="2" s="1"/>
  <c r="SY23" i="2" s="1"/>
  <c r="SZ23" i="2" s="1"/>
  <c r="TA23" i="2" s="1"/>
  <c r="TB23" i="2" s="1"/>
  <c r="TC23" i="2" s="1"/>
  <c r="TD23" i="2" s="1"/>
  <c r="TE23" i="2" s="1"/>
  <c r="TF23" i="2" s="1"/>
  <c r="TG23" i="2" s="1"/>
  <c r="TH23" i="2" s="1"/>
  <c r="TI23" i="2" s="1"/>
  <c r="TJ23" i="2" s="1"/>
  <c r="TK23" i="2" s="1"/>
  <c r="TL23" i="2" s="1"/>
  <c r="TM23" i="2" s="1"/>
  <c r="TN23" i="2" s="1"/>
  <c r="TO23" i="2" s="1"/>
  <c r="TP23" i="2" s="1"/>
  <c r="TQ23" i="2" s="1"/>
  <c r="TR23" i="2" s="1"/>
  <c r="TS23" i="2" s="1"/>
  <c r="TT23" i="2" s="1"/>
  <c r="TU23" i="2" s="1"/>
  <c r="TV23" i="2" s="1"/>
  <c r="TW23" i="2" s="1"/>
  <c r="TX23" i="2" s="1"/>
  <c r="TY23" i="2" s="1"/>
  <c r="TZ23" i="2" s="1"/>
  <c r="UA23" i="2" s="1"/>
  <c r="UB23" i="2" s="1"/>
  <c r="UC23" i="2" s="1"/>
  <c r="UD23" i="2" s="1"/>
  <c r="UE23" i="2" s="1"/>
  <c r="UF23" i="2" s="1"/>
  <c r="UG23" i="2" s="1"/>
  <c r="UH23" i="2" s="1"/>
  <c r="UI23" i="2" s="1"/>
  <c r="UJ23" i="2" s="1"/>
  <c r="UK23" i="2" s="1"/>
  <c r="UL23" i="2" s="1"/>
  <c r="UM23" i="2" s="1"/>
  <c r="UN23" i="2" s="1"/>
  <c r="UO23" i="2" s="1"/>
  <c r="UP23" i="2" s="1"/>
  <c r="UQ23" i="2" s="1"/>
  <c r="UR23" i="2" s="1"/>
  <c r="US23" i="2" s="1"/>
  <c r="UT23" i="2" s="1"/>
  <c r="UU23" i="2" s="1"/>
  <c r="UV23" i="2" s="1"/>
  <c r="UW23" i="2" s="1"/>
  <c r="UX23" i="2" s="1"/>
  <c r="UY23" i="2" s="1"/>
  <c r="UZ23" i="2" s="1"/>
  <c r="VA23" i="2" s="1"/>
  <c r="VB23" i="2" s="1"/>
  <c r="VC23" i="2" s="1"/>
  <c r="VD23" i="2" s="1"/>
  <c r="VE23" i="2" s="1"/>
  <c r="VF23" i="2" s="1"/>
  <c r="VG23" i="2" s="1"/>
  <c r="VH23" i="2" s="1"/>
  <c r="VI23" i="2" s="1"/>
  <c r="VJ23" i="2" s="1"/>
  <c r="VK23" i="2" s="1"/>
  <c r="VL23" i="2" s="1"/>
  <c r="VM23" i="2" s="1"/>
  <c r="VN23" i="2" s="1"/>
  <c r="VO23" i="2" s="1"/>
  <c r="VP23" i="2" s="1"/>
  <c r="VQ23" i="2" s="1"/>
  <c r="VR23" i="2" s="1"/>
  <c r="VS23" i="2" s="1"/>
  <c r="VT23" i="2" s="1"/>
  <c r="VU23" i="2" s="1"/>
  <c r="VV23" i="2" s="1"/>
  <c r="VW23" i="2" s="1"/>
  <c r="VX23" i="2" s="1"/>
  <c r="VY23" i="2" s="1"/>
  <c r="VZ23" i="2" s="1"/>
  <c r="WA23" i="2" s="1"/>
  <c r="WB23" i="2" s="1"/>
  <c r="WC23" i="2" s="1"/>
  <c r="WD23" i="2" s="1"/>
  <c r="WE23" i="2" s="1"/>
  <c r="WF23" i="2" s="1"/>
  <c r="WG23" i="2" s="1"/>
  <c r="WH23" i="2" s="1"/>
  <c r="WI23" i="2" s="1"/>
  <c r="WJ23" i="2" s="1"/>
  <c r="WK23" i="2" s="1"/>
  <c r="WL23" i="2" s="1"/>
  <c r="WM23" i="2" s="1"/>
  <c r="WN23" i="2" s="1"/>
  <c r="WO23" i="2" s="1"/>
  <c r="WP23" i="2" s="1"/>
  <c r="WQ23" i="2" s="1"/>
  <c r="WR23" i="2" s="1"/>
  <c r="WS23" i="2" s="1"/>
  <c r="WT23" i="2" s="1"/>
  <c r="WU23" i="2" s="1"/>
  <c r="WV23" i="2" s="1"/>
  <c r="WW23" i="2" s="1"/>
  <c r="WX23" i="2" s="1"/>
  <c r="WY23" i="2" s="1"/>
  <c r="WZ23" i="2" s="1"/>
  <c r="XA23" i="2" s="1"/>
  <c r="XB23" i="2" s="1"/>
  <c r="XC23" i="2" s="1"/>
  <c r="XD23" i="2" s="1"/>
  <c r="XE23" i="2" s="1"/>
  <c r="XF23" i="2" s="1"/>
  <c r="XG23" i="2" s="1"/>
  <c r="XH23" i="2" s="1"/>
  <c r="XI23" i="2" s="1"/>
  <c r="XJ23" i="2" s="1"/>
  <c r="XK23" i="2" s="1"/>
  <c r="XL23" i="2" s="1"/>
  <c r="XM23" i="2" s="1"/>
  <c r="XN23" i="2" s="1"/>
  <c r="XO23" i="2" s="1"/>
  <c r="XP23" i="2" s="1"/>
  <c r="XQ23" i="2" s="1"/>
  <c r="XR23" i="2" s="1"/>
  <c r="XS23" i="2" s="1"/>
  <c r="XT23" i="2" s="1"/>
  <c r="XU23" i="2" s="1"/>
  <c r="XV23" i="2" s="1"/>
  <c r="XW23" i="2" s="1"/>
  <c r="XX23" i="2" s="1"/>
  <c r="XY23" i="2" s="1"/>
  <c r="XZ23" i="2" s="1"/>
  <c r="YA23" i="2" s="1"/>
  <c r="YB23" i="2" s="1"/>
  <c r="YC23" i="2" s="1"/>
  <c r="YD23" i="2" s="1"/>
  <c r="YE23" i="2" s="1"/>
  <c r="YF23" i="2" s="1"/>
  <c r="YG23" i="2" s="1"/>
  <c r="YH23" i="2" s="1"/>
  <c r="YI23" i="2" s="1"/>
  <c r="YJ23" i="2" s="1"/>
  <c r="YK23" i="2" s="1"/>
  <c r="YL23" i="2" s="1"/>
  <c r="YM23" i="2" s="1"/>
  <c r="YN23" i="2" s="1"/>
  <c r="YO23" i="2" s="1"/>
  <c r="YP23" i="2" s="1"/>
  <c r="YQ23" i="2" s="1"/>
  <c r="YR23" i="2" s="1"/>
  <c r="YS23" i="2" s="1"/>
  <c r="YT23" i="2" s="1"/>
  <c r="YU23" i="2" s="1"/>
  <c r="YV23" i="2" s="1"/>
  <c r="YW23" i="2" s="1"/>
  <c r="YX23" i="2" s="1"/>
  <c r="YY23" i="2" s="1"/>
  <c r="YZ23" i="2" s="1"/>
  <c r="ZA23" i="2" s="1"/>
  <c r="ZB23" i="2" s="1"/>
  <c r="ZC23" i="2" s="1"/>
  <c r="ZD23" i="2" s="1"/>
  <c r="ZE23" i="2" s="1"/>
  <c r="ZF23" i="2" s="1"/>
  <c r="ZG23" i="2" s="1"/>
  <c r="ZH23" i="2" s="1"/>
  <c r="ZI23" i="2" s="1"/>
  <c r="ZJ23" i="2" s="1"/>
  <c r="ZK23" i="2" s="1"/>
  <c r="ZL23" i="2" s="1"/>
  <c r="ZM23" i="2" s="1"/>
  <c r="ZN23" i="2" s="1"/>
  <c r="ZO23" i="2" s="1"/>
  <c r="ZP23" i="2" s="1"/>
  <c r="ZQ23" i="2" s="1"/>
  <c r="ZR23" i="2" s="1"/>
  <c r="ZS23" i="2" s="1"/>
  <c r="ZT23" i="2" s="1"/>
  <c r="ZU23" i="2" s="1"/>
  <c r="ZV23" i="2" s="1"/>
  <c r="ZW23" i="2" s="1"/>
  <c r="ZX23" i="2" s="1"/>
  <c r="ZY23" i="2" s="1"/>
  <c r="ZZ23" i="2" s="1"/>
  <c r="AAA23" i="2" s="1"/>
  <c r="AAB23" i="2" s="1"/>
  <c r="AAC23" i="2" s="1"/>
  <c r="AAD23" i="2" s="1"/>
  <c r="AAE23" i="2" s="1"/>
  <c r="AAF23" i="2" s="1"/>
  <c r="AAG23" i="2" s="1"/>
  <c r="AAH23" i="2" s="1"/>
  <c r="AAI23" i="2" s="1"/>
  <c r="AAJ23" i="2" s="1"/>
  <c r="AAK23" i="2" s="1"/>
  <c r="AAL23" i="2" s="1"/>
  <c r="AAM23" i="2" s="1"/>
  <c r="AAN23" i="2" s="1"/>
  <c r="AAO23" i="2" s="1"/>
  <c r="AAP23" i="2" s="1"/>
  <c r="AAQ23" i="2" s="1"/>
  <c r="AAR23" i="2" s="1"/>
  <c r="AAS23" i="2" s="1"/>
  <c r="AAT23" i="2" s="1"/>
  <c r="AAU23" i="2" s="1"/>
  <c r="AAV23" i="2" s="1"/>
  <c r="AAW23" i="2" s="1"/>
  <c r="AAX23" i="2" s="1"/>
  <c r="AAY23" i="2" s="1"/>
  <c r="AAZ23" i="2" s="1"/>
  <c r="ABA23" i="2" s="1"/>
  <c r="ABB23" i="2" s="1"/>
  <c r="ABC23" i="2" s="1"/>
  <c r="ABD23" i="2" s="1"/>
  <c r="ABE23" i="2" s="1"/>
  <c r="ABF23" i="2" s="1"/>
  <c r="ABG23" i="2" s="1"/>
  <c r="ABH23" i="2" s="1"/>
  <c r="ABI23" i="2" s="1"/>
  <c r="ABJ23" i="2" s="1"/>
  <c r="ABK23" i="2" s="1"/>
  <c r="ABL23" i="2" s="1"/>
  <c r="ABM23" i="2" s="1"/>
  <c r="ABN23" i="2" s="1"/>
  <c r="ABO23" i="2" s="1"/>
  <c r="ABP23" i="2" s="1"/>
  <c r="ABQ23" i="2" s="1"/>
  <c r="ABR23" i="2" s="1"/>
  <c r="ABS23" i="2" s="1"/>
  <c r="ABT23" i="2" s="1"/>
  <c r="ABU23" i="2" s="1"/>
  <c r="ABV23" i="2" s="1"/>
  <c r="ABW23" i="2" s="1"/>
  <c r="ABX23" i="2" s="1"/>
  <c r="ABY23" i="2" s="1"/>
  <c r="ABZ23" i="2" s="1"/>
  <c r="ACA23" i="2" s="1"/>
  <c r="ACB23" i="2" s="1"/>
  <c r="ACC23" i="2" s="1"/>
  <c r="ACD23" i="2" s="1"/>
  <c r="ACE23" i="2" s="1"/>
  <c r="ACF23" i="2" s="1"/>
  <c r="ACG23" i="2" s="1"/>
  <c r="ACH23" i="2" s="1"/>
  <c r="ACI23" i="2" s="1"/>
  <c r="ACJ23" i="2" s="1"/>
  <c r="ACK23" i="2" s="1"/>
  <c r="ACL23" i="2" s="1"/>
  <c r="ACM23" i="2" s="1"/>
  <c r="ACN23" i="2" s="1"/>
  <c r="ACO23" i="2" s="1"/>
  <c r="ACP23" i="2" s="1"/>
  <c r="ACQ23" i="2" s="1"/>
  <c r="ACR23" i="2" s="1"/>
  <c r="ACS23" i="2" s="1"/>
  <c r="ACT23" i="2" s="1"/>
  <c r="ACU23" i="2" s="1"/>
  <c r="ACV23" i="2" s="1"/>
  <c r="ACW23" i="2" s="1"/>
  <c r="ACX23" i="2" s="1"/>
  <c r="ACY23" i="2" s="1"/>
  <c r="ACZ23" i="2" s="1"/>
  <c r="ADA23" i="2" s="1"/>
  <c r="ADB23" i="2" s="1"/>
  <c r="ADC23" i="2" s="1"/>
  <c r="ADD23" i="2" s="1"/>
  <c r="ADE23" i="2" s="1"/>
  <c r="ADF23" i="2" s="1"/>
  <c r="ADG23" i="2" s="1"/>
  <c r="ADH23" i="2" s="1"/>
  <c r="ADI23" i="2" s="1"/>
  <c r="ADJ23" i="2" s="1"/>
  <c r="ADK23" i="2" s="1"/>
  <c r="ADL23" i="2" s="1"/>
  <c r="ADM23" i="2" s="1"/>
  <c r="ADN23" i="2" s="1"/>
  <c r="ADO23" i="2" s="1"/>
  <c r="ADP23" i="2" s="1"/>
  <c r="ADQ23" i="2" s="1"/>
  <c r="ADR23" i="2" s="1"/>
  <c r="ADS23" i="2" s="1"/>
  <c r="ADT23" i="2" s="1"/>
  <c r="ADU23" i="2" s="1"/>
  <c r="ADV23" i="2" s="1"/>
  <c r="ADW23" i="2" s="1"/>
  <c r="ADX23" i="2" s="1"/>
  <c r="ADY23" i="2" s="1"/>
  <c r="ADZ23" i="2" s="1"/>
  <c r="AEA23" i="2" s="1"/>
  <c r="AEB23" i="2" s="1"/>
  <c r="AEC23" i="2" s="1"/>
  <c r="AED23" i="2" s="1"/>
  <c r="AEE23" i="2" s="1"/>
  <c r="AEF23" i="2" s="1"/>
  <c r="AEG23" i="2" s="1"/>
  <c r="AEH23" i="2" s="1"/>
  <c r="AEI23" i="2" s="1"/>
  <c r="AEJ23" i="2" s="1"/>
  <c r="AEK23" i="2" s="1"/>
  <c r="AEL23" i="2" s="1"/>
  <c r="AEM23" i="2" s="1"/>
  <c r="AEN23" i="2" s="1"/>
  <c r="AEO23" i="2" s="1"/>
  <c r="AEP23" i="2" s="1"/>
  <c r="AEQ23" i="2" s="1"/>
  <c r="AER23" i="2" s="1"/>
  <c r="AES23" i="2" s="1"/>
  <c r="AET23" i="2" s="1"/>
  <c r="AEU23" i="2" s="1"/>
  <c r="AEV23" i="2" s="1"/>
  <c r="AEW23" i="2" s="1"/>
  <c r="AEX23" i="2" s="1"/>
  <c r="AEY23" i="2" s="1"/>
  <c r="AEZ23" i="2" s="1"/>
  <c r="AFA23" i="2" s="1"/>
  <c r="AFB23" i="2" s="1"/>
  <c r="AFC23" i="2" s="1"/>
  <c r="AFD23" i="2" s="1"/>
  <c r="AFE23" i="2" s="1"/>
  <c r="AFF23" i="2" s="1"/>
  <c r="AFG23" i="2" s="1"/>
  <c r="AFH23" i="2" s="1"/>
  <c r="AFI23" i="2" s="1"/>
  <c r="AFJ23" i="2" s="1"/>
  <c r="AFK23" i="2" s="1"/>
  <c r="AFL23" i="2" s="1"/>
  <c r="AFM23" i="2" s="1"/>
  <c r="AFN23" i="2" s="1"/>
  <c r="AFO23" i="2" s="1"/>
  <c r="AFP23" i="2" s="1"/>
  <c r="AFQ23" i="2" s="1"/>
  <c r="AFR23" i="2" s="1"/>
  <c r="AFS23" i="2" s="1"/>
  <c r="AFT23" i="2" s="1"/>
  <c r="AFU23" i="2" s="1"/>
  <c r="AFV23" i="2" s="1"/>
  <c r="AFW23" i="2" s="1"/>
  <c r="AFX23" i="2" s="1"/>
  <c r="AFY23" i="2" s="1"/>
  <c r="AFZ23" i="2" s="1"/>
  <c r="AGA23" i="2" s="1"/>
  <c r="AGB23" i="2" s="1"/>
  <c r="AGC23" i="2" s="1"/>
  <c r="AGD23" i="2" s="1"/>
  <c r="AGE23" i="2" s="1"/>
  <c r="AGF23" i="2" s="1"/>
  <c r="AGG23" i="2" s="1"/>
  <c r="AGH23" i="2" s="1"/>
  <c r="AGI23" i="2" s="1"/>
  <c r="AGJ23" i="2" s="1"/>
  <c r="AGK23" i="2" s="1"/>
  <c r="AGL23" i="2" s="1"/>
  <c r="AGM23" i="2" s="1"/>
  <c r="AGN23" i="2" s="1"/>
  <c r="AGO23" i="2" s="1"/>
  <c r="AGP23" i="2" s="1"/>
  <c r="AGQ23" i="2" s="1"/>
  <c r="AGR23" i="2" s="1"/>
  <c r="AGS23" i="2" s="1"/>
  <c r="AGT23" i="2" s="1"/>
  <c r="AGU23" i="2" s="1"/>
  <c r="AGV23" i="2" s="1"/>
  <c r="AGW23" i="2" s="1"/>
  <c r="AGX23" i="2" s="1"/>
  <c r="AGY23" i="2" s="1"/>
  <c r="AGZ23" i="2" s="1"/>
  <c r="AHA23" i="2" s="1"/>
  <c r="AHB23" i="2" s="1"/>
  <c r="AHC23" i="2" s="1"/>
  <c r="AHD23" i="2" s="1"/>
  <c r="AHE23" i="2" s="1"/>
  <c r="AHF23" i="2" s="1"/>
  <c r="AHG23" i="2" s="1"/>
  <c r="AHH23" i="2" s="1"/>
  <c r="AHI23" i="2" s="1"/>
  <c r="AHJ23" i="2" s="1"/>
  <c r="AHK23" i="2" s="1"/>
  <c r="AHL23" i="2" s="1"/>
  <c r="BA25" i="2" l="1"/>
  <c r="BA38" i="2"/>
  <c r="BH35" i="2"/>
  <c r="BH37" i="2" s="1"/>
  <c r="BH38" i="2" s="1"/>
  <c r="BH40"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tc={49E20B07-2EC9-4B39-BAF6-276B11139778}</author>
    <author>tc={47CFB9DF-5560-4E8B-AED4-D09048A97E9B}</author>
  </authors>
  <commentList>
    <comment ref="W2" authorId="0" shapeId="0" xr:uid="{49E20B07-2EC9-4B39-BAF6-276B11139778}">
      <text>
        <t>[Threaded comment]
Your version of Excel allows you to read this threaded comment; however, any edits to it will get removed if the file is opened in a newer version of Excel. Learn more: https://go.microsoft.com/fwlink/?linkid=870924
Comment:
    20:1 stock split</t>
      </text>
    </comment>
    <comment ref="B10" authorId="1" shapeId="0" xr:uid="{47CFB9DF-5560-4E8B-AED4-D09048A97E9B}">
      <text>
        <t>[Threaded comment]
Your version of Excel allows you to read this threaded comment; however, any edits to it will get removed if the file is opened in a newer version of Excel. Learn more: https://go.microsoft.com/fwlink/?linkid=870924
Comment:
    "Google other" +"Other Bets" from 1Q17 - 4Q19</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<sst xmlns="http://schemas.openxmlformats.org/spreadsheetml/2006/main" count="135" uniqueCount="124">
  <si>
    <t>Company</t>
  </si>
  <si>
    <t>Source</t>
  </si>
  <si>
    <t>Price</t>
  </si>
  <si>
    <t>Shares</t>
  </si>
  <si>
    <t>Market Cap</t>
  </si>
  <si>
    <t>Cash</t>
  </si>
  <si>
    <t>Debt</t>
  </si>
  <si>
    <t>EV</t>
  </si>
  <si>
    <t>4Q23</t>
  </si>
  <si>
    <t>Cost of Revenues</t>
  </si>
  <si>
    <t>Gross Profit</t>
  </si>
  <si>
    <t>R&amp;D</t>
  </si>
  <si>
    <t>S&amp;M</t>
  </si>
  <si>
    <t>G&amp;A</t>
  </si>
  <si>
    <t>OPEX</t>
  </si>
  <si>
    <t>Operating Income</t>
  </si>
  <si>
    <t>Other Income/(Expense)</t>
  </si>
  <si>
    <t>Pretax Income</t>
  </si>
  <si>
    <t>Taxes</t>
  </si>
  <si>
    <t>Net Income</t>
  </si>
  <si>
    <t>EPS</t>
  </si>
  <si>
    <t>1Q17</t>
  </si>
  <si>
    <t>2Q17</t>
  </si>
  <si>
    <t>3Q17</t>
  </si>
  <si>
    <t>4Q17</t>
  </si>
  <si>
    <t>1Q18</t>
  </si>
  <si>
    <t>2Q18</t>
  </si>
  <si>
    <t>3Q18</t>
  </si>
  <si>
    <t>4Q18</t>
  </si>
  <si>
    <t>1Q19</t>
  </si>
  <si>
    <t>2Q19</t>
  </si>
  <si>
    <t>3Q19</t>
  </si>
  <si>
    <t>4Q19</t>
  </si>
  <si>
    <t>1Q20</t>
  </si>
  <si>
    <t>2Q20</t>
  </si>
  <si>
    <t>3Q20</t>
  </si>
  <si>
    <t>4Q20</t>
  </si>
  <si>
    <t>1Q21</t>
  </si>
  <si>
    <t>2Q21</t>
  </si>
  <si>
    <t>3Q21</t>
  </si>
  <si>
    <t>4Q21</t>
  </si>
  <si>
    <t>1Q22</t>
  </si>
  <si>
    <t>2Q22</t>
  </si>
  <si>
    <t>3Q22</t>
  </si>
  <si>
    <t>4Q22</t>
  </si>
  <si>
    <t>1Q23</t>
  </si>
  <si>
    <t>2Q23</t>
  </si>
  <si>
    <t>3Q23</t>
  </si>
  <si>
    <t>Revenue Y/Y</t>
  </si>
  <si>
    <t>Cost of Revenue Y/Y</t>
  </si>
  <si>
    <t>R&amp;D Y/Y</t>
  </si>
  <si>
    <t>S&amp;M Y/Y</t>
  </si>
  <si>
    <t>G&amp;A Y/Y</t>
  </si>
  <si>
    <t>NI Y/Y</t>
  </si>
  <si>
    <t>Shares Y/Y</t>
  </si>
  <si>
    <t>Gross Margin</t>
  </si>
  <si>
    <t>Operating Margin</t>
  </si>
  <si>
    <t>1Q24</t>
  </si>
  <si>
    <t>2Q24</t>
  </si>
  <si>
    <t>3Q24</t>
  </si>
  <si>
    <t>4Q24</t>
  </si>
  <si>
    <t>Maturity Value</t>
  </si>
  <si>
    <t>Discount Rate</t>
  </si>
  <si>
    <t>NPV</t>
  </si>
  <si>
    <t>Net Cash</t>
  </si>
  <si>
    <t>Total Value</t>
  </si>
  <si>
    <t>Per Share</t>
  </si>
  <si>
    <t>Current</t>
  </si>
  <si>
    <t>Difference</t>
  </si>
  <si>
    <t>Equity</t>
  </si>
  <si>
    <t>D+E</t>
  </si>
  <si>
    <t>Wdebt</t>
  </si>
  <si>
    <t>Wequity</t>
  </si>
  <si>
    <t>Tax rate</t>
  </si>
  <si>
    <t>average</t>
  </si>
  <si>
    <t>Interest expense</t>
  </si>
  <si>
    <t>Cost of debt</t>
  </si>
  <si>
    <t>Risk-free rate</t>
  </si>
  <si>
    <t>5yr t-bond</t>
  </si>
  <si>
    <t>Beta</t>
  </si>
  <si>
    <t>Market return</t>
  </si>
  <si>
    <t xml:space="preserve">average </t>
  </si>
  <si>
    <t>Cost of equity</t>
  </si>
  <si>
    <t>WACC</t>
  </si>
  <si>
    <t>koyfin 3/14/24</t>
  </si>
  <si>
    <t>10K23</t>
  </si>
  <si>
    <t>CFFO</t>
  </si>
  <si>
    <t>CapEx</t>
  </si>
  <si>
    <t>FCF</t>
  </si>
  <si>
    <t>Google Cloud</t>
  </si>
  <si>
    <t>Other Bets</t>
  </si>
  <si>
    <t>Hedging Gains/(Losses)</t>
  </si>
  <si>
    <t>Search &amp; Other</t>
  </si>
  <si>
    <t>YouTube ads</t>
  </si>
  <si>
    <t>Network</t>
  </si>
  <si>
    <t>Subs., Platforms, Devices</t>
  </si>
  <si>
    <t>Google Advertising Total</t>
  </si>
  <si>
    <t>Google Services Total</t>
  </si>
  <si>
    <t>Total Revenue</t>
  </si>
  <si>
    <t>Ad Rev Y/Y</t>
  </si>
  <si>
    <t>Services Rev Y/Y</t>
  </si>
  <si>
    <t>Cloud Rev Y/Y</t>
  </si>
  <si>
    <t>Search as % of Total Rev</t>
  </si>
  <si>
    <t>A/R</t>
  </si>
  <si>
    <t>OCA</t>
  </si>
  <si>
    <t>Inventory</t>
  </si>
  <si>
    <t>Deferred Taxes</t>
  </si>
  <si>
    <t>PP&amp;E</t>
  </si>
  <si>
    <t>Lease</t>
  </si>
  <si>
    <t>Goodwill</t>
  </si>
  <si>
    <t>ONCA</t>
  </si>
  <si>
    <t>Assets</t>
  </si>
  <si>
    <t>A/P</t>
  </si>
  <si>
    <t>Comp. &amp; Benefits</t>
  </si>
  <si>
    <t>Accrued Expenses</t>
  </si>
  <si>
    <t>Accrued RevShare</t>
  </si>
  <si>
    <t>Deferred Rev</t>
  </si>
  <si>
    <t>OLTL</t>
  </si>
  <si>
    <t>Liabilities</t>
  </si>
  <si>
    <t>Stockholders' Equity</t>
  </si>
  <si>
    <t>L + S/E</t>
  </si>
  <si>
    <t>Other Bets Rev Y/Y</t>
  </si>
  <si>
    <t>If GOOGL grows all revenues by the avg Y/Y growth from 2018-2023 (excluding Cloud, only 2021-2023 because of 400% Y/Y 2020-2021),</t>
  </si>
  <si>
    <t>keeps GM at 56%, and OM between 25% - 28%, then model stock price is $157.51 vs $150.93 at time of typing (4% upside).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</si>
</sst>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Aptos Narrow"/>
      <family val="2"/>
      <scheme val="minor"/>
    </font>
    <font>
      <sz val="11"/>
      <color theme="1"/>
      <name val="Arial"/>
      <family val="2"/>
    </font>
    <font>
      <sz val="11"/>
      <color theme="1"/>
      <name val="Arial"/>
      <family val="2"/>
    </font>
    <font>
      <b/>
      <sz val="11"/>
      <color theme="1"/>
      <name val="Arial"/>
      <family val="2"/>
    </font>
    <font>
      <sz val="11"/>
      <color theme="1"/>
      <name val="Aptos Narrow"/>
      <family val="2"/>
      <scheme val="minor"/>
    </font>
    <font>
      <sz val="9"/>
      <color indexed="81"/>
      <name val="Tahoma"/>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4" fillId="0" borderId="0" applyFont="0" applyFill="0" applyBorder="0" applyAlignment="0" applyProtection="0"/>
  </cellStyleXfs>
  <cellXfs count="27">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164" fontId="2" fillId="0" borderId="0" xfId="0" applyNumberFormat="1" applyFont="1" applyAlignment="1">
      <alignment horizontal="right"/>
    </xf>
    <xf numFmtId="0" fontId="2" fillId="0" borderId="1" xfId="0" applyFont="1" applyBorder="1" applyAlignment="1">
      <alignment horizontal="right"/>
    </xf>
    <xf numFmtId="3" fontId="2" fillId="0" borderId="0" xfId="0" applyNumberFormat="1" applyFont="1" applyAlignment="1">
      <alignment horizontal="right"/>
    </xf>
    <xf numFmtId="0" fontId="2" fillId="0" borderId="4" xfId="0" applyFont="1" applyBorder="1" applyAlignment="1">
      <alignment horizontal="right"/>
    </xf>
    <xf numFmtId="0" fontId="2" fillId="0" borderId="5" xfId="0" applyFont="1" applyBorder="1"/>
    <xf numFmtId="3" fontId="2" fillId="0" borderId="6" xfId="0" applyNumberFormat="1" applyFont="1" applyBorder="1" applyAlignment="1">
      <alignment horizontal="right"/>
    </xf>
    <xf numFmtId="0" fontId="2" fillId="0" borderId="5" xfId="0" applyFont="1" applyBorder="1" applyAlignment="1">
      <alignment horizontal="right"/>
    </xf>
    <xf numFmtId="3" fontId="2" fillId="0" borderId="0" xfId="0" applyNumberFormat="1" applyFont="1"/>
    <xf numFmtId="4" fontId="2" fillId="0" borderId="0" xfId="0" applyNumberFormat="1" applyFont="1"/>
    <xf numFmtId="3" fontId="3" fillId="0" borderId="0" xfId="0" applyNumberFormat="1" applyFont="1"/>
    <xf numFmtId="9" fontId="2" fillId="0" borderId="0" xfId="0" applyNumberFormat="1" applyFont="1"/>
    <xf numFmtId="1" fontId="2" fillId="0" borderId="0" xfId="0" applyNumberFormat="1" applyFont="1"/>
    <xf numFmtId="0" fontId="2" fillId="0" borderId="0" xfId="0" applyFont="1"/>
    <xf numFmtId="0" fontId="3" fillId="0" borderId="0" xfId="0" applyFont="1"/>
    <xf numFmtId="9" fontId="3" fillId="0" borderId="0" xfId="0" applyNumberFormat="1" applyFont="1"/>
    <xf numFmtId="10" fontId="2" fillId="0" borderId="0" xfId="0" applyNumberFormat="1" applyFont="1"/>
    <xf numFmtId="0" fontId="3" fillId="0" borderId="6" xfId="0" applyFont="1" applyBorder="1"/>
    <xf numFmtId="9" fontId="3" fillId="0" borderId="6" xfId="0" applyNumberFormat="1" applyFont="1" applyBorder="1"/>
    <xf numFmtId="3" fontId="1" fillId="0" borderId="0" xfId="0" applyNumberFormat="1" applyFont="1"/>
    <xf numFmtId="9" fontId="3" fillId="0" borderId="0" xfId="1" applyNumberFormat="1" applyFont="1"/>
    <xf numFmtId="14" fontId="1" fillId="0" borderId="0" xfId="0" applyNumberFormat="1" applyFont="1"/>
    <xf numFmtId="0" fontId="1" fillId="0" borderId="0" xfId="0"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47</xdr:col>
      <xdr:colOff>45720</xdr:colOff>
      <xdr:row>0</xdr:row>
      <xdr:rowOff>137160</xdr:rowOff>
    </xdr:from>
    <xdr:to>
      <xdr:col>47</xdr:col>
      <xdr:colOff>45720</xdr:colOff>
      <xdr:row>68</xdr:row>
      <xdr:rowOff>7620</xdr:rowOff>
    </xdr:to>
    <xdr:cxnSp macro="">
      <xdr:nvCxnSpPr>
        <xdr:cNvPr id="3" name="Straight Connector 2">
          <a:extLst>
            <a:ext uri="{FF2B5EF4-FFF2-40B4-BE49-F238E27FC236}">
              <a16:creationId xmlns:a16="http://schemas.microsoft.com/office/drawing/2014/main" id="{B52A8D22-BF1B-E0B1-E732-232E67FB67CE}"/>
            </a:ext>
          </a:extLst>
        </xdr:cNvPr>
        <xdr:cNvCxnSpPr/>
      </xdr:nvCxnSpPr>
      <xdr:spPr>
        <a:xfrm>
          <a:off x="27873960" y="137160"/>
          <a:ext cx="0" cy="54787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28575</xdr:colOff>
      <xdr:row>0</xdr:row>
      <xdr:rowOff>38100</xdr:rowOff>
    </xdr:from>
    <xdr:to>
      <xdr:col>30</xdr:col>
      <xdr:colOff>28575</xdr:colOff>
      <xdr:row>83</xdr:row>
      <xdr:rowOff>19050</xdr:rowOff>
    </xdr:to>
    <xdr:cxnSp macro="">
      <xdr:nvCxnSpPr>
        <xdr:cNvPr id="5" name="Straight Connector 4">
          <a:extLst>
            <a:ext uri="{FF2B5EF4-FFF2-40B4-BE49-F238E27FC236}">
              <a16:creationId xmlns:a16="http://schemas.microsoft.com/office/drawing/2014/main" id="{C9E94138-39A3-46BB-836A-C18AA3855853}"/>
            </a:ext>
          </a:extLst>
        </xdr:cNvPr>
        <xdr:cNvCxnSpPr/>
      </xdr:nvCxnSpPr>
      <xdr:spPr>
        <a:xfrm>
          <a:off x="19326225" y="38100"/>
          <a:ext cx="0" cy="80391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Dashboard.xlsx" TargetMode="External"/><Relationship Id="rId1" Type="http://schemas.openxmlformats.org/officeDocument/2006/relationships/externalLinkPath" Target="0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All"/>
      <sheetName val="Communication"/>
      <sheetName val="Discretionary"/>
      <sheetName val="Staples"/>
      <sheetName val="Energy"/>
      <sheetName val="Financials"/>
      <sheetName val="Health Care"/>
      <sheetName val="Industrials"/>
      <sheetName val="Materials"/>
      <sheetName val="Real Estate"/>
      <sheetName val="Tech"/>
      <sheetName val="Utilities"/>
      <sheetName val="Screens"/>
    </sheetNames>
    <sheetDataSet>
      <sheetData sheetId="0">
        <row r="12">
          <cell r="C12">
            <v>4.3299999999999998E-2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ersons/person.xml><?xml version="1.0" encoding="utf-8"?>
<personList xmlns="http://schemas.microsoft.com/office/spreadsheetml/2018/threadedcomments" xmlns:x="http://schemas.openxmlformats.org/spreadsheetml/2006/main">
  <person displayName="Bill Sheldon" id="{067664BD-BC29-4CEB-83C9-A2BD104895A1}"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en-US</v>
    <v>a1u3rw</v>
    <v>268435456</v>
    <v>1</v>
    <v>Powered by Refinitiv</v>
    <v>0</v>
    <v>ALPHABET INC. (XNAS:GOOGL)</v>
    <v>2</v>
    <v>3</v>
    <v>Finance</v>
    <v>4</v>
    <v>153.78</v>
    <v>99.74</v>
    <v>1.0495000000000001</v>
    <v>0.06</v>
    <v>-1.0730000000000002E-3</v>
    <v>3.9770000000000002E-4</v>
    <v>-0.16189999999999999</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151.43</v>
    <v>Software &amp; IT Services</v>
    <v>Stock</v>
    <v>45379.999792673436</v>
    <v>0</v>
    <v>150.16999999999999</v>
    <v>1884055000000</v>
    <v>ALPHABET INC.</v>
    <v>ALPHABET INC.</v>
    <v>150.85</v>
    <v>26.011600000000001</v>
    <v>150.87</v>
    <v>150.93</v>
    <v>150.7681</v>
    <v>12433000000</v>
    <v>GOOGL</v>
    <v>ALPHABET INC. (XNAS:GOOGL)</v>
    <v>24485390</v>
    <v>34444735</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W2" dT="2024-03-13T11:42:24.11" personId="{067664BD-BC29-4CEB-83C9-A2BD104895A1}" id="{49E20B07-2EC9-4B39-BAF6-276B11139778}">
    <text>20:1 stock split</text>
  </threadedComment>
  <threadedComment ref="B10" dT="2024-03-30T17:18:57.86" personId="{067664BD-BC29-4CEB-83C9-A2BD104895A1}" id="{47CFB9DF-5560-4E8B-AED4-D09048A97E9B}">
    <text>"Google other" +"Other Bets" from 1Q17 - 4Q19</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9CA76-0D49-4574-85E4-356E841875B9}">
  <dimension ref="C3:I35"/>
  <sheetViews>
    <sheetView tabSelected="1" workbookViewId="0">
      <selection activeCell="I6" sqref="I6"/>
    </sheetView>
  </sheetViews>
  <sheetFormatPr defaultRowHeight="14.4" x14ac:dyDescent="0.3"/>
  <cols>
    <col min="3" max="3" width="11.33203125" bestFit="1" customWidth="1"/>
    <col min="4" max="4" width="34.109375" bestFit="1" customWidth="1"/>
    <col min="9" max="9" width="9.88671875" bestFit="1" customWidth="1"/>
  </cols>
  <sheetData>
    <row r="3" spans="3:9" x14ac:dyDescent="0.3">
      <c r="C3" s="1" t="s">
        <v>0</v>
      </c>
      <c r="D3" s="2" t="e" vm="1">
        <v>#VALUE!</v>
      </c>
      <c r="E3" s="3" t="s">
        <v>1</v>
      </c>
      <c r="I3" s="25">
        <v>45381</v>
      </c>
    </row>
    <row r="4" spans="3:9" x14ac:dyDescent="0.3">
      <c r="C4" s="4" t="s">
        <v>2</v>
      </c>
      <c r="D4" s="5" cm="1">
        <f t="array" ref="D4">_FV(D3,"Price")</f>
        <v>150.93</v>
      </c>
      <c r="E4" s="6"/>
      <c r="I4" s="23" t="s">
        <v>122</v>
      </c>
    </row>
    <row r="5" spans="3:9" x14ac:dyDescent="0.3">
      <c r="C5" s="4" t="s">
        <v>3</v>
      </c>
      <c r="D5" s="7">
        <v>12602</v>
      </c>
      <c r="E5" s="8" t="s">
        <v>8</v>
      </c>
      <c r="I5" s="26" t="s">
        <v>123</v>
      </c>
    </row>
    <row r="6" spans="3:9" x14ac:dyDescent="0.3">
      <c r="C6" s="4" t="s">
        <v>4</v>
      </c>
      <c r="D6" s="7">
        <f>D5*D4</f>
        <v>1902019.86</v>
      </c>
      <c r="E6" s="8"/>
      <c r="I6" s="26"/>
    </row>
    <row r="7" spans="3:9" x14ac:dyDescent="0.3">
      <c r="C7" s="4" t="s">
        <v>5</v>
      </c>
      <c r="D7" s="7">
        <f>24048+86868+31008</f>
        <v>141924</v>
      </c>
      <c r="E7" s="8" t="s">
        <v>8</v>
      </c>
      <c r="I7" s="26"/>
    </row>
    <row r="8" spans="3:9" x14ac:dyDescent="0.3">
      <c r="C8" s="4" t="s">
        <v>6</v>
      </c>
      <c r="D8" s="7">
        <v>13253</v>
      </c>
      <c r="E8" s="8" t="s">
        <v>8</v>
      </c>
      <c r="I8" s="26"/>
    </row>
    <row r="9" spans="3:9" x14ac:dyDescent="0.3">
      <c r="C9" s="9" t="s">
        <v>7</v>
      </c>
      <c r="D9" s="10">
        <f>D6-D7+D8</f>
        <v>1773348.86</v>
      </c>
      <c r="E9" s="11"/>
      <c r="I9" s="26"/>
    </row>
    <row r="10" spans="3:9" x14ac:dyDescent="0.3">
      <c r="I10" s="26"/>
    </row>
    <row r="11" spans="3:9" x14ac:dyDescent="0.3">
      <c r="I11" s="26"/>
    </row>
    <row r="12" spans="3:9" x14ac:dyDescent="0.3">
      <c r="I12" s="26"/>
    </row>
    <row r="13" spans="3:9" x14ac:dyDescent="0.3">
      <c r="I13" s="26"/>
    </row>
    <row r="14" spans="3:9" x14ac:dyDescent="0.3">
      <c r="I14" s="26"/>
    </row>
    <row r="15" spans="3:9" x14ac:dyDescent="0.3">
      <c r="I15" s="26"/>
    </row>
    <row r="16" spans="3:9" x14ac:dyDescent="0.3">
      <c r="I16" s="26"/>
    </row>
    <row r="17" spans="9:9" x14ac:dyDescent="0.3">
      <c r="I17" s="26"/>
    </row>
    <row r="18" spans="9:9" x14ac:dyDescent="0.3">
      <c r="I18" s="26"/>
    </row>
    <row r="19" spans="9:9" x14ac:dyDescent="0.3">
      <c r="I19" s="26"/>
    </row>
    <row r="20" spans="9:9" x14ac:dyDescent="0.3">
      <c r="I20" s="26"/>
    </row>
    <row r="21" spans="9:9" x14ac:dyDescent="0.3">
      <c r="I21" s="26"/>
    </row>
    <row r="22" spans="9:9" x14ac:dyDescent="0.3">
      <c r="I22" s="26"/>
    </row>
    <row r="23" spans="9:9" x14ac:dyDescent="0.3">
      <c r="I23" s="26"/>
    </row>
    <row r="24" spans="9:9" x14ac:dyDescent="0.3">
      <c r="I24" s="26"/>
    </row>
    <row r="25" spans="9:9" x14ac:dyDescent="0.3">
      <c r="I25" s="26"/>
    </row>
    <row r="26" spans="9:9" x14ac:dyDescent="0.3">
      <c r="I26" s="26"/>
    </row>
    <row r="27" spans="9:9" x14ac:dyDescent="0.3">
      <c r="I27" s="26"/>
    </row>
    <row r="28" spans="9:9" x14ac:dyDescent="0.3">
      <c r="I28" s="26"/>
    </row>
    <row r="29" spans="9:9" x14ac:dyDescent="0.3">
      <c r="I29" s="26"/>
    </row>
    <row r="30" spans="9:9" x14ac:dyDescent="0.3">
      <c r="I30" s="26"/>
    </row>
    <row r="31" spans="9:9" x14ac:dyDescent="0.3">
      <c r="I31" s="26"/>
    </row>
    <row r="32" spans="9:9" x14ac:dyDescent="0.3">
      <c r="I32" s="26"/>
    </row>
    <row r="33" spans="9:9" x14ac:dyDescent="0.3">
      <c r="I33" s="26"/>
    </row>
    <row r="34" spans="9:9" x14ac:dyDescent="0.3">
      <c r="I34" s="26"/>
    </row>
    <row r="35" spans="9:9" x14ac:dyDescent="0.3">
      <c r="I35"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12AD1-6C86-40C8-A66C-1AF40901F55F}">
  <dimension ref="B2:AHL71"/>
  <sheetViews>
    <sheetView workbookViewId="0">
      <pane xSplit="2" ySplit="2" topLeftCell="AO12" activePane="bottomRight" state="frozen"/>
      <selection pane="topRight" activeCell="C1" sqref="C1"/>
      <selection pane="bottomLeft" activeCell="A3" sqref="A3"/>
      <selection pane="bottomRight" activeCell="BH38" sqref="BH38"/>
    </sheetView>
  </sheetViews>
  <sheetFormatPr defaultRowHeight="13.8" x14ac:dyDescent="0.25"/>
  <cols>
    <col min="1" max="1" width="8.88671875" style="12"/>
    <col min="2" max="2" width="25.109375" style="12" bestFit="1" customWidth="1"/>
    <col min="3" max="58" width="8.88671875" style="12"/>
    <col min="59" max="59" width="14" style="12" bestFit="1" customWidth="1"/>
    <col min="60" max="60" width="9.88671875" style="12" bestFit="1" customWidth="1"/>
    <col min="61" max="16384" width="8.88671875" style="12"/>
  </cols>
  <sheetData>
    <row r="2" spans="2:53" x14ac:dyDescent="0.25">
      <c r="C2" s="12" t="s">
        <v>21</v>
      </c>
      <c r="D2" s="12" t="s">
        <v>22</v>
      </c>
      <c r="E2" s="12" t="s">
        <v>23</v>
      </c>
      <c r="F2" s="12" t="s">
        <v>24</v>
      </c>
      <c r="G2" s="12" t="s">
        <v>25</v>
      </c>
      <c r="H2" s="12" t="s">
        <v>26</v>
      </c>
      <c r="I2" s="12" t="s">
        <v>27</v>
      </c>
      <c r="J2" s="12" t="s">
        <v>28</v>
      </c>
      <c r="K2" s="12" t="s">
        <v>29</v>
      </c>
      <c r="L2" s="12" t="s">
        <v>30</v>
      </c>
      <c r="M2" s="12" t="s">
        <v>31</v>
      </c>
      <c r="N2" s="12" t="s">
        <v>32</v>
      </c>
      <c r="O2" s="12" t="s">
        <v>33</v>
      </c>
      <c r="P2" s="12" t="s">
        <v>34</v>
      </c>
      <c r="Q2" s="12" t="s">
        <v>35</v>
      </c>
      <c r="R2" s="12" t="s">
        <v>36</v>
      </c>
      <c r="S2" s="12" t="s">
        <v>37</v>
      </c>
      <c r="T2" s="12" t="s">
        <v>38</v>
      </c>
      <c r="U2" s="12" t="s">
        <v>39</v>
      </c>
      <c r="V2" s="12" t="s">
        <v>40</v>
      </c>
      <c r="W2" s="12" t="s">
        <v>41</v>
      </c>
      <c r="X2" s="12" t="s">
        <v>42</v>
      </c>
      <c r="Y2" s="12" t="s">
        <v>43</v>
      </c>
      <c r="Z2" s="12" t="s">
        <v>44</v>
      </c>
      <c r="AA2" s="12" t="s">
        <v>45</v>
      </c>
      <c r="AB2" s="12" t="s">
        <v>46</v>
      </c>
      <c r="AC2" s="12" t="s">
        <v>47</v>
      </c>
      <c r="AD2" s="12" t="s">
        <v>8</v>
      </c>
      <c r="AE2" s="12" t="s">
        <v>57</v>
      </c>
      <c r="AF2" s="12" t="s">
        <v>58</v>
      </c>
      <c r="AG2" s="12" t="s">
        <v>59</v>
      </c>
      <c r="AH2" s="12" t="s">
        <v>60</v>
      </c>
      <c r="AO2" s="16">
        <v>2017</v>
      </c>
      <c r="AP2" s="16">
        <v>2018</v>
      </c>
      <c r="AQ2" s="16">
        <v>2019</v>
      </c>
      <c r="AR2" s="16">
        <v>2020</v>
      </c>
      <c r="AS2" s="16">
        <v>2021</v>
      </c>
      <c r="AT2" s="16">
        <v>2022</v>
      </c>
      <c r="AU2" s="16">
        <v>2023</v>
      </c>
      <c r="AV2" s="16">
        <v>2024</v>
      </c>
      <c r="AW2" s="16">
        <v>2025</v>
      </c>
      <c r="AX2" s="16">
        <v>2026</v>
      </c>
      <c r="AY2" s="16">
        <v>2027</v>
      </c>
      <c r="AZ2" s="16">
        <v>2028</v>
      </c>
      <c r="BA2" s="16">
        <v>2029</v>
      </c>
    </row>
    <row r="3" spans="2:53" x14ac:dyDescent="0.25">
      <c r="B3" s="23" t="s">
        <v>92</v>
      </c>
      <c r="C3" s="12">
        <v>17403</v>
      </c>
      <c r="D3" s="12">
        <v>18425</v>
      </c>
      <c r="E3" s="12">
        <v>19723</v>
      </c>
      <c r="F3" s="12">
        <v>22237</v>
      </c>
      <c r="G3" s="12">
        <v>21998</v>
      </c>
      <c r="H3" s="12">
        <v>23262</v>
      </c>
      <c r="I3" s="12">
        <v>24054</v>
      </c>
      <c r="J3" s="12">
        <v>23320</v>
      </c>
      <c r="K3" s="12">
        <v>25682</v>
      </c>
      <c r="L3" s="12">
        <v>27335</v>
      </c>
      <c r="M3" s="12">
        <v>28647</v>
      </c>
      <c r="N3" s="12">
        <v>27185</v>
      </c>
      <c r="O3" s="12">
        <v>24502</v>
      </c>
      <c r="P3" s="12">
        <v>21319</v>
      </c>
      <c r="Q3" s="12">
        <v>26338</v>
      </c>
      <c r="R3" s="12">
        <v>31903</v>
      </c>
      <c r="S3" s="12">
        <v>31879</v>
      </c>
      <c r="T3" s="12">
        <v>35845</v>
      </c>
      <c r="U3" s="12">
        <v>37926</v>
      </c>
      <c r="V3" s="12">
        <v>43301</v>
      </c>
      <c r="W3" s="12">
        <v>39618</v>
      </c>
      <c r="X3" s="12">
        <v>40689</v>
      </c>
      <c r="Y3" s="12">
        <v>39539</v>
      </c>
      <c r="Z3" s="12">
        <v>42604</v>
      </c>
      <c r="AA3" s="12">
        <v>40359</v>
      </c>
      <c r="AB3" s="12">
        <v>42628</v>
      </c>
      <c r="AC3" s="12">
        <v>44026</v>
      </c>
      <c r="AD3" s="12">
        <v>48020</v>
      </c>
      <c r="AE3" s="12">
        <f>AA3*1.1</f>
        <v>44394.9</v>
      </c>
      <c r="AF3" s="12">
        <f t="shared" ref="AF3:AH3" si="0">AB3*1.1</f>
        <v>46890.8</v>
      </c>
      <c r="AG3" s="12">
        <f t="shared" si="0"/>
        <v>48428.600000000006</v>
      </c>
      <c r="AH3" s="12">
        <f t="shared" si="0"/>
        <v>52822.000000000007</v>
      </c>
      <c r="AO3" s="12">
        <f>SUM(C3:F3)</f>
        <v>77788</v>
      </c>
      <c r="AP3" s="12">
        <f>SUM(G3:J3)</f>
        <v>92634</v>
      </c>
      <c r="AQ3" s="12">
        <f>SUM(K3:N3)</f>
        <v>108849</v>
      </c>
      <c r="AR3" s="12">
        <f>SUM(O3:R3)</f>
        <v>104062</v>
      </c>
      <c r="AS3" s="12">
        <f>SUM(S3:V3)</f>
        <v>148951</v>
      </c>
      <c r="AT3" s="12">
        <f>SUM(W3:Z3)</f>
        <v>162450</v>
      </c>
      <c r="AU3" s="12">
        <f>SUM(AA3:AD3)</f>
        <v>175033</v>
      </c>
      <c r="AV3" s="12">
        <f>SUM(AE3:AH3)</f>
        <v>192536.30000000002</v>
      </c>
      <c r="AW3" s="12">
        <f>AV3*(1+AVERAGE(AP28:AU28))</f>
        <v>230404.18955403598</v>
      </c>
      <c r="AX3" s="12">
        <f t="shared" ref="AX3:BA3" si="1">AW3*(1+AVERAGE(AQ28:AV28))</f>
        <v>271174.83371494227</v>
      </c>
      <c r="AY3" s="12">
        <f t="shared" si="1"/>
        <v>319846.30642843718</v>
      </c>
      <c r="AZ3" s="12">
        <f t="shared" si="1"/>
        <v>372928.22954512702</v>
      </c>
      <c r="BA3" s="12">
        <f t="shared" si="1"/>
        <v>419906.98267326754</v>
      </c>
    </row>
    <row r="4" spans="2:53" x14ac:dyDescent="0.25">
      <c r="B4" s="23" t="s">
        <v>93</v>
      </c>
      <c r="J4" s="12">
        <v>3605</v>
      </c>
      <c r="N4" s="12">
        <v>4717</v>
      </c>
      <c r="O4" s="12">
        <v>4038</v>
      </c>
      <c r="P4" s="12">
        <v>3812</v>
      </c>
      <c r="Q4" s="12">
        <v>5037</v>
      </c>
      <c r="R4" s="12">
        <v>6885</v>
      </c>
      <c r="S4" s="12">
        <v>6005</v>
      </c>
      <c r="T4" s="12">
        <v>7002</v>
      </c>
      <c r="U4" s="12">
        <v>7205</v>
      </c>
      <c r="V4" s="12">
        <v>8633</v>
      </c>
      <c r="W4" s="12">
        <v>6869</v>
      </c>
      <c r="X4" s="12">
        <v>7340</v>
      </c>
      <c r="Y4" s="12">
        <v>7071</v>
      </c>
      <c r="Z4" s="12">
        <v>7963</v>
      </c>
      <c r="AA4" s="12">
        <v>6693</v>
      </c>
      <c r="AB4" s="12">
        <v>7665</v>
      </c>
      <c r="AC4" s="12">
        <v>7952</v>
      </c>
      <c r="AD4" s="12">
        <v>9200</v>
      </c>
      <c r="AE4" s="12">
        <f>AA4*1.1</f>
        <v>7362.3</v>
      </c>
      <c r="AF4" s="12">
        <f t="shared" ref="AF4:AH4" si="2">AB4*1.1</f>
        <v>8431.5</v>
      </c>
      <c r="AG4" s="12">
        <f t="shared" si="2"/>
        <v>8747.2000000000007</v>
      </c>
      <c r="AH4" s="12">
        <f t="shared" si="2"/>
        <v>10120</v>
      </c>
      <c r="AO4" s="12">
        <f t="shared" ref="AO4:AO5" si="3">SUM(C4:F4)</f>
        <v>0</v>
      </c>
      <c r="AP4" s="12">
        <f t="shared" ref="AP4:AP5" si="4">SUM(G4:J4)</f>
        <v>3605</v>
      </c>
      <c r="AQ4" s="12">
        <f t="shared" ref="AQ4:AQ5" si="5">SUM(K4:N4)</f>
        <v>4717</v>
      </c>
      <c r="AR4" s="12">
        <f t="shared" ref="AR4:AR5" si="6">SUM(O4:R4)</f>
        <v>19772</v>
      </c>
      <c r="AS4" s="12">
        <f t="shared" ref="AS4:AS5" si="7">SUM(S4:V4)</f>
        <v>28845</v>
      </c>
      <c r="AT4" s="12">
        <f t="shared" ref="AT4:AT5" si="8">SUM(W4:Z4)</f>
        <v>29243</v>
      </c>
      <c r="AU4" s="12">
        <f t="shared" ref="AU4:AU5" si="9">SUM(AA4:AD4)</f>
        <v>31510</v>
      </c>
      <c r="AV4" s="12">
        <f t="shared" ref="AV4:AV5" si="10">SUM(AE4:AH4)</f>
        <v>34661</v>
      </c>
      <c r="AW4" s="12">
        <f>AV4*(1+AVERAGE($AP$27:$AU$27))</f>
        <v>40585.416351997817</v>
      </c>
      <c r="AX4" s="12">
        <f t="shared" ref="AX4:BA4" si="11">AW4*(1+AVERAGE($AP$27:$AU$27))</f>
        <v>47522.46099261452</v>
      </c>
      <c r="AY4" s="12">
        <f t="shared" si="11"/>
        <v>55645.216971721413</v>
      </c>
      <c r="AZ4" s="12">
        <f t="shared" si="11"/>
        <v>65156.351484220562</v>
      </c>
      <c r="BA4" s="12">
        <f t="shared" si="11"/>
        <v>76293.172527168936</v>
      </c>
    </row>
    <row r="5" spans="2:53" x14ac:dyDescent="0.25">
      <c r="B5" s="23" t="s">
        <v>94</v>
      </c>
      <c r="C5" s="12">
        <v>4008</v>
      </c>
      <c r="D5" s="12">
        <v>4247</v>
      </c>
      <c r="E5" s="12">
        <v>4342</v>
      </c>
      <c r="F5" s="12">
        <v>4990</v>
      </c>
      <c r="G5" s="12">
        <v>4644</v>
      </c>
      <c r="H5" s="12">
        <v>4825</v>
      </c>
      <c r="I5" s="12">
        <v>4900</v>
      </c>
      <c r="J5" s="12">
        <v>5593</v>
      </c>
      <c r="K5" s="12">
        <v>5038</v>
      </c>
      <c r="L5" s="12">
        <v>5266</v>
      </c>
      <c r="M5" s="12">
        <v>5269</v>
      </c>
      <c r="N5" s="12">
        <v>6032</v>
      </c>
      <c r="O5" s="12">
        <v>5223</v>
      </c>
      <c r="P5" s="12">
        <v>4736</v>
      </c>
      <c r="Q5" s="12">
        <v>5720</v>
      </c>
      <c r="R5" s="12">
        <v>7411</v>
      </c>
      <c r="S5" s="12">
        <v>6800</v>
      </c>
      <c r="T5" s="12">
        <v>7597</v>
      </c>
      <c r="U5" s="12">
        <v>7999</v>
      </c>
      <c r="V5" s="12">
        <v>9305</v>
      </c>
      <c r="W5" s="12">
        <v>8174</v>
      </c>
      <c r="X5" s="12">
        <v>8259</v>
      </c>
      <c r="Y5" s="12">
        <v>7872</v>
      </c>
      <c r="Z5" s="12">
        <v>8475</v>
      </c>
      <c r="AA5" s="12">
        <v>7496</v>
      </c>
      <c r="AB5" s="12">
        <v>7850</v>
      </c>
      <c r="AC5" s="12">
        <v>7669</v>
      </c>
      <c r="AD5" s="12">
        <v>8297</v>
      </c>
      <c r="AE5" s="12">
        <f>AA5*1.1</f>
        <v>8245.6</v>
      </c>
      <c r="AF5" s="12">
        <f t="shared" ref="AF5:AH5" si="12">AB5*1.1</f>
        <v>8635</v>
      </c>
      <c r="AG5" s="12">
        <f t="shared" si="12"/>
        <v>8435.9000000000015</v>
      </c>
      <c r="AH5" s="12">
        <f t="shared" si="12"/>
        <v>9126.7000000000007</v>
      </c>
      <c r="AO5" s="12">
        <f t="shared" si="3"/>
        <v>17587</v>
      </c>
      <c r="AP5" s="12">
        <f t="shared" si="4"/>
        <v>19962</v>
      </c>
      <c r="AQ5" s="12">
        <f t="shared" si="5"/>
        <v>21605</v>
      </c>
      <c r="AR5" s="12">
        <f t="shared" si="6"/>
        <v>23090</v>
      </c>
      <c r="AS5" s="12">
        <f t="shared" si="7"/>
        <v>31701</v>
      </c>
      <c r="AT5" s="12">
        <f t="shared" si="8"/>
        <v>32780</v>
      </c>
      <c r="AU5" s="12">
        <f t="shared" si="9"/>
        <v>31312</v>
      </c>
      <c r="AV5" s="12">
        <f t="shared" si="10"/>
        <v>34443.199999999997</v>
      </c>
      <c r="AW5" s="12">
        <f t="shared" ref="AW5:BA5" si="13">AV5*(1+AVERAGE($AP$27:$AU$27))</f>
        <v>40330.388981712334</v>
      </c>
      <c r="AX5" s="12">
        <f t="shared" si="13"/>
        <v>47223.843179966549</v>
      </c>
      <c r="AY5" s="12">
        <f t="shared" si="13"/>
        <v>55295.558039306285</v>
      </c>
      <c r="AZ5" s="12">
        <f t="shared" si="13"/>
        <v>64746.927250838286</v>
      </c>
      <c r="BA5" s="12">
        <f t="shared" si="13"/>
        <v>75813.767634741802</v>
      </c>
    </row>
    <row r="6" spans="2:53" x14ac:dyDescent="0.25">
      <c r="B6" s="23" t="s">
        <v>96</v>
      </c>
      <c r="C6" s="12">
        <f t="shared" ref="C6" si="14">SUM(C3:C5)</f>
        <v>21411</v>
      </c>
      <c r="D6" s="12">
        <f t="shared" ref="D6" si="15">SUM(D3:D5)</f>
        <v>22672</v>
      </c>
      <c r="E6" s="12">
        <f t="shared" ref="E6" si="16">SUM(E3:E5)</f>
        <v>24065</v>
      </c>
      <c r="F6" s="12">
        <f t="shared" ref="F6" si="17">SUM(F3:F5)</f>
        <v>27227</v>
      </c>
      <c r="G6" s="12">
        <f t="shared" ref="G6" si="18">SUM(G3:G5)</f>
        <v>26642</v>
      </c>
      <c r="H6" s="12">
        <f t="shared" ref="H6" si="19">SUM(H3:H5)</f>
        <v>28087</v>
      </c>
      <c r="I6" s="12">
        <f t="shared" ref="I6" si="20">SUM(I3:I5)</f>
        <v>28954</v>
      </c>
      <c r="J6" s="12">
        <f t="shared" ref="J6" si="21">SUM(J3:J5)</f>
        <v>32518</v>
      </c>
      <c r="K6" s="12">
        <f t="shared" ref="K6" si="22">SUM(K3:K5)</f>
        <v>30720</v>
      </c>
      <c r="L6" s="12">
        <f t="shared" ref="L6" si="23">SUM(L3:L5)</f>
        <v>32601</v>
      </c>
      <c r="M6" s="12">
        <f t="shared" ref="M6" si="24">SUM(M3:M5)</f>
        <v>33916</v>
      </c>
      <c r="N6" s="12">
        <f t="shared" ref="N6" si="25">SUM(N3:N5)</f>
        <v>37934</v>
      </c>
      <c r="O6" s="12">
        <f t="shared" ref="O6" si="26">SUM(O3:O5)</f>
        <v>33763</v>
      </c>
      <c r="P6" s="12">
        <f t="shared" ref="P6" si="27">SUM(P3:P5)</f>
        <v>29867</v>
      </c>
      <c r="Q6" s="12">
        <f t="shared" ref="Q6" si="28">SUM(Q3:Q5)</f>
        <v>37095</v>
      </c>
      <c r="R6" s="12">
        <f t="shared" ref="R6" si="29">SUM(R3:R5)</f>
        <v>46199</v>
      </c>
      <c r="S6" s="12">
        <f t="shared" ref="S6" si="30">SUM(S3:S5)</f>
        <v>44684</v>
      </c>
      <c r="T6" s="12">
        <f t="shared" ref="T6" si="31">SUM(T3:T5)</f>
        <v>50444</v>
      </c>
      <c r="U6" s="12">
        <f t="shared" ref="U6" si="32">SUM(U3:U5)</f>
        <v>53130</v>
      </c>
      <c r="V6" s="12">
        <f t="shared" ref="V6" si="33">SUM(V3:V5)</f>
        <v>61239</v>
      </c>
      <c r="W6" s="12">
        <f t="shared" ref="W6" si="34">SUM(W3:W5)</f>
        <v>54661</v>
      </c>
      <c r="X6" s="12">
        <f t="shared" ref="X6" si="35">SUM(X3:X5)</f>
        <v>56288</v>
      </c>
      <c r="Y6" s="12">
        <f t="shared" ref="Y6" si="36">SUM(Y3:Y5)</f>
        <v>54482</v>
      </c>
      <c r="Z6" s="12">
        <f t="shared" ref="Z6" si="37">SUM(Z3:Z5)</f>
        <v>59042</v>
      </c>
      <c r="AA6" s="12">
        <f t="shared" ref="AA6" si="38">SUM(AA3:AA5)</f>
        <v>54548</v>
      </c>
      <c r="AB6" s="12">
        <f t="shared" ref="AB6" si="39">SUM(AB3:AB5)</f>
        <v>58143</v>
      </c>
      <c r="AC6" s="12">
        <f t="shared" ref="AC6" si="40">SUM(AC3:AC5)</f>
        <v>59647</v>
      </c>
      <c r="AD6" s="12">
        <f>SUM(AD3:AD5)</f>
        <v>65517</v>
      </c>
      <c r="AE6" s="12">
        <f t="shared" ref="AE6:AH6" si="41">SUM(AE3:AE5)</f>
        <v>60002.8</v>
      </c>
      <c r="AF6" s="12">
        <f t="shared" si="41"/>
        <v>63957.3</v>
      </c>
      <c r="AG6" s="12">
        <f t="shared" si="41"/>
        <v>65611.700000000012</v>
      </c>
      <c r="AH6" s="12">
        <f t="shared" si="41"/>
        <v>72068.700000000012</v>
      </c>
      <c r="AO6" s="12">
        <f t="shared" ref="AO6:BA6" si="42">SUM(AO3:AO5)</f>
        <v>95375</v>
      </c>
      <c r="AP6" s="12">
        <f t="shared" si="42"/>
        <v>116201</v>
      </c>
      <c r="AQ6" s="12">
        <f t="shared" si="42"/>
        <v>135171</v>
      </c>
      <c r="AR6" s="12">
        <f t="shared" si="42"/>
        <v>146924</v>
      </c>
      <c r="AS6" s="12">
        <f t="shared" si="42"/>
        <v>209497</v>
      </c>
      <c r="AT6" s="12">
        <f t="shared" si="42"/>
        <v>224473</v>
      </c>
      <c r="AU6" s="12">
        <f t="shared" si="42"/>
        <v>237855</v>
      </c>
      <c r="AV6" s="12">
        <f t="shared" si="42"/>
        <v>261640.5</v>
      </c>
      <c r="AW6" s="12">
        <f>SUM(AW3:AW5)</f>
        <v>311319.99488774611</v>
      </c>
      <c r="AX6" s="12">
        <f t="shared" si="42"/>
        <v>365921.13788752333</v>
      </c>
      <c r="AY6" s="12">
        <f t="shared" si="42"/>
        <v>430787.08143946494</v>
      </c>
      <c r="AZ6" s="12">
        <f t="shared" si="42"/>
        <v>502831.50828018587</v>
      </c>
      <c r="BA6" s="12">
        <f t="shared" si="42"/>
        <v>572013.92283517832</v>
      </c>
    </row>
    <row r="7" spans="2:53" x14ac:dyDescent="0.25">
      <c r="B7" s="23" t="s">
        <v>95</v>
      </c>
      <c r="C7" s="12">
        <v>0</v>
      </c>
      <c r="D7" s="12">
        <v>0</v>
      </c>
      <c r="E7" s="12">
        <v>0</v>
      </c>
      <c r="F7" s="12">
        <v>0</v>
      </c>
      <c r="G7" s="12">
        <v>0</v>
      </c>
      <c r="H7" s="12">
        <v>0</v>
      </c>
      <c r="I7" s="12">
        <v>0</v>
      </c>
      <c r="J7" s="12">
        <v>0</v>
      </c>
      <c r="K7" s="12">
        <v>0</v>
      </c>
      <c r="L7" s="12">
        <v>0</v>
      </c>
      <c r="M7" s="12">
        <v>0</v>
      </c>
      <c r="N7" s="12">
        <v>0</v>
      </c>
      <c r="O7" s="12">
        <v>4435</v>
      </c>
      <c r="P7" s="12">
        <v>5124</v>
      </c>
      <c r="Q7" s="12">
        <v>5478</v>
      </c>
      <c r="R7" s="12">
        <v>6674</v>
      </c>
      <c r="S7" s="12">
        <v>6494</v>
      </c>
      <c r="T7" s="12">
        <v>6623</v>
      </c>
      <c r="U7" s="12">
        <v>6754</v>
      </c>
      <c r="V7" s="12">
        <v>8161</v>
      </c>
      <c r="W7" s="12">
        <v>6811</v>
      </c>
      <c r="X7" s="12">
        <v>6553</v>
      </c>
      <c r="Y7" s="12">
        <v>6895</v>
      </c>
      <c r="Z7" s="12">
        <v>8796</v>
      </c>
      <c r="AA7" s="12">
        <v>7413</v>
      </c>
      <c r="AB7" s="12">
        <v>8142</v>
      </c>
      <c r="AC7" s="12">
        <v>8339</v>
      </c>
      <c r="AD7" s="12">
        <v>10794</v>
      </c>
      <c r="AE7" s="12">
        <f>AA7*1.1</f>
        <v>8154.3000000000011</v>
      </c>
      <c r="AF7" s="12">
        <f t="shared" ref="AF7:AH7" si="43">AB7*1.1</f>
        <v>8956.2000000000007</v>
      </c>
      <c r="AG7" s="12">
        <f t="shared" si="43"/>
        <v>9172.9000000000015</v>
      </c>
      <c r="AH7" s="12">
        <f t="shared" si="43"/>
        <v>11873.400000000001</v>
      </c>
      <c r="AO7" s="12">
        <f>SUM(C7:F7)</f>
        <v>0</v>
      </c>
      <c r="AP7" s="12">
        <f>SUM(G7:J7)</f>
        <v>0</v>
      </c>
      <c r="AQ7" s="12">
        <f>SUM(K7:N7)</f>
        <v>0</v>
      </c>
      <c r="AR7" s="12">
        <f>SUM(O7:R7)</f>
        <v>21711</v>
      </c>
      <c r="AS7" s="12">
        <f>SUM(S7:V7)</f>
        <v>28032</v>
      </c>
      <c r="AT7" s="12">
        <f>SUM(W7:Z7)</f>
        <v>29055</v>
      </c>
      <c r="AU7" s="12">
        <f>SUM(AA7:AD7)</f>
        <v>34688</v>
      </c>
      <c r="AV7" s="12">
        <f>SUM(AE7:AH7)</f>
        <v>38156.800000000003</v>
      </c>
      <c r="AW7" s="12">
        <f>AV7*1.1</f>
        <v>41972.480000000003</v>
      </c>
      <c r="AX7" s="12">
        <f t="shared" ref="AX7:BA7" si="44">AW7*1.1</f>
        <v>46169.72800000001</v>
      </c>
      <c r="AY7" s="12">
        <f t="shared" si="44"/>
        <v>50786.700800000013</v>
      </c>
      <c r="AZ7" s="12">
        <f t="shared" si="44"/>
        <v>55865.370880000017</v>
      </c>
      <c r="BA7" s="12">
        <f t="shared" si="44"/>
        <v>61451.907968000021</v>
      </c>
    </row>
    <row r="8" spans="2:53" s="23" customFormat="1" x14ac:dyDescent="0.25">
      <c r="B8" s="23" t="s">
        <v>97</v>
      </c>
      <c r="C8" s="23">
        <f t="shared" ref="C8:AC8" si="45">+C6+C7</f>
        <v>21411</v>
      </c>
      <c r="D8" s="23">
        <f t="shared" si="45"/>
        <v>22672</v>
      </c>
      <c r="E8" s="23">
        <f t="shared" si="45"/>
        <v>24065</v>
      </c>
      <c r="F8" s="23">
        <f t="shared" si="45"/>
        <v>27227</v>
      </c>
      <c r="G8" s="23">
        <f t="shared" si="45"/>
        <v>26642</v>
      </c>
      <c r="H8" s="23">
        <f t="shared" si="45"/>
        <v>28087</v>
      </c>
      <c r="I8" s="23">
        <f t="shared" si="45"/>
        <v>28954</v>
      </c>
      <c r="J8" s="23">
        <f t="shared" si="45"/>
        <v>32518</v>
      </c>
      <c r="K8" s="23">
        <f t="shared" si="45"/>
        <v>30720</v>
      </c>
      <c r="L8" s="23">
        <f t="shared" ref="L8" si="46">+L6+L7</f>
        <v>32601</v>
      </c>
      <c r="M8" s="23">
        <f t="shared" ref="M8" si="47">+M6+M7</f>
        <v>33916</v>
      </c>
      <c r="N8" s="23">
        <f t="shared" si="45"/>
        <v>37934</v>
      </c>
      <c r="O8" s="23">
        <f t="shared" si="45"/>
        <v>38198</v>
      </c>
      <c r="P8" s="23">
        <f t="shared" si="45"/>
        <v>34991</v>
      </c>
      <c r="Q8" s="23">
        <f t="shared" si="45"/>
        <v>42573</v>
      </c>
      <c r="R8" s="23">
        <f t="shared" si="45"/>
        <v>52873</v>
      </c>
      <c r="S8" s="23">
        <f t="shared" si="45"/>
        <v>51178</v>
      </c>
      <c r="T8" s="23">
        <f t="shared" si="45"/>
        <v>57067</v>
      </c>
      <c r="U8" s="23">
        <f t="shared" si="45"/>
        <v>59884</v>
      </c>
      <c r="V8" s="23">
        <f t="shared" si="45"/>
        <v>69400</v>
      </c>
      <c r="W8" s="23">
        <f t="shared" si="45"/>
        <v>61472</v>
      </c>
      <c r="X8" s="23">
        <f t="shared" si="45"/>
        <v>62841</v>
      </c>
      <c r="Y8" s="23">
        <f t="shared" si="45"/>
        <v>61377</v>
      </c>
      <c r="Z8" s="23">
        <f t="shared" si="45"/>
        <v>67838</v>
      </c>
      <c r="AA8" s="23">
        <f t="shared" si="45"/>
        <v>61961</v>
      </c>
      <c r="AB8" s="23">
        <f t="shared" si="45"/>
        <v>66285</v>
      </c>
      <c r="AC8" s="23">
        <f t="shared" si="45"/>
        <v>67986</v>
      </c>
      <c r="AD8" s="23">
        <f>+AD6+AD7</f>
        <v>76311</v>
      </c>
      <c r="AE8" s="23">
        <f t="shared" ref="AE8:AH8" si="48">+AE6+AE7</f>
        <v>68157.100000000006</v>
      </c>
      <c r="AF8" s="23">
        <f t="shared" si="48"/>
        <v>72913.5</v>
      </c>
      <c r="AG8" s="23">
        <f t="shared" si="48"/>
        <v>74784.600000000006</v>
      </c>
      <c r="AH8" s="23">
        <f t="shared" si="48"/>
        <v>83942.1</v>
      </c>
      <c r="AO8" s="23">
        <f t="shared" ref="AO8:BA8" si="49">+AO6+AO7</f>
        <v>95375</v>
      </c>
      <c r="AP8" s="23">
        <f t="shared" si="49"/>
        <v>116201</v>
      </c>
      <c r="AQ8" s="23">
        <f t="shared" si="49"/>
        <v>135171</v>
      </c>
      <c r="AR8" s="23">
        <f t="shared" si="49"/>
        <v>168635</v>
      </c>
      <c r="AS8" s="23">
        <f t="shared" si="49"/>
        <v>237529</v>
      </c>
      <c r="AT8" s="23">
        <f t="shared" si="49"/>
        <v>253528</v>
      </c>
      <c r="AU8" s="23">
        <f t="shared" si="49"/>
        <v>272543</v>
      </c>
      <c r="AV8" s="23">
        <f t="shared" si="49"/>
        <v>299797.3</v>
      </c>
      <c r="AW8" s="23">
        <f t="shared" si="49"/>
        <v>353292.4748877461</v>
      </c>
      <c r="AX8" s="23">
        <f t="shared" si="49"/>
        <v>412090.86588752334</v>
      </c>
      <c r="AY8" s="23">
        <f t="shared" si="49"/>
        <v>481573.78223946493</v>
      </c>
      <c r="AZ8" s="23">
        <f t="shared" si="49"/>
        <v>558696.87916018593</v>
      </c>
      <c r="BA8" s="23">
        <f t="shared" si="49"/>
        <v>633465.83080317837</v>
      </c>
    </row>
    <row r="9" spans="2:53" x14ac:dyDescent="0.25">
      <c r="B9" s="23" t="s">
        <v>89</v>
      </c>
      <c r="J9" s="12">
        <v>1709</v>
      </c>
      <c r="N9" s="12">
        <v>2614</v>
      </c>
      <c r="O9" s="12">
        <v>2777</v>
      </c>
      <c r="P9" s="12">
        <v>3007</v>
      </c>
      <c r="Q9" s="12">
        <v>3444</v>
      </c>
      <c r="R9" s="12">
        <v>3831</v>
      </c>
      <c r="S9" s="12">
        <v>4047</v>
      </c>
      <c r="T9" s="12">
        <v>4628</v>
      </c>
      <c r="U9" s="12">
        <v>4990</v>
      </c>
      <c r="V9" s="12">
        <v>5541</v>
      </c>
      <c r="W9" s="12">
        <v>5821</v>
      </c>
      <c r="X9" s="12">
        <v>6276</v>
      </c>
      <c r="Y9" s="12">
        <v>6868</v>
      </c>
      <c r="Z9" s="12">
        <v>7315</v>
      </c>
      <c r="AA9" s="12">
        <v>7454</v>
      </c>
      <c r="AB9" s="12">
        <v>8031</v>
      </c>
      <c r="AC9" s="12">
        <v>8411</v>
      </c>
      <c r="AD9" s="12">
        <v>9192</v>
      </c>
      <c r="AE9" s="12">
        <f>AA9*1.2</f>
        <v>8944.7999999999993</v>
      </c>
      <c r="AF9" s="12">
        <f t="shared" ref="AF9:AH9" si="50">AB9*1.2</f>
        <v>9637.1999999999989</v>
      </c>
      <c r="AG9" s="12">
        <f t="shared" si="50"/>
        <v>10093.199999999999</v>
      </c>
      <c r="AH9" s="12">
        <f t="shared" si="50"/>
        <v>11030.4</v>
      </c>
      <c r="AO9" s="12">
        <f t="shared" ref="AO9:AO11" si="51">SUM(C9:F9)</f>
        <v>0</v>
      </c>
      <c r="AP9" s="12">
        <f t="shared" ref="AP9:AP11" si="52">SUM(G9:J9)</f>
        <v>1709</v>
      </c>
      <c r="AQ9" s="12">
        <f t="shared" ref="AQ9:AQ11" si="53">SUM(K9:N9)</f>
        <v>2614</v>
      </c>
      <c r="AR9" s="12">
        <f t="shared" ref="AR9:AR11" si="54">SUM(O9:R9)</f>
        <v>13059</v>
      </c>
      <c r="AS9" s="12">
        <f t="shared" ref="AS9:AS11" si="55">SUM(S9:V9)</f>
        <v>19206</v>
      </c>
      <c r="AT9" s="12">
        <f t="shared" ref="AT9:AT11" si="56">SUM(W9:Z9)</f>
        <v>26280</v>
      </c>
      <c r="AU9" s="12">
        <f t="shared" ref="AU9:AU11" si="57">SUM(AA9:AD9)</f>
        <v>33088</v>
      </c>
      <c r="AV9" s="12">
        <f t="shared" ref="AV9:AV11" si="58">SUM(AE9:AH9)</f>
        <v>39705.599999999999</v>
      </c>
      <c r="AW9" s="12">
        <f>AV9*(1+AVERAGE($AS$29:$AU$29))</f>
        <v>54239.021856395084</v>
      </c>
      <c r="AX9" s="12">
        <f t="shared" ref="AX9:BA9" si="59">AW9*(1+AVERAGE($AS$29:$AU$29))</f>
        <v>74092.105192680727</v>
      </c>
      <c r="AY9" s="12">
        <f t="shared" si="59"/>
        <v>101212.00316660959</v>
      </c>
      <c r="AZ9" s="12">
        <f t="shared" si="59"/>
        <v>138258.58447884597</v>
      </c>
      <c r="BA9" s="12">
        <f t="shared" si="59"/>
        <v>188865.30830367436</v>
      </c>
    </row>
    <row r="10" spans="2:53" x14ac:dyDescent="0.25">
      <c r="B10" s="23" t="s">
        <v>90</v>
      </c>
      <c r="C10" s="12">
        <f>3207+132</f>
        <v>3339</v>
      </c>
      <c r="D10" s="12">
        <f>3241+97</f>
        <v>3338</v>
      </c>
      <c r="E10" s="12">
        <f>3590+117</f>
        <v>3707</v>
      </c>
      <c r="F10" s="12">
        <f>4965+131</f>
        <v>5096</v>
      </c>
      <c r="G10" s="12">
        <f>4354+150</f>
        <v>4504</v>
      </c>
      <c r="H10" s="12">
        <f>4425+145</f>
        <v>4570</v>
      </c>
      <c r="I10" s="12">
        <f>4640+146</f>
        <v>4786</v>
      </c>
      <c r="J10" s="12">
        <f>4771+154</f>
        <v>4925</v>
      </c>
      <c r="K10" s="12">
        <f>5449+170</f>
        <v>5619</v>
      </c>
      <c r="L10" s="12">
        <f>6181+162</f>
        <v>6343</v>
      </c>
      <c r="M10" s="12">
        <f>6428+155</f>
        <v>6583</v>
      </c>
      <c r="N10" s="12">
        <f>5264+172</f>
        <v>5436</v>
      </c>
      <c r="O10" s="12">
        <v>135</v>
      </c>
      <c r="P10" s="12">
        <v>148</v>
      </c>
      <c r="Q10" s="12">
        <v>178</v>
      </c>
      <c r="R10" s="12">
        <v>196</v>
      </c>
      <c r="S10" s="12">
        <v>198</v>
      </c>
      <c r="T10" s="12">
        <v>192</v>
      </c>
      <c r="U10" s="12">
        <v>182</v>
      </c>
      <c r="V10" s="12">
        <v>181</v>
      </c>
      <c r="W10" s="12">
        <v>440</v>
      </c>
      <c r="X10" s="12">
        <v>193</v>
      </c>
      <c r="Y10" s="12">
        <v>209</v>
      </c>
      <c r="Z10" s="12">
        <v>226</v>
      </c>
      <c r="AA10" s="12">
        <v>288</v>
      </c>
      <c r="AB10" s="12">
        <v>285</v>
      </c>
      <c r="AC10" s="12">
        <v>297</v>
      </c>
      <c r="AD10" s="12">
        <v>657</v>
      </c>
      <c r="AE10" s="12">
        <f>AA10*1.1</f>
        <v>316.8</v>
      </c>
      <c r="AF10" s="12">
        <f t="shared" ref="AF10:AH10" si="60">AB10*1.1</f>
        <v>313.5</v>
      </c>
      <c r="AG10" s="12">
        <f t="shared" si="60"/>
        <v>326.70000000000005</v>
      </c>
      <c r="AH10" s="12">
        <f t="shared" si="60"/>
        <v>722.7</v>
      </c>
      <c r="AO10" s="12">
        <f t="shared" si="51"/>
        <v>15480</v>
      </c>
      <c r="AP10" s="12">
        <f t="shared" si="52"/>
        <v>18785</v>
      </c>
      <c r="AQ10" s="12">
        <f t="shared" si="53"/>
        <v>23981</v>
      </c>
      <c r="AR10" s="12">
        <f t="shared" si="54"/>
        <v>657</v>
      </c>
      <c r="AS10" s="12">
        <f t="shared" si="55"/>
        <v>753</v>
      </c>
      <c r="AT10" s="12">
        <f t="shared" si="56"/>
        <v>1068</v>
      </c>
      <c r="AU10" s="12">
        <f t="shared" si="57"/>
        <v>1527</v>
      </c>
      <c r="AV10" s="12">
        <f t="shared" si="58"/>
        <v>1679.7</v>
      </c>
      <c r="AW10" s="12">
        <f>AV10*1.1</f>
        <v>1847.6700000000003</v>
      </c>
      <c r="AX10" s="12">
        <f t="shared" ref="AX10:BA10" si="61">AW10*1.1</f>
        <v>2032.4370000000006</v>
      </c>
      <c r="AY10" s="12">
        <f t="shared" si="61"/>
        <v>2235.6807000000008</v>
      </c>
      <c r="AZ10" s="12">
        <f t="shared" si="61"/>
        <v>2459.2487700000011</v>
      </c>
      <c r="BA10" s="12">
        <f t="shared" si="61"/>
        <v>2705.1736470000014</v>
      </c>
    </row>
    <row r="11" spans="2:53" x14ac:dyDescent="0.25">
      <c r="B11" s="23" t="s">
        <v>91</v>
      </c>
      <c r="J11" s="12">
        <v>124</v>
      </c>
      <c r="N11" s="12">
        <v>91</v>
      </c>
      <c r="O11" s="12">
        <v>49</v>
      </c>
      <c r="P11" s="12">
        <v>151</v>
      </c>
      <c r="Q11" s="12">
        <v>-22</v>
      </c>
      <c r="R11" s="12">
        <v>-2</v>
      </c>
      <c r="S11" s="12">
        <v>-109</v>
      </c>
      <c r="T11" s="12">
        <v>-7</v>
      </c>
      <c r="U11" s="12">
        <v>62</v>
      </c>
      <c r="V11" s="12">
        <v>203</v>
      </c>
      <c r="W11" s="12">
        <v>278</v>
      </c>
      <c r="X11" s="12">
        <v>375</v>
      </c>
      <c r="Y11" s="12">
        <v>638</v>
      </c>
      <c r="Z11" s="12">
        <v>669</v>
      </c>
      <c r="AA11" s="12">
        <v>84</v>
      </c>
      <c r="AB11" s="12">
        <v>3</v>
      </c>
      <c r="AC11" s="12">
        <v>-1</v>
      </c>
      <c r="AD11" s="12">
        <v>150</v>
      </c>
      <c r="AE11" s="12">
        <v>0</v>
      </c>
      <c r="AF11" s="12">
        <v>0</v>
      </c>
      <c r="AG11" s="12">
        <v>0</v>
      </c>
      <c r="AH11" s="12">
        <v>0</v>
      </c>
      <c r="AO11" s="12">
        <f t="shared" si="51"/>
        <v>0</v>
      </c>
      <c r="AP11" s="12">
        <f t="shared" si="52"/>
        <v>124</v>
      </c>
      <c r="AQ11" s="12">
        <f t="shared" si="53"/>
        <v>91</v>
      </c>
      <c r="AR11" s="12">
        <f t="shared" si="54"/>
        <v>176</v>
      </c>
      <c r="AS11" s="12">
        <f t="shared" si="55"/>
        <v>149</v>
      </c>
      <c r="AT11" s="12">
        <f t="shared" si="56"/>
        <v>1960</v>
      </c>
      <c r="AU11" s="12">
        <f t="shared" si="57"/>
        <v>236</v>
      </c>
      <c r="AV11" s="12">
        <f t="shared" si="58"/>
        <v>0</v>
      </c>
      <c r="AW11" s="12">
        <f>AV11</f>
        <v>0</v>
      </c>
      <c r="AX11" s="12">
        <f t="shared" ref="AX11:BA11" si="62">AW11</f>
        <v>0</v>
      </c>
      <c r="AY11" s="12">
        <f t="shared" si="62"/>
        <v>0</v>
      </c>
      <c r="AZ11" s="12">
        <f t="shared" si="62"/>
        <v>0</v>
      </c>
      <c r="BA11" s="12">
        <f t="shared" si="62"/>
        <v>0</v>
      </c>
    </row>
    <row r="12" spans="2:53" s="14" customFormat="1" x14ac:dyDescent="0.25">
      <c r="B12" s="14" t="s">
        <v>98</v>
      </c>
      <c r="C12" s="14">
        <f t="shared" ref="C12:AC12" si="63">SUM(C8:C11)</f>
        <v>24750</v>
      </c>
      <c r="D12" s="14">
        <f t="shared" si="63"/>
        <v>26010</v>
      </c>
      <c r="E12" s="14">
        <f t="shared" si="63"/>
        <v>27772</v>
      </c>
      <c r="F12" s="14">
        <f t="shared" si="63"/>
        <v>32323</v>
      </c>
      <c r="G12" s="14">
        <f t="shared" si="63"/>
        <v>31146</v>
      </c>
      <c r="H12" s="14">
        <f t="shared" si="63"/>
        <v>32657</v>
      </c>
      <c r="I12" s="14">
        <f t="shared" si="63"/>
        <v>33740</v>
      </c>
      <c r="J12" s="14">
        <f t="shared" si="63"/>
        <v>39276</v>
      </c>
      <c r="K12" s="14">
        <f t="shared" ref="K12" si="64">SUM(K8:K11)</f>
        <v>36339</v>
      </c>
      <c r="L12" s="14">
        <f t="shared" ref="L12" si="65">SUM(L8:L11)</f>
        <v>38944</v>
      </c>
      <c r="M12" s="14">
        <f t="shared" ref="M12" si="66">SUM(M8:M11)</f>
        <v>40499</v>
      </c>
      <c r="N12" s="14">
        <f t="shared" si="63"/>
        <v>46075</v>
      </c>
      <c r="O12" s="14">
        <f t="shared" si="63"/>
        <v>41159</v>
      </c>
      <c r="P12" s="14">
        <f t="shared" si="63"/>
        <v>38297</v>
      </c>
      <c r="Q12" s="14">
        <f t="shared" si="63"/>
        <v>46173</v>
      </c>
      <c r="R12" s="14">
        <f t="shared" si="63"/>
        <v>56898</v>
      </c>
      <c r="S12" s="14">
        <f t="shared" si="63"/>
        <v>55314</v>
      </c>
      <c r="T12" s="14">
        <f t="shared" si="63"/>
        <v>61880</v>
      </c>
      <c r="U12" s="14">
        <f t="shared" si="63"/>
        <v>65118</v>
      </c>
      <c r="V12" s="14">
        <f t="shared" si="63"/>
        <v>75325</v>
      </c>
      <c r="W12" s="14">
        <f t="shared" si="63"/>
        <v>68011</v>
      </c>
      <c r="X12" s="14">
        <f t="shared" si="63"/>
        <v>69685</v>
      </c>
      <c r="Y12" s="14">
        <f t="shared" si="63"/>
        <v>69092</v>
      </c>
      <c r="Z12" s="14">
        <f t="shared" si="63"/>
        <v>76048</v>
      </c>
      <c r="AA12" s="14">
        <f t="shared" si="63"/>
        <v>69787</v>
      </c>
      <c r="AB12" s="14">
        <f t="shared" si="63"/>
        <v>74604</v>
      </c>
      <c r="AC12" s="14">
        <f t="shared" si="63"/>
        <v>76693</v>
      </c>
      <c r="AD12" s="14">
        <f>SUM(AD8:AD11)</f>
        <v>86310</v>
      </c>
      <c r="AE12" s="14">
        <f t="shared" ref="AE12:AH12" si="67">SUM(AE8:AE11)</f>
        <v>77418.700000000012</v>
      </c>
      <c r="AF12" s="14">
        <f t="shared" si="67"/>
        <v>82864.2</v>
      </c>
      <c r="AG12" s="14">
        <f t="shared" si="67"/>
        <v>85204.5</v>
      </c>
      <c r="AH12" s="14">
        <f t="shared" si="67"/>
        <v>95695.2</v>
      </c>
      <c r="AO12" s="14">
        <f t="shared" ref="AO12:BA12" si="68">SUM(AO8:AO11)</f>
        <v>110855</v>
      </c>
      <c r="AP12" s="14">
        <f t="shared" si="68"/>
        <v>136819</v>
      </c>
      <c r="AQ12" s="14">
        <f t="shared" si="68"/>
        <v>161857</v>
      </c>
      <c r="AR12" s="14">
        <f t="shared" si="68"/>
        <v>182527</v>
      </c>
      <c r="AS12" s="14">
        <f t="shared" si="68"/>
        <v>257637</v>
      </c>
      <c r="AT12" s="14">
        <f t="shared" si="68"/>
        <v>282836</v>
      </c>
      <c r="AU12" s="14">
        <f t="shared" si="68"/>
        <v>307394</v>
      </c>
      <c r="AV12" s="14">
        <f>SUM(AV8:AV11)</f>
        <v>341182.6</v>
      </c>
      <c r="AW12" s="14">
        <f t="shared" si="68"/>
        <v>409379.16674414114</v>
      </c>
      <c r="AX12" s="14">
        <f t="shared" si="68"/>
        <v>488215.40808020404</v>
      </c>
      <c r="AY12" s="14">
        <f t="shared" si="68"/>
        <v>585021.46610607451</v>
      </c>
      <c r="AZ12" s="14">
        <f t="shared" si="68"/>
        <v>699414.71240903181</v>
      </c>
      <c r="BA12" s="14">
        <f t="shared" si="68"/>
        <v>825036.31275385269</v>
      </c>
    </row>
    <row r="13" spans="2:53" x14ac:dyDescent="0.25">
      <c r="B13" s="12" t="s">
        <v>9</v>
      </c>
      <c r="C13" s="12">
        <v>9795</v>
      </c>
      <c r="D13" s="12">
        <v>10373</v>
      </c>
      <c r="E13" s="12">
        <v>11148</v>
      </c>
      <c r="F13" s="12">
        <v>14267</v>
      </c>
      <c r="G13" s="12">
        <v>13467</v>
      </c>
      <c r="H13" s="12">
        <v>13883</v>
      </c>
      <c r="I13" s="12">
        <v>14281</v>
      </c>
      <c r="J13" s="12">
        <v>17918</v>
      </c>
      <c r="K13" s="12">
        <v>16012</v>
      </c>
      <c r="L13" s="12">
        <v>17296</v>
      </c>
      <c r="M13" s="12">
        <v>17568</v>
      </c>
      <c r="N13" s="12">
        <v>21020</v>
      </c>
      <c r="O13" s="12">
        <v>18982</v>
      </c>
      <c r="P13" s="12">
        <v>18553</v>
      </c>
      <c r="Q13" s="12">
        <v>21117</v>
      </c>
      <c r="R13" s="12">
        <v>26080</v>
      </c>
      <c r="S13" s="12">
        <v>24103</v>
      </c>
      <c r="T13" s="12">
        <v>26227</v>
      </c>
      <c r="U13" s="12">
        <v>27621</v>
      </c>
      <c r="V13" s="12">
        <v>32988</v>
      </c>
      <c r="W13" s="12">
        <v>29599</v>
      </c>
      <c r="X13" s="12">
        <v>30104</v>
      </c>
      <c r="Y13" s="12">
        <v>31158</v>
      </c>
      <c r="Z13" s="12">
        <v>35342</v>
      </c>
      <c r="AA13" s="12">
        <v>30612</v>
      </c>
      <c r="AB13" s="12">
        <v>31916</v>
      </c>
      <c r="AC13" s="12">
        <v>33229</v>
      </c>
      <c r="AD13" s="12">
        <v>37575</v>
      </c>
      <c r="AE13" s="12">
        <f>AA13*1.08</f>
        <v>33060.959999999999</v>
      </c>
      <c r="AF13" s="12">
        <f>AB13*1.1</f>
        <v>35107.600000000006</v>
      </c>
      <c r="AG13" s="12">
        <f>AC13*1.1</f>
        <v>36551.9</v>
      </c>
      <c r="AH13" s="12">
        <f>AD13*1.1</f>
        <v>41332.5</v>
      </c>
      <c r="AO13" s="12">
        <f>SUM(C13:F13)</f>
        <v>45583</v>
      </c>
      <c r="AP13" s="12">
        <f>SUM(G13:J13)</f>
        <v>59549</v>
      </c>
      <c r="AQ13" s="12">
        <f>SUM(K13:N13)</f>
        <v>71896</v>
      </c>
      <c r="AR13" s="12">
        <f>SUM(O13:R13)</f>
        <v>84732</v>
      </c>
      <c r="AS13" s="12">
        <f>SUM(S13:V13)</f>
        <v>110939</v>
      </c>
      <c r="AT13" s="12">
        <f>SUM(W13:Z13)</f>
        <v>126203</v>
      </c>
      <c r="AU13" s="12">
        <f>SUM(AA13:AD13)</f>
        <v>133332</v>
      </c>
      <c r="AV13" s="12">
        <f>SUM(AE13:AH13)</f>
        <v>146052.96</v>
      </c>
      <c r="AW13" s="12">
        <f>AW12-AW14</f>
        <v>179273.09929133492</v>
      </c>
      <c r="AX13" s="12">
        <f t="shared" ref="AX13:BA13" si="69">AX12-AX14</f>
        <v>213796.63753877289</v>
      </c>
      <c r="AY13" s="12">
        <f t="shared" si="69"/>
        <v>256189.42022602959</v>
      </c>
      <c r="AZ13" s="12">
        <f t="shared" si="69"/>
        <v>306283.88879859698</v>
      </c>
      <c r="BA13" s="12">
        <f t="shared" si="69"/>
        <v>361295.41713518341</v>
      </c>
    </row>
    <row r="14" spans="2:53" s="14" customFormat="1" x14ac:dyDescent="0.25">
      <c r="B14" s="14" t="s">
        <v>10</v>
      </c>
      <c r="C14" s="14">
        <f t="shared" ref="C14:AC14" si="70">+C12-C13</f>
        <v>14955</v>
      </c>
      <c r="D14" s="14">
        <f t="shared" si="70"/>
        <v>15637</v>
      </c>
      <c r="E14" s="14">
        <f t="shared" si="70"/>
        <v>16624</v>
      </c>
      <c r="F14" s="14">
        <f t="shared" si="70"/>
        <v>18056</v>
      </c>
      <c r="G14" s="14">
        <f t="shared" si="70"/>
        <v>17679</v>
      </c>
      <c r="H14" s="14">
        <f t="shared" si="70"/>
        <v>18774</v>
      </c>
      <c r="I14" s="14">
        <f t="shared" si="70"/>
        <v>19459</v>
      </c>
      <c r="J14" s="14">
        <f t="shared" si="70"/>
        <v>21358</v>
      </c>
      <c r="K14" s="14">
        <f t="shared" si="70"/>
        <v>20327</v>
      </c>
      <c r="L14" s="14">
        <f t="shared" si="70"/>
        <v>21648</v>
      </c>
      <c r="M14" s="14">
        <f t="shared" si="70"/>
        <v>22931</v>
      </c>
      <c r="N14" s="14">
        <f t="shared" si="70"/>
        <v>25055</v>
      </c>
      <c r="O14" s="14">
        <f t="shared" si="70"/>
        <v>22177</v>
      </c>
      <c r="P14" s="14">
        <f t="shared" si="70"/>
        <v>19744</v>
      </c>
      <c r="Q14" s="14">
        <f t="shared" si="70"/>
        <v>25056</v>
      </c>
      <c r="R14" s="14">
        <f t="shared" si="70"/>
        <v>30818</v>
      </c>
      <c r="S14" s="14">
        <f t="shared" si="70"/>
        <v>31211</v>
      </c>
      <c r="T14" s="14">
        <f t="shared" si="70"/>
        <v>35653</v>
      </c>
      <c r="U14" s="14">
        <f t="shared" si="70"/>
        <v>37497</v>
      </c>
      <c r="V14" s="14">
        <f t="shared" si="70"/>
        <v>42337</v>
      </c>
      <c r="W14" s="14">
        <f t="shared" si="70"/>
        <v>38412</v>
      </c>
      <c r="X14" s="14">
        <f t="shared" si="70"/>
        <v>39581</v>
      </c>
      <c r="Y14" s="14">
        <f t="shared" si="70"/>
        <v>37934</v>
      </c>
      <c r="Z14" s="14">
        <f t="shared" si="70"/>
        <v>40706</v>
      </c>
      <c r="AA14" s="14">
        <f t="shared" si="70"/>
        <v>39175</v>
      </c>
      <c r="AB14" s="14">
        <f t="shared" si="70"/>
        <v>42688</v>
      </c>
      <c r="AC14" s="14">
        <f t="shared" si="70"/>
        <v>43464</v>
      </c>
      <c r="AD14" s="14">
        <f>+AD12-AD13</f>
        <v>48735</v>
      </c>
      <c r="AE14" s="14">
        <f t="shared" ref="AE14:AH14" si="71">+AE12-AE13</f>
        <v>44357.740000000013</v>
      </c>
      <c r="AF14" s="14">
        <f t="shared" si="71"/>
        <v>47756.599999999991</v>
      </c>
      <c r="AG14" s="14">
        <f t="shared" si="71"/>
        <v>48652.6</v>
      </c>
      <c r="AH14" s="14">
        <f t="shared" si="71"/>
        <v>54362.7</v>
      </c>
      <c r="AO14" s="14">
        <f>AO12-AO13</f>
        <v>65272</v>
      </c>
      <c r="AP14" s="14">
        <f t="shared" ref="AP14:BA14" si="72">AP12-AP13</f>
        <v>77270</v>
      </c>
      <c r="AQ14" s="14">
        <f t="shared" si="72"/>
        <v>89961</v>
      </c>
      <c r="AR14" s="14">
        <f t="shared" si="72"/>
        <v>97795</v>
      </c>
      <c r="AS14" s="14">
        <f t="shared" si="72"/>
        <v>146698</v>
      </c>
      <c r="AT14" s="14">
        <f t="shared" si="72"/>
        <v>156633</v>
      </c>
      <c r="AU14" s="14">
        <f t="shared" si="72"/>
        <v>174062</v>
      </c>
      <c r="AV14" s="14">
        <f t="shared" si="72"/>
        <v>195129.63999999998</v>
      </c>
      <c r="AW14" s="14">
        <f>AVERAGE($AO$40:$AU$40)*AW12</f>
        <v>230106.06745280622</v>
      </c>
      <c r="AX14" s="14">
        <f t="shared" ref="AX14:BA14" si="73">AVERAGE($AO$40:$AU$40)*AX12</f>
        <v>274418.77054143115</v>
      </c>
      <c r="AY14" s="14">
        <f t="shared" si="73"/>
        <v>328832.04588004493</v>
      </c>
      <c r="AZ14" s="14">
        <f t="shared" si="73"/>
        <v>393130.82361043483</v>
      </c>
      <c r="BA14" s="14">
        <f t="shared" si="73"/>
        <v>463740.89561866928</v>
      </c>
    </row>
    <row r="15" spans="2:53" x14ac:dyDescent="0.25">
      <c r="B15" s="12" t="s">
        <v>11</v>
      </c>
      <c r="C15" s="12">
        <v>3942</v>
      </c>
      <c r="D15" s="12">
        <v>4172</v>
      </c>
      <c r="E15" s="12">
        <v>4205</v>
      </c>
      <c r="F15" s="12">
        <v>4306</v>
      </c>
      <c r="G15" s="12">
        <v>5039</v>
      </c>
      <c r="H15" s="12">
        <v>5114</v>
      </c>
      <c r="I15" s="12">
        <v>5232</v>
      </c>
      <c r="J15" s="12">
        <v>6034</v>
      </c>
      <c r="K15" s="12">
        <v>6029</v>
      </c>
      <c r="L15" s="12">
        <v>6213</v>
      </c>
      <c r="M15" s="12">
        <v>6554</v>
      </c>
      <c r="N15" s="12">
        <v>7222</v>
      </c>
      <c r="O15" s="12">
        <v>6820</v>
      </c>
      <c r="P15" s="12">
        <v>6875</v>
      </c>
      <c r="Q15" s="12">
        <v>6856</v>
      </c>
      <c r="R15" s="12">
        <v>7022</v>
      </c>
      <c r="S15" s="12">
        <v>7485</v>
      </c>
      <c r="T15" s="12">
        <v>7675</v>
      </c>
      <c r="U15" s="12">
        <v>7694</v>
      </c>
      <c r="V15" s="12">
        <v>8708</v>
      </c>
      <c r="W15" s="12">
        <v>9119</v>
      </c>
      <c r="X15" s="12">
        <v>9841</v>
      </c>
      <c r="Y15" s="12">
        <v>10273</v>
      </c>
      <c r="Z15" s="12">
        <v>10267</v>
      </c>
      <c r="AA15" s="12">
        <v>11468</v>
      </c>
      <c r="AB15" s="12">
        <v>10588</v>
      </c>
      <c r="AC15" s="12">
        <v>11258</v>
      </c>
      <c r="AD15" s="12">
        <v>12113</v>
      </c>
      <c r="AE15" s="12">
        <f>AA15*1.27</f>
        <v>14564.36</v>
      </c>
      <c r="AF15" s="12">
        <f t="shared" ref="AF15:AH15" si="74">AB15*1.27</f>
        <v>13446.76</v>
      </c>
      <c r="AG15" s="12">
        <f t="shared" si="74"/>
        <v>14297.66</v>
      </c>
      <c r="AH15" s="12">
        <f t="shared" si="74"/>
        <v>15383.51</v>
      </c>
      <c r="AO15" s="12">
        <f t="shared" ref="AO15:AO17" si="75">SUM(C15:F15)</f>
        <v>16625</v>
      </c>
      <c r="AP15" s="12">
        <f t="shared" ref="AP15:AP17" si="76">SUM(G15:J15)</f>
        <v>21419</v>
      </c>
      <c r="AQ15" s="12">
        <f t="shared" ref="AQ15:AQ17" si="77">SUM(K15:N15)</f>
        <v>26018</v>
      </c>
      <c r="AR15" s="12">
        <f t="shared" ref="AR15:AR17" si="78">SUM(O15:R15)</f>
        <v>27573</v>
      </c>
      <c r="AS15" s="12">
        <f t="shared" ref="AS15:AS17" si="79">SUM(S15:V15)</f>
        <v>31562</v>
      </c>
      <c r="AT15" s="12">
        <f t="shared" ref="AT15:AT17" si="80">SUM(W15:Z15)</f>
        <v>39500</v>
      </c>
      <c r="AU15" s="12">
        <f t="shared" ref="AU15:AU17" si="81">SUM(AA15:AD15)</f>
        <v>45427</v>
      </c>
      <c r="AV15" s="12">
        <f t="shared" ref="AV15:AV17" si="82">SUM(AE15:AH15)</f>
        <v>57692.29</v>
      </c>
      <c r="AW15" s="12">
        <f>AV15*(1+AVERAGE($AP$35:$AU$35))</f>
        <v>68356.414062131604</v>
      </c>
      <c r="AX15" s="12">
        <f t="shared" ref="AX15:BA15" si="83">AW15*(1+AVERAGE($AP$35:$AU$35))</f>
        <v>80991.746790317789</v>
      </c>
      <c r="AY15" s="12">
        <f t="shared" si="83"/>
        <v>95962.656001595373</v>
      </c>
      <c r="AZ15" s="12">
        <f t="shared" si="83"/>
        <v>113700.86103614455</v>
      </c>
      <c r="BA15" s="12">
        <f t="shared" si="83"/>
        <v>134717.882341082</v>
      </c>
    </row>
    <row r="16" spans="2:53" x14ac:dyDescent="0.25">
      <c r="B16" s="12" t="s">
        <v>12</v>
      </c>
      <c r="C16" s="12">
        <v>2644</v>
      </c>
      <c r="D16" s="12">
        <v>2897</v>
      </c>
      <c r="E16" s="12">
        <v>3042</v>
      </c>
      <c r="F16" s="12">
        <v>4310</v>
      </c>
      <c r="G16" s="12">
        <v>3604</v>
      </c>
      <c r="H16" s="12">
        <v>3780</v>
      </c>
      <c r="I16" s="12">
        <v>3849</v>
      </c>
      <c r="J16" s="12">
        <v>5100</v>
      </c>
      <c r="K16" s="12">
        <v>3905</v>
      </c>
      <c r="L16" s="12">
        <v>4212</v>
      </c>
      <c r="M16" s="12">
        <v>4609</v>
      </c>
      <c r="N16" s="12">
        <v>5738</v>
      </c>
      <c r="O16" s="12">
        <v>4500</v>
      </c>
      <c r="P16" s="12">
        <v>3901</v>
      </c>
      <c r="Q16" s="12">
        <v>4231</v>
      </c>
      <c r="R16" s="12">
        <v>5314</v>
      </c>
      <c r="S16" s="12">
        <v>4516</v>
      </c>
      <c r="T16" s="12">
        <v>5276</v>
      </c>
      <c r="U16" s="12">
        <v>5516</v>
      </c>
      <c r="V16" s="12">
        <v>7604</v>
      </c>
      <c r="W16" s="12">
        <v>5825</v>
      </c>
      <c r="X16" s="12">
        <v>6630</v>
      </c>
      <c r="Y16" s="12">
        <v>6929</v>
      </c>
      <c r="Z16" s="12">
        <v>7183</v>
      </c>
      <c r="AA16" s="12">
        <v>6533</v>
      </c>
      <c r="AB16" s="12">
        <v>6781</v>
      </c>
      <c r="AC16" s="12">
        <v>6884</v>
      </c>
      <c r="AD16" s="12">
        <v>7719</v>
      </c>
      <c r="AE16" s="12">
        <f>AA16*1.13</f>
        <v>7382.2899999999991</v>
      </c>
      <c r="AF16" s="12">
        <f t="shared" ref="AF16:AH16" si="84">AB16*1.13</f>
        <v>7662.5299999999988</v>
      </c>
      <c r="AG16" s="12">
        <f t="shared" si="84"/>
        <v>7778.9199999999992</v>
      </c>
      <c r="AH16" s="12">
        <f t="shared" si="84"/>
        <v>8722.4699999999993</v>
      </c>
      <c r="AO16" s="12">
        <f t="shared" si="75"/>
        <v>12893</v>
      </c>
      <c r="AP16" s="12">
        <f t="shared" si="76"/>
        <v>16333</v>
      </c>
      <c r="AQ16" s="12">
        <f t="shared" si="77"/>
        <v>18464</v>
      </c>
      <c r="AR16" s="12">
        <f t="shared" si="78"/>
        <v>17946</v>
      </c>
      <c r="AS16" s="12">
        <f t="shared" si="79"/>
        <v>22912</v>
      </c>
      <c r="AT16" s="12">
        <f t="shared" si="80"/>
        <v>26567</v>
      </c>
      <c r="AU16" s="12">
        <f t="shared" si="81"/>
        <v>27917</v>
      </c>
      <c r="AV16" s="12">
        <f t="shared" si="82"/>
        <v>31546.21</v>
      </c>
      <c r="AW16" s="12">
        <f>AV16*(1+AVERAGE($AP$36:$AU$36))</f>
        <v>36048.307730256463</v>
      </c>
      <c r="AX16" s="12">
        <f t="shared" ref="AX16:BA16" si="85">AW16*(1+AVERAGE($AP$36:$AU$36))</f>
        <v>41192.919536618436</v>
      </c>
      <c r="AY16" s="12">
        <f t="shared" si="85"/>
        <v>47071.74141564755</v>
      </c>
      <c r="AZ16" s="12">
        <f t="shared" si="85"/>
        <v>53789.555700996119</v>
      </c>
      <c r="BA16" s="12">
        <f t="shared" si="85"/>
        <v>61466.098671861975</v>
      </c>
    </row>
    <row r="17" spans="2:896" x14ac:dyDescent="0.25">
      <c r="B17" s="12" t="s">
        <v>13</v>
      </c>
      <c r="C17" s="12">
        <v>1801</v>
      </c>
      <c r="D17" s="12">
        <v>1700</v>
      </c>
      <c r="E17" s="12">
        <v>1595</v>
      </c>
      <c r="F17" s="12">
        <v>1776</v>
      </c>
      <c r="G17" s="12">
        <v>1403</v>
      </c>
      <c r="H17" s="12">
        <v>1764</v>
      </c>
      <c r="I17" s="12">
        <v>1753</v>
      </c>
      <c r="J17" s="12">
        <v>2003</v>
      </c>
      <c r="K17" s="12">
        <v>2088</v>
      </c>
      <c r="L17" s="12">
        <v>2043</v>
      </c>
      <c r="M17" s="12">
        <v>2591</v>
      </c>
      <c r="N17" s="12">
        <v>2829</v>
      </c>
      <c r="O17" s="12">
        <v>2880</v>
      </c>
      <c r="P17" s="12">
        <v>2585</v>
      </c>
      <c r="Q17" s="12">
        <v>2756</v>
      </c>
      <c r="R17" s="12">
        <v>2831</v>
      </c>
      <c r="S17" s="12">
        <v>2773</v>
      </c>
      <c r="T17" s="12">
        <v>3341</v>
      </c>
      <c r="U17" s="12">
        <v>3256</v>
      </c>
      <c r="V17" s="12">
        <v>4140</v>
      </c>
      <c r="W17" s="12">
        <v>3374</v>
      </c>
      <c r="X17" s="12">
        <v>3657</v>
      </c>
      <c r="Y17" s="12">
        <v>3597</v>
      </c>
      <c r="Z17" s="12">
        <v>5096</v>
      </c>
      <c r="AA17" s="12">
        <v>3759</v>
      </c>
      <c r="AB17" s="12">
        <v>3481</v>
      </c>
      <c r="AC17" s="12">
        <v>3979</v>
      </c>
      <c r="AD17" s="12">
        <v>5206</v>
      </c>
      <c r="AE17" s="12">
        <f>AA17*1.12</f>
        <v>4210.0800000000008</v>
      </c>
      <c r="AF17" s="12">
        <f t="shared" ref="AF17:AH17" si="86">AB17*1.12</f>
        <v>3898.7200000000003</v>
      </c>
      <c r="AG17" s="12">
        <f t="shared" si="86"/>
        <v>4456.4800000000005</v>
      </c>
      <c r="AH17" s="12">
        <f t="shared" si="86"/>
        <v>5830.72</v>
      </c>
      <c r="AO17" s="12">
        <f t="shared" si="75"/>
        <v>6872</v>
      </c>
      <c r="AP17" s="12">
        <f t="shared" si="76"/>
        <v>6923</v>
      </c>
      <c r="AQ17" s="12">
        <f t="shared" si="77"/>
        <v>9551</v>
      </c>
      <c r="AR17" s="12">
        <f t="shared" si="78"/>
        <v>11052</v>
      </c>
      <c r="AS17" s="12">
        <f t="shared" si="79"/>
        <v>13510</v>
      </c>
      <c r="AT17" s="12">
        <f t="shared" si="80"/>
        <v>15724</v>
      </c>
      <c r="AU17" s="12">
        <f t="shared" si="81"/>
        <v>16425</v>
      </c>
      <c r="AV17" s="12">
        <f t="shared" si="82"/>
        <v>18396.000000000004</v>
      </c>
      <c r="AW17" s="12">
        <f>AV17*(1+AVERAGE($AP$37:$AU$37))</f>
        <v>21385.488833354564</v>
      </c>
      <c r="AX17" s="12">
        <f t="shared" ref="AX17:BA17" si="87">AW17*(1+AVERAGE($AP$37:$AU$37))</f>
        <v>24860.792163597122</v>
      </c>
      <c r="AY17" s="12">
        <f t="shared" si="87"/>
        <v>28900.858512880775</v>
      </c>
      <c r="AZ17" s="12">
        <f t="shared" si="87"/>
        <v>33597.466134027607</v>
      </c>
      <c r="BA17" s="12">
        <f t="shared" si="87"/>
        <v>39057.307938587481</v>
      </c>
    </row>
    <row r="18" spans="2:896" s="14" customFormat="1" x14ac:dyDescent="0.25">
      <c r="B18" s="14" t="s">
        <v>14</v>
      </c>
      <c r="C18" s="14">
        <f t="shared" ref="C18:AC18" si="88">SUM(C15:C17)</f>
        <v>8387</v>
      </c>
      <c r="D18" s="14">
        <f t="shared" si="88"/>
        <v>8769</v>
      </c>
      <c r="E18" s="14">
        <f t="shared" si="88"/>
        <v>8842</v>
      </c>
      <c r="F18" s="14">
        <f t="shared" si="88"/>
        <v>10392</v>
      </c>
      <c r="G18" s="14">
        <f t="shared" si="88"/>
        <v>10046</v>
      </c>
      <c r="H18" s="14">
        <f t="shared" si="88"/>
        <v>10658</v>
      </c>
      <c r="I18" s="14">
        <f t="shared" si="88"/>
        <v>10834</v>
      </c>
      <c r="J18" s="14">
        <f t="shared" si="88"/>
        <v>13137</v>
      </c>
      <c r="K18" s="14">
        <f t="shared" si="88"/>
        <v>12022</v>
      </c>
      <c r="L18" s="14">
        <f t="shared" si="88"/>
        <v>12468</v>
      </c>
      <c r="M18" s="14">
        <f t="shared" si="88"/>
        <v>13754</v>
      </c>
      <c r="N18" s="14">
        <f t="shared" si="88"/>
        <v>15789</v>
      </c>
      <c r="O18" s="14">
        <f t="shared" si="88"/>
        <v>14200</v>
      </c>
      <c r="P18" s="14">
        <f t="shared" si="88"/>
        <v>13361</v>
      </c>
      <c r="Q18" s="14">
        <f t="shared" si="88"/>
        <v>13843</v>
      </c>
      <c r="R18" s="14">
        <f t="shared" si="88"/>
        <v>15167</v>
      </c>
      <c r="S18" s="14">
        <f t="shared" si="88"/>
        <v>14774</v>
      </c>
      <c r="T18" s="14">
        <f t="shared" si="88"/>
        <v>16292</v>
      </c>
      <c r="U18" s="14">
        <f t="shared" si="88"/>
        <v>16466</v>
      </c>
      <c r="V18" s="14">
        <f t="shared" si="88"/>
        <v>20452</v>
      </c>
      <c r="W18" s="14">
        <f t="shared" si="88"/>
        <v>18318</v>
      </c>
      <c r="X18" s="14">
        <f t="shared" si="88"/>
        <v>20128</v>
      </c>
      <c r="Y18" s="14">
        <f t="shared" si="88"/>
        <v>20799</v>
      </c>
      <c r="Z18" s="14">
        <f t="shared" si="88"/>
        <v>22546</v>
      </c>
      <c r="AA18" s="14">
        <f t="shared" si="88"/>
        <v>21760</v>
      </c>
      <c r="AB18" s="14">
        <f t="shared" si="88"/>
        <v>20850</v>
      </c>
      <c r="AC18" s="14">
        <f t="shared" si="88"/>
        <v>22121</v>
      </c>
      <c r="AD18" s="14">
        <f>SUM(AD15:AD17)</f>
        <v>25038</v>
      </c>
      <c r="AE18" s="14">
        <f t="shared" ref="AE18:AH18" si="89">SUM(AE15:AE17)</f>
        <v>26156.730000000003</v>
      </c>
      <c r="AF18" s="14">
        <f t="shared" si="89"/>
        <v>25008.010000000002</v>
      </c>
      <c r="AG18" s="14">
        <f t="shared" si="89"/>
        <v>26533.059999999998</v>
      </c>
      <c r="AH18" s="14">
        <f t="shared" si="89"/>
        <v>29936.7</v>
      </c>
      <c r="AO18" s="14">
        <f t="shared" ref="AO18:BA18" si="90">SUM(AO15:AO17)</f>
        <v>36390</v>
      </c>
      <c r="AP18" s="14">
        <f t="shared" si="90"/>
        <v>44675</v>
      </c>
      <c r="AQ18" s="14">
        <f t="shared" si="90"/>
        <v>54033</v>
      </c>
      <c r="AR18" s="14">
        <f t="shared" si="90"/>
        <v>56571</v>
      </c>
      <c r="AS18" s="14">
        <f t="shared" si="90"/>
        <v>67984</v>
      </c>
      <c r="AT18" s="14">
        <f t="shared" si="90"/>
        <v>81791</v>
      </c>
      <c r="AU18" s="14">
        <f t="shared" si="90"/>
        <v>89769</v>
      </c>
      <c r="AV18" s="14">
        <f t="shared" si="90"/>
        <v>107634.5</v>
      </c>
      <c r="AW18" s="14">
        <f t="shared" si="90"/>
        <v>125790.21062574263</v>
      </c>
      <c r="AX18" s="14">
        <f t="shared" si="90"/>
        <v>147045.45849053335</v>
      </c>
      <c r="AY18" s="14">
        <f t="shared" si="90"/>
        <v>171935.25593012371</v>
      </c>
      <c r="AZ18" s="14">
        <f t="shared" si="90"/>
        <v>201087.88287116829</v>
      </c>
      <c r="BA18" s="14">
        <f t="shared" si="90"/>
        <v>235241.28895153146</v>
      </c>
    </row>
    <row r="19" spans="2:896" s="14" customFormat="1" x14ac:dyDescent="0.25">
      <c r="B19" s="14" t="s">
        <v>15</v>
      </c>
      <c r="C19" s="14">
        <f t="shared" ref="C19:AC19" si="91">+C14-C18</f>
        <v>6568</v>
      </c>
      <c r="D19" s="14">
        <f t="shared" si="91"/>
        <v>6868</v>
      </c>
      <c r="E19" s="14">
        <f t="shared" si="91"/>
        <v>7782</v>
      </c>
      <c r="F19" s="14">
        <f t="shared" si="91"/>
        <v>7664</v>
      </c>
      <c r="G19" s="14">
        <f t="shared" si="91"/>
        <v>7633</v>
      </c>
      <c r="H19" s="14">
        <f t="shared" si="91"/>
        <v>8116</v>
      </c>
      <c r="I19" s="14">
        <f t="shared" si="91"/>
        <v>8625</v>
      </c>
      <c r="J19" s="14">
        <f t="shared" si="91"/>
        <v>8221</v>
      </c>
      <c r="K19" s="14">
        <f t="shared" si="91"/>
        <v>8305</v>
      </c>
      <c r="L19" s="14">
        <f t="shared" si="91"/>
        <v>9180</v>
      </c>
      <c r="M19" s="14">
        <f t="shared" si="91"/>
        <v>9177</v>
      </c>
      <c r="N19" s="14">
        <f t="shared" si="91"/>
        <v>9266</v>
      </c>
      <c r="O19" s="14">
        <f t="shared" si="91"/>
        <v>7977</v>
      </c>
      <c r="P19" s="14">
        <f t="shared" si="91"/>
        <v>6383</v>
      </c>
      <c r="Q19" s="14">
        <f t="shared" si="91"/>
        <v>11213</v>
      </c>
      <c r="R19" s="14">
        <f t="shared" si="91"/>
        <v>15651</v>
      </c>
      <c r="S19" s="14">
        <f t="shared" si="91"/>
        <v>16437</v>
      </c>
      <c r="T19" s="14">
        <f t="shared" si="91"/>
        <v>19361</v>
      </c>
      <c r="U19" s="14">
        <f t="shared" si="91"/>
        <v>21031</v>
      </c>
      <c r="V19" s="14">
        <f t="shared" si="91"/>
        <v>21885</v>
      </c>
      <c r="W19" s="14">
        <f t="shared" si="91"/>
        <v>20094</v>
      </c>
      <c r="X19" s="14">
        <f t="shared" si="91"/>
        <v>19453</v>
      </c>
      <c r="Y19" s="14">
        <f t="shared" si="91"/>
        <v>17135</v>
      </c>
      <c r="Z19" s="14">
        <f t="shared" si="91"/>
        <v>18160</v>
      </c>
      <c r="AA19" s="14">
        <f t="shared" si="91"/>
        <v>17415</v>
      </c>
      <c r="AB19" s="14">
        <f t="shared" si="91"/>
        <v>21838</v>
      </c>
      <c r="AC19" s="14">
        <f t="shared" si="91"/>
        <v>21343</v>
      </c>
      <c r="AD19" s="14">
        <f>+AD14-AD18</f>
        <v>23697</v>
      </c>
      <c r="AE19" s="14">
        <f t="shared" ref="AE19:AH19" si="92">+AE14-AE18</f>
        <v>18201.010000000009</v>
      </c>
      <c r="AF19" s="14">
        <f t="shared" si="92"/>
        <v>22748.589999999989</v>
      </c>
      <c r="AG19" s="14">
        <f t="shared" si="92"/>
        <v>22119.54</v>
      </c>
      <c r="AH19" s="14">
        <f t="shared" si="92"/>
        <v>24425.999999999996</v>
      </c>
      <c r="AO19" s="14">
        <f t="shared" ref="AO19:BA19" si="93">+AO14-AO18</f>
        <v>28882</v>
      </c>
      <c r="AP19" s="14">
        <f t="shared" si="93"/>
        <v>32595</v>
      </c>
      <c r="AQ19" s="14">
        <f t="shared" si="93"/>
        <v>35928</v>
      </c>
      <c r="AR19" s="14">
        <f t="shared" si="93"/>
        <v>41224</v>
      </c>
      <c r="AS19" s="14">
        <f t="shared" si="93"/>
        <v>78714</v>
      </c>
      <c r="AT19" s="14">
        <f t="shared" si="93"/>
        <v>74842</v>
      </c>
      <c r="AU19" s="14">
        <f t="shared" si="93"/>
        <v>84293</v>
      </c>
      <c r="AV19" s="14">
        <f t="shared" si="93"/>
        <v>87495.139999999985</v>
      </c>
      <c r="AW19" s="14">
        <f t="shared" si="93"/>
        <v>104315.85682706359</v>
      </c>
      <c r="AX19" s="14">
        <f t="shared" si="93"/>
        <v>127373.3120508978</v>
      </c>
      <c r="AY19" s="14">
        <f t="shared" si="93"/>
        <v>156896.78994992122</v>
      </c>
      <c r="AZ19" s="14">
        <f t="shared" si="93"/>
        <v>192042.94073926655</v>
      </c>
      <c r="BA19" s="14">
        <f t="shared" si="93"/>
        <v>228499.60666713782</v>
      </c>
    </row>
    <row r="20" spans="2:896" x14ac:dyDescent="0.25">
      <c r="B20" s="12" t="s">
        <v>16</v>
      </c>
      <c r="C20" s="12">
        <v>251</v>
      </c>
      <c r="D20" s="12">
        <v>245</v>
      </c>
      <c r="E20" s="12">
        <v>197</v>
      </c>
      <c r="F20" s="12">
        <v>354</v>
      </c>
      <c r="G20" s="12">
        <v>2910</v>
      </c>
      <c r="H20" s="12">
        <v>1170</v>
      </c>
      <c r="I20" s="12">
        <v>1458</v>
      </c>
      <c r="J20" s="12">
        <v>1851</v>
      </c>
      <c r="K20" s="12">
        <v>1538</v>
      </c>
      <c r="L20" s="12">
        <v>2967</v>
      </c>
      <c r="M20" s="12">
        <v>-549</v>
      </c>
      <c r="N20" s="12">
        <v>1438</v>
      </c>
      <c r="O20" s="12">
        <v>-220</v>
      </c>
      <c r="P20" s="12">
        <v>1894</v>
      </c>
      <c r="Q20" s="12">
        <v>2146</v>
      </c>
      <c r="R20" s="12">
        <v>3038</v>
      </c>
      <c r="S20" s="12">
        <v>4846</v>
      </c>
      <c r="T20" s="12">
        <v>2624</v>
      </c>
      <c r="U20" s="12">
        <v>2033</v>
      </c>
      <c r="V20" s="12">
        <v>2517</v>
      </c>
      <c r="W20" s="12">
        <v>-1160</v>
      </c>
      <c r="X20" s="12">
        <v>-439</v>
      </c>
      <c r="Y20" s="12">
        <v>-902</v>
      </c>
      <c r="Z20" s="12">
        <v>-1013</v>
      </c>
      <c r="AA20" s="12">
        <v>790</v>
      </c>
      <c r="AB20" s="12">
        <v>65</v>
      </c>
      <c r="AC20" s="12">
        <v>-146</v>
      </c>
      <c r="AD20" s="12">
        <v>715</v>
      </c>
      <c r="AE20" s="12">
        <v>797.9</v>
      </c>
      <c r="AF20" s="12">
        <v>797.9</v>
      </c>
      <c r="AG20" s="12">
        <v>797.9</v>
      </c>
      <c r="AH20" s="12">
        <v>797.9</v>
      </c>
      <c r="AO20" s="12">
        <f>SUM(C20:F20)</f>
        <v>1047</v>
      </c>
      <c r="AP20" s="12">
        <f>SUM(G20:J20)</f>
        <v>7389</v>
      </c>
      <c r="AQ20" s="12">
        <f>SUM(K20:N20)</f>
        <v>5394</v>
      </c>
      <c r="AR20" s="12">
        <f>SUM(O20:R20)</f>
        <v>6858</v>
      </c>
      <c r="AS20" s="12">
        <f>SUM(S20:V20)</f>
        <v>12020</v>
      </c>
      <c r="AT20" s="12">
        <f>SUM(W20:Z20)</f>
        <v>-3514</v>
      </c>
      <c r="AU20" s="12">
        <f>SUM(AA20:AD20)</f>
        <v>1424</v>
      </c>
      <c r="AV20" s="12">
        <f>SUM(AE20:AH20)</f>
        <v>3191.6</v>
      </c>
      <c r="AW20" s="12">
        <f>AV20*1.01</f>
        <v>3223.5160000000001</v>
      </c>
      <c r="AX20" s="12">
        <f t="shared" ref="AX20:BA20" si="94">AW20*1.01</f>
        <v>3255.7511600000003</v>
      </c>
      <c r="AY20" s="12">
        <f t="shared" si="94"/>
        <v>3288.3086716000003</v>
      </c>
      <c r="AZ20" s="12">
        <f t="shared" si="94"/>
        <v>3321.1917583160002</v>
      </c>
      <c r="BA20" s="12">
        <f t="shared" si="94"/>
        <v>3354.4036758991601</v>
      </c>
    </row>
    <row r="21" spans="2:896" x14ac:dyDescent="0.25">
      <c r="B21" s="12" t="s">
        <v>17</v>
      </c>
      <c r="C21" s="12">
        <f t="shared" ref="C21:AC21" si="95">+C19+C20</f>
        <v>6819</v>
      </c>
      <c r="D21" s="12">
        <f t="shared" si="95"/>
        <v>7113</v>
      </c>
      <c r="E21" s="12">
        <f t="shared" si="95"/>
        <v>7979</v>
      </c>
      <c r="F21" s="12">
        <f t="shared" si="95"/>
        <v>8018</v>
      </c>
      <c r="G21" s="12">
        <f t="shared" si="95"/>
        <v>10543</v>
      </c>
      <c r="H21" s="12">
        <f t="shared" si="95"/>
        <v>9286</v>
      </c>
      <c r="I21" s="12">
        <f t="shared" si="95"/>
        <v>10083</v>
      </c>
      <c r="J21" s="12">
        <f t="shared" si="95"/>
        <v>10072</v>
      </c>
      <c r="K21" s="12">
        <f t="shared" si="95"/>
        <v>9843</v>
      </c>
      <c r="L21" s="12">
        <f t="shared" si="95"/>
        <v>12147</v>
      </c>
      <c r="M21" s="12">
        <f t="shared" si="95"/>
        <v>8628</v>
      </c>
      <c r="N21" s="12">
        <f t="shared" si="95"/>
        <v>10704</v>
      </c>
      <c r="O21" s="12">
        <f t="shared" si="95"/>
        <v>7757</v>
      </c>
      <c r="P21" s="12">
        <f t="shared" si="95"/>
        <v>8277</v>
      </c>
      <c r="Q21" s="12">
        <f t="shared" si="95"/>
        <v>13359</v>
      </c>
      <c r="R21" s="12">
        <f t="shared" si="95"/>
        <v>18689</v>
      </c>
      <c r="S21" s="12">
        <f t="shared" si="95"/>
        <v>21283</v>
      </c>
      <c r="T21" s="12">
        <f t="shared" si="95"/>
        <v>21985</v>
      </c>
      <c r="U21" s="12">
        <f t="shared" si="95"/>
        <v>23064</v>
      </c>
      <c r="V21" s="12">
        <f t="shared" si="95"/>
        <v>24402</v>
      </c>
      <c r="W21" s="12">
        <f t="shared" si="95"/>
        <v>18934</v>
      </c>
      <c r="X21" s="12">
        <f t="shared" si="95"/>
        <v>19014</v>
      </c>
      <c r="Y21" s="12">
        <f t="shared" si="95"/>
        <v>16233</v>
      </c>
      <c r="Z21" s="12">
        <f t="shared" si="95"/>
        <v>17147</v>
      </c>
      <c r="AA21" s="12">
        <f t="shared" si="95"/>
        <v>18205</v>
      </c>
      <c r="AB21" s="12">
        <f t="shared" si="95"/>
        <v>21903</v>
      </c>
      <c r="AC21" s="12">
        <f t="shared" si="95"/>
        <v>21197</v>
      </c>
      <c r="AD21" s="12">
        <f>+AD19+AD20</f>
        <v>24412</v>
      </c>
      <c r="AE21" s="12">
        <f t="shared" ref="AE21:AH21" si="96">+AE19+AE20</f>
        <v>18998.910000000011</v>
      </c>
      <c r="AF21" s="12">
        <f t="shared" si="96"/>
        <v>23546.489999999991</v>
      </c>
      <c r="AG21" s="12">
        <f t="shared" si="96"/>
        <v>22917.440000000002</v>
      </c>
      <c r="AH21" s="12">
        <f t="shared" si="96"/>
        <v>25223.899999999998</v>
      </c>
      <c r="AO21" s="12">
        <f t="shared" ref="AO21:BA21" si="97">+AO19+AO20</f>
        <v>29929</v>
      </c>
      <c r="AP21" s="12">
        <f t="shared" si="97"/>
        <v>39984</v>
      </c>
      <c r="AQ21" s="12">
        <f t="shared" si="97"/>
        <v>41322</v>
      </c>
      <c r="AR21" s="12">
        <f t="shared" si="97"/>
        <v>48082</v>
      </c>
      <c r="AS21" s="12">
        <f t="shared" si="97"/>
        <v>90734</v>
      </c>
      <c r="AT21" s="12">
        <f t="shared" si="97"/>
        <v>71328</v>
      </c>
      <c r="AU21" s="12">
        <f t="shared" si="97"/>
        <v>85717</v>
      </c>
      <c r="AV21" s="12">
        <f t="shared" si="97"/>
        <v>90686.739999999991</v>
      </c>
      <c r="AW21" s="12">
        <f t="shared" si="97"/>
        <v>107539.37282706359</v>
      </c>
      <c r="AX21" s="12">
        <f t="shared" si="97"/>
        <v>130629.0632108978</v>
      </c>
      <c r="AY21" s="12">
        <f t="shared" si="97"/>
        <v>160185.09862152123</v>
      </c>
      <c r="AZ21" s="12">
        <f t="shared" si="97"/>
        <v>195364.13249758256</v>
      </c>
      <c r="BA21" s="12">
        <f t="shared" si="97"/>
        <v>231854.01034303699</v>
      </c>
    </row>
    <row r="22" spans="2:896" x14ac:dyDescent="0.25">
      <c r="B22" s="12" t="s">
        <v>18</v>
      </c>
      <c r="C22" s="12">
        <v>1393</v>
      </c>
      <c r="D22" s="12">
        <v>853</v>
      </c>
      <c r="E22" s="12">
        <v>1247</v>
      </c>
      <c r="F22" s="12">
        <v>11038</v>
      </c>
      <c r="G22" s="12">
        <v>1142</v>
      </c>
      <c r="H22" s="12">
        <v>1020</v>
      </c>
      <c r="I22" s="12">
        <v>891</v>
      </c>
      <c r="J22" s="12">
        <v>1124</v>
      </c>
      <c r="K22" s="12">
        <v>1489</v>
      </c>
      <c r="L22" s="12">
        <v>2200</v>
      </c>
      <c r="M22" s="12">
        <v>1560</v>
      </c>
      <c r="N22" s="12">
        <v>33</v>
      </c>
      <c r="O22" s="12">
        <v>921</v>
      </c>
      <c r="P22" s="12">
        <v>1318</v>
      </c>
      <c r="Q22" s="12">
        <v>2112</v>
      </c>
      <c r="R22" s="12">
        <v>3462</v>
      </c>
      <c r="S22" s="12">
        <v>3353</v>
      </c>
      <c r="T22" s="12">
        <v>3460</v>
      </c>
      <c r="U22" s="12">
        <v>4128</v>
      </c>
      <c r="V22" s="12">
        <v>3760</v>
      </c>
      <c r="W22" s="12">
        <v>2498</v>
      </c>
      <c r="X22" s="12">
        <v>3012</v>
      </c>
      <c r="Y22" s="12">
        <v>2323</v>
      </c>
      <c r="Z22" s="12">
        <v>3523</v>
      </c>
      <c r="AA22" s="12">
        <v>3154</v>
      </c>
      <c r="AB22" s="12">
        <v>3535</v>
      </c>
      <c r="AC22" s="12">
        <v>1508</v>
      </c>
      <c r="AD22" s="12">
        <v>3725</v>
      </c>
      <c r="AE22" s="12">
        <f>AE21*AVERAGE($W$42:$AD$42)</f>
        <v>2843.3706003539905</v>
      </c>
      <c r="AF22" s="12">
        <f t="shared" ref="AF22:AH22" si="98">AF21*AVERAGE($W$42:$AD$42)</f>
        <v>3523.9599223076043</v>
      </c>
      <c r="AG22" s="12">
        <f t="shared" si="98"/>
        <v>3429.816506914161</v>
      </c>
      <c r="AH22" s="12">
        <f t="shared" si="98"/>
        <v>3775.0005493088274</v>
      </c>
      <c r="AO22" s="12">
        <f>SUM(C22:F22)</f>
        <v>14531</v>
      </c>
      <c r="AP22" s="12">
        <f>SUM(G22:J22)</f>
        <v>4177</v>
      </c>
      <c r="AQ22" s="12">
        <f>SUM(K22:N22)</f>
        <v>5282</v>
      </c>
      <c r="AR22" s="12">
        <f>SUM(O22:R22)</f>
        <v>7813</v>
      </c>
      <c r="AS22" s="12">
        <f>SUM(S22:V22)</f>
        <v>14701</v>
      </c>
      <c r="AT22" s="12">
        <f>SUM(W22:Z22)</f>
        <v>11356</v>
      </c>
      <c r="AU22" s="12">
        <f>SUM(AA22:AD22)</f>
        <v>11922</v>
      </c>
      <c r="AV22" s="12">
        <f>SUM(AE22:AH22)</f>
        <v>13572.147578884582</v>
      </c>
      <c r="AW22" s="12">
        <f>AW21*AVERAGE($AP$42:$AU$42)</f>
        <v>15326.192669099377</v>
      </c>
      <c r="AX22" s="12">
        <f t="shared" ref="AX22:BA22" si="99">AX21*AVERAGE($AP$42:$AU$42)</f>
        <v>18616.866904865765</v>
      </c>
      <c r="AY22" s="12">
        <f t="shared" si="99"/>
        <v>22829.105467632799</v>
      </c>
      <c r="AZ22" s="12">
        <f t="shared" si="99"/>
        <v>27842.717105152067</v>
      </c>
      <c r="BA22" s="12">
        <f t="shared" si="99"/>
        <v>33043.146339853658</v>
      </c>
    </row>
    <row r="23" spans="2:896" s="14" customFormat="1" x14ac:dyDescent="0.25">
      <c r="B23" s="14" t="s">
        <v>19</v>
      </c>
      <c r="C23" s="14">
        <f t="shared" ref="C23:AC23" si="100">+C21-C22</f>
        <v>5426</v>
      </c>
      <c r="D23" s="14">
        <f t="shared" si="100"/>
        <v>6260</v>
      </c>
      <c r="E23" s="14">
        <f t="shared" si="100"/>
        <v>6732</v>
      </c>
      <c r="F23" s="14">
        <f t="shared" si="100"/>
        <v>-3020</v>
      </c>
      <c r="G23" s="14">
        <f t="shared" si="100"/>
        <v>9401</v>
      </c>
      <c r="H23" s="14">
        <f t="shared" si="100"/>
        <v>8266</v>
      </c>
      <c r="I23" s="14">
        <f t="shared" si="100"/>
        <v>9192</v>
      </c>
      <c r="J23" s="14">
        <f t="shared" si="100"/>
        <v>8948</v>
      </c>
      <c r="K23" s="14">
        <f t="shared" si="100"/>
        <v>8354</v>
      </c>
      <c r="L23" s="14">
        <f t="shared" si="100"/>
        <v>9947</v>
      </c>
      <c r="M23" s="14">
        <f t="shared" si="100"/>
        <v>7068</v>
      </c>
      <c r="N23" s="14">
        <f t="shared" si="100"/>
        <v>10671</v>
      </c>
      <c r="O23" s="14">
        <f t="shared" si="100"/>
        <v>6836</v>
      </c>
      <c r="P23" s="14">
        <f t="shared" si="100"/>
        <v>6959</v>
      </c>
      <c r="Q23" s="14">
        <f t="shared" si="100"/>
        <v>11247</v>
      </c>
      <c r="R23" s="14">
        <f t="shared" si="100"/>
        <v>15227</v>
      </c>
      <c r="S23" s="14">
        <f t="shared" si="100"/>
        <v>17930</v>
      </c>
      <c r="T23" s="14">
        <f t="shared" si="100"/>
        <v>18525</v>
      </c>
      <c r="U23" s="14">
        <f t="shared" si="100"/>
        <v>18936</v>
      </c>
      <c r="V23" s="14">
        <f t="shared" si="100"/>
        <v>20642</v>
      </c>
      <c r="W23" s="14">
        <f t="shared" si="100"/>
        <v>16436</v>
      </c>
      <c r="X23" s="14">
        <f t="shared" si="100"/>
        <v>16002</v>
      </c>
      <c r="Y23" s="14">
        <f t="shared" si="100"/>
        <v>13910</v>
      </c>
      <c r="Z23" s="14">
        <f t="shared" si="100"/>
        <v>13624</v>
      </c>
      <c r="AA23" s="14">
        <f t="shared" si="100"/>
        <v>15051</v>
      </c>
      <c r="AB23" s="14">
        <f t="shared" si="100"/>
        <v>18368</v>
      </c>
      <c r="AC23" s="14">
        <f t="shared" si="100"/>
        <v>19689</v>
      </c>
      <c r="AD23" s="14">
        <f>+AD21-AD22</f>
        <v>20687</v>
      </c>
      <c r="AE23" s="14">
        <f t="shared" ref="AE23:AH23" si="101">+AE21-AE22</f>
        <v>16155.539399646021</v>
      </c>
      <c r="AF23" s="14">
        <f t="shared" si="101"/>
        <v>20022.530077692387</v>
      </c>
      <c r="AG23" s="14">
        <f t="shared" si="101"/>
        <v>19487.623493085841</v>
      </c>
      <c r="AH23" s="14">
        <f t="shared" si="101"/>
        <v>21448.899450691169</v>
      </c>
      <c r="AO23" s="14">
        <f t="shared" ref="AO23:BA23" si="102">+AO21-AO22</f>
        <v>15398</v>
      </c>
      <c r="AP23" s="14">
        <f t="shared" si="102"/>
        <v>35807</v>
      </c>
      <c r="AQ23" s="14">
        <f t="shared" si="102"/>
        <v>36040</v>
      </c>
      <c r="AR23" s="14">
        <f t="shared" si="102"/>
        <v>40269</v>
      </c>
      <c r="AS23" s="14">
        <f t="shared" si="102"/>
        <v>76033</v>
      </c>
      <c r="AT23" s="14">
        <f t="shared" si="102"/>
        <v>59972</v>
      </c>
      <c r="AU23" s="14">
        <f t="shared" si="102"/>
        <v>73795</v>
      </c>
      <c r="AV23" s="14">
        <f t="shared" si="102"/>
        <v>77114.592421115405</v>
      </c>
      <c r="AW23" s="14">
        <f t="shared" si="102"/>
        <v>92213.18015796422</v>
      </c>
      <c r="AX23" s="14">
        <f t="shared" si="102"/>
        <v>112012.19630603204</v>
      </c>
      <c r="AY23" s="14">
        <f t="shared" si="102"/>
        <v>137355.99315388844</v>
      </c>
      <c r="AZ23" s="14">
        <f t="shared" si="102"/>
        <v>167521.4153924305</v>
      </c>
      <c r="BA23" s="14">
        <f t="shared" si="102"/>
        <v>198810.86400318332</v>
      </c>
      <c r="BB23" s="14">
        <f>BA23*(1+$BH$33)</f>
        <v>196822.75536315149</v>
      </c>
      <c r="BC23" s="14">
        <f t="shared" ref="BC23:DN23" si="103">BB23*(1+$BH$33)</f>
        <v>194854.52780951996</v>
      </c>
      <c r="BD23" s="14">
        <f t="shared" si="103"/>
        <v>192905.98253142476</v>
      </c>
      <c r="BE23" s="14">
        <f t="shared" si="103"/>
        <v>190976.92270611052</v>
      </c>
      <c r="BF23" s="14">
        <f t="shared" si="103"/>
        <v>189067.15347904942</v>
      </c>
      <c r="BG23" s="14">
        <f t="shared" si="103"/>
        <v>187176.48194425894</v>
      </c>
      <c r="BH23" s="14">
        <f t="shared" si="103"/>
        <v>185304.71712481635</v>
      </c>
      <c r="BI23" s="14">
        <f t="shared" si="103"/>
        <v>183451.6699535682</v>
      </c>
      <c r="BJ23" s="14">
        <f t="shared" si="103"/>
        <v>181617.15325403251</v>
      </c>
      <c r="BK23" s="14">
        <f t="shared" si="103"/>
        <v>179800.98172149219</v>
      </c>
      <c r="BL23" s="14">
        <f t="shared" si="103"/>
        <v>178002.97190427728</v>
      </c>
      <c r="BM23" s="14">
        <f t="shared" si="103"/>
        <v>176222.94218523451</v>
      </c>
      <c r="BN23" s="14">
        <f t="shared" si="103"/>
        <v>174460.71276338215</v>
      </c>
      <c r="BO23" s="14">
        <f t="shared" si="103"/>
        <v>172716.10563574833</v>
      </c>
      <c r="BP23" s="14">
        <f t="shared" si="103"/>
        <v>170988.94457939084</v>
      </c>
      <c r="BQ23" s="14">
        <f t="shared" si="103"/>
        <v>169279.05513359694</v>
      </c>
      <c r="BR23" s="14">
        <f t="shared" si="103"/>
        <v>167586.26458226098</v>
      </c>
      <c r="BS23" s="14">
        <f t="shared" si="103"/>
        <v>165910.40193643837</v>
      </c>
      <c r="BT23" s="14">
        <f t="shared" si="103"/>
        <v>164251.297917074</v>
      </c>
      <c r="BU23" s="14">
        <f t="shared" si="103"/>
        <v>162608.78493790326</v>
      </c>
      <c r="BV23" s="14">
        <f t="shared" si="103"/>
        <v>160982.69708852423</v>
      </c>
      <c r="BW23" s="14">
        <f t="shared" si="103"/>
        <v>159372.87011763899</v>
      </c>
      <c r="BX23" s="14">
        <f t="shared" si="103"/>
        <v>157779.1414164626</v>
      </c>
      <c r="BY23" s="14">
        <f t="shared" si="103"/>
        <v>156201.35000229799</v>
      </c>
      <c r="BZ23" s="14">
        <f t="shared" si="103"/>
        <v>154639.33650227499</v>
      </c>
      <c r="CA23" s="14">
        <f t="shared" si="103"/>
        <v>153092.94313725224</v>
      </c>
      <c r="CB23" s="14">
        <f t="shared" si="103"/>
        <v>151562.01370587971</v>
      </c>
      <c r="CC23" s="14">
        <f t="shared" si="103"/>
        <v>150046.3935688209</v>
      </c>
      <c r="CD23" s="14">
        <f t="shared" si="103"/>
        <v>148545.92963313271</v>
      </c>
      <c r="CE23" s="14">
        <f t="shared" si="103"/>
        <v>147060.47033680137</v>
      </c>
      <c r="CF23" s="14">
        <f t="shared" si="103"/>
        <v>145589.86563343336</v>
      </c>
      <c r="CG23" s="14">
        <f t="shared" si="103"/>
        <v>144133.96697709904</v>
      </c>
      <c r="CH23" s="14">
        <f t="shared" si="103"/>
        <v>142692.62730732805</v>
      </c>
      <c r="CI23" s="14">
        <f t="shared" si="103"/>
        <v>141265.70103425477</v>
      </c>
      <c r="CJ23" s="14">
        <f t="shared" si="103"/>
        <v>139853.04402391223</v>
      </c>
      <c r="CK23" s="14">
        <f t="shared" si="103"/>
        <v>138454.51358367311</v>
      </c>
      <c r="CL23" s="14">
        <f t="shared" si="103"/>
        <v>137069.96844783638</v>
      </c>
      <c r="CM23" s="14">
        <f t="shared" si="103"/>
        <v>135699.26876335801</v>
      </c>
      <c r="CN23" s="14">
        <f t="shared" si="103"/>
        <v>134342.27607572443</v>
      </c>
      <c r="CO23" s="14">
        <f t="shared" si="103"/>
        <v>132998.85331496719</v>
      </c>
      <c r="CP23" s="14">
        <f t="shared" si="103"/>
        <v>131668.86478181751</v>
      </c>
      <c r="CQ23" s="14">
        <f t="shared" si="103"/>
        <v>130352.17613399934</v>
      </c>
      <c r="CR23" s="14">
        <f t="shared" si="103"/>
        <v>129048.65437265935</v>
      </c>
      <c r="CS23" s="14">
        <f t="shared" si="103"/>
        <v>127758.16782893275</v>
      </c>
      <c r="CT23" s="14">
        <f t="shared" si="103"/>
        <v>126480.58615064343</v>
      </c>
      <c r="CU23" s="14">
        <f t="shared" si="103"/>
        <v>125215.78028913699</v>
      </c>
      <c r="CV23" s="14">
        <f t="shared" si="103"/>
        <v>123963.62248624563</v>
      </c>
      <c r="CW23" s="14">
        <f t="shared" si="103"/>
        <v>122723.98626138316</v>
      </c>
      <c r="CX23" s="14">
        <f t="shared" si="103"/>
        <v>121496.74639876933</v>
      </c>
      <c r="CY23" s="14">
        <f t="shared" si="103"/>
        <v>120281.77893478164</v>
      </c>
      <c r="CZ23" s="14">
        <f t="shared" si="103"/>
        <v>119078.96114543383</v>
      </c>
      <c r="DA23" s="14">
        <f t="shared" si="103"/>
        <v>117888.17153397949</v>
      </c>
      <c r="DB23" s="14">
        <f t="shared" si="103"/>
        <v>116709.28981863969</v>
      </c>
      <c r="DC23" s="14">
        <f t="shared" si="103"/>
        <v>115542.19692045329</v>
      </c>
      <c r="DD23" s="14">
        <f t="shared" si="103"/>
        <v>114386.77495124876</v>
      </c>
      <c r="DE23" s="14">
        <f t="shared" si="103"/>
        <v>113242.90720173628</v>
      </c>
      <c r="DF23" s="14">
        <f t="shared" si="103"/>
        <v>112110.47812971892</v>
      </c>
      <c r="DG23" s="14">
        <f t="shared" si="103"/>
        <v>110989.37334842172</v>
      </c>
      <c r="DH23" s="14">
        <f t="shared" si="103"/>
        <v>109879.4796149375</v>
      </c>
      <c r="DI23" s="14">
        <f t="shared" si="103"/>
        <v>108780.68481878813</v>
      </c>
      <c r="DJ23" s="14">
        <f t="shared" si="103"/>
        <v>107692.87797060024</v>
      </c>
      <c r="DK23" s="14">
        <f t="shared" si="103"/>
        <v>106615.94919089423</v>
      </c>
      <c r="DL23" s="14">
        <f t="shared" si="103"/>
        <v>105549.78969898529</v>
      </c>
      <c r="DM23" s="14">
        <f t="shared" si="103"/>
        <v>104494.29180199544</v>
      </c>
      <c r="DN23" s="14">
        <f t="shared" si="103"/>
        <v>103449.34888397549</v>
      </c>
      <c r="DO23" s="14">
        <f t="shared" ref="DO23:FZ23" si="104">DN23*(1+$BH$33)</f>
        <v>102414.85539513573</v>
      </c>
      <c r="DP23" s="14">
        <f t="shared" si="104"/>
        <v>101390.70684118438</v>
      </c>
      <c r="DQ23" s="14">
        <f t="shared" si="104"/>
        <v>100376.79977277253</v>
      </c>
      <c r="DR23" s="14">
        <f t="shared" si="104"/>
        <v>99373.031775044801</v>
      </c>
      <c r="DS23" s="14">
        <f t="shared" si="104"/>
        <v>98379.30145729435</v>
      </c>
      <c r="DT23" s="14">
        <f t="shared" si="104"/>
        <v>97395.508442721402</v>
      </c>
      <c r="DU23" s="14">
        <f t="shared" si="104"/>
        <v>96421.553358294186</v>
      </c>
      <c r="DV23" s="14">
        <f t="shared" si="104"/>
        <v>95457.337824711241</v>
      </c>
      <c r="DW23" s="14">
        <f t="shared" si="104"/>
        <v>94502.764446464134</v>
      </c>
      <c r="DX23" s="14">
        <f t="shared" si="104"/>
        <v>93557.73680199949</v>
      </c>
      <c r="DY23" s="14">
        <f t="shared" si="104"/>
        <v>92622.159433979497</v>
      </c>
      <c r="DZ23" s="14">
        <f t="shared" si="104"/>
        <v>91695.937839639708</v>
      </c>
      <c r="EA23" s="14">
        <f t="shared" si="104"/>
        <v>90778.978461243314</v>
      </c>
      <c r="EB23" s="14">
        <f t="shared" si="104"/>
        <v>89871.188676630874</v>
      </c>
      <c r="EC23" s="14">
        <f t="shared" si="104"/>
        <v>88972.476789864566</v>
      </c>
      <c r="ED23" s="14">
        <f t="shared" si="104"/>
        <v>88082.75202196592</v>
      </c>
      <c r="EE23" s="14">
        <f t="shared" si="104"/>
        <v>87201.924501746267</v>
      </c>
      <c r="EF23" s="14">
        <f t="shared" si="104"/>
        <v>86329.905256728802</v>
      </c>
      <c r="EG23" s="14">
        <f t="shared" si="104"/>
        <v>85466.606204161508</v>
      </c>
      <c r="EH23" s="14">
        <f t="shared" si="104"/>
        <v>84611.940142119885</v>
      </c>
      <c r="EI23" s="14">
        <f t="shared" si="104"/>
        <v>83765.820740698691</v>
      </c>
      <c r="EJ23" s="14">
        <f t="shared" si="104"/>
        <v>82928.162533291703</v>
      </c>
      <c r="EK23" s="14">
        <f t="shared" si="104"/>
        <v>82098.880907958781</v>
      </c>
      <c r="EL23" s="14">
        <f t="shared" si="104"/>
        <v>81277.892098879194</v>
      </c>
      <c r="EM23" s="14">
        <f t="shared" si="104"/>
        <v>80465.113177890395</v>
      </c>
      <c r="EN23" s="14">
        <f t="shared" si="104"/>
        <v>79660.462046111483</v>
      </c>
      <c r="EO23" s="14">
        <f t="shared" si="104"/>
        <v>78863.857425650363</v>
      </c>
      <c r="EP23" s="14">
        <f t="shared" si="104"/>
        <v>78075.21885139386</v>
      </c>
      <c r="EQ23" s="14">
        <f t="shared" si="104"/>
        <v>77294.466662879917</v>
      </c>
      <c r="ER23" s="14">
        <f t="shared" si="104"/>
        <v>76521.521996251118</v>
      </c>
      <c r="ES23" s="14">
        <f t="shared" si="104"/>
        <v>75756.306776288606</v>
      </c>
      <c r="ET23" s="14">
        <f t="shared" si="104"/>
        <v>74998.743708525726</v>
      </c>
      <c r="EU23" s="14">
        <f t="shared" si="104"/>
        <v>74248.756271440463</v>
      </c>
      <c r="EV23" s="14">
        <f t="shared" si="104"/>
        <v>73506.268708726057</v>
      </c>
      <c r="EW23" s="14">
        <f t="shared" si="104"/>
        <v>72771.206021638791</v>
      </c>
      <c r="EX23" s="14">
        <f t="shared" si="104"/>
        <v>72043.493961422399</v>
      </c>
      <c r="EY23" s="14">
        <f t="shared" si="104"/>
        <v>71323.059021808178</v>
      </c>
      <c r="EZ23" s="14">
        <f t="shared" si="104"/>
        <v>70609.828431590096</v>
      </c>
      <c r="FA23" s="14">
        <f t="shared" si="104"/>
        <v>69903.730147274196</v>
      </c>
      <c r="FB23" s="14">
        <f t="shared" si="104"/>
        <v>69204.692845801459</v>
      </c>
      <c r="FC23" s="14">
        <f t="shared" si="104"/>
        <v>68512.645917343441</v>
      </c>
      <c r="FD23" s="14">
        <f t="shared" si="104"/>
        <v>67827.519458170005</v>
      </c>
      <c r="FE23" s="14">
        <f t="shared" si="104"/>
        <v>67149.244263588305</v>
      </c>
      <c r="FF23" s="14">
        <f t="shared" si="104"/>
        <v>66477.751820952428</v>
      </c>
      <c r="FG23" s="14">
        <f t="shared" si="104"/>
        <v>65812.974302742907</v>
      </c>
      <c r="FH23" s="14">
        <f t="shared" si="104"/>
        <v>65154.844559715479</v>
      </c>
      <c r="FI23" s="14">
        <f t="shared" si="104"/>
        <v>64503.296114118326</v>
      </c>
      <c r="FJ23" s="14">
        <f t="shared" si="104"/>
        <v>63858.263152977139</v>
      </c>
      <c r="FK23" s="14">
        <f t="shared" si="104"/>
        <v>63219.680521447364</v>
      </c>
      <c r="FL23" s="14">
        <f t="shared" si="104"/>
        <v>62587.483716232891</v>
      </c>
      <c r="FM23" s="14">
        <f t="shared" si="104"/>
        <v>61961.608879070562</v>
      </c>
      <c r="FN23" s="14">
        <f t="shared" si="104"/>
        <v>61341.992790279859</v>
      </c>
      <c r="FO23" s="14">
        <f t="shared" si="104"/>
        <v>60728.572862377063</v>
      </c>
      <c r="FP23" s="14">
        <f t="shared" si="104"/>
        <v>60121.287133753292</v>
      </c>
      <c r="FQ23" s="14">
        <f t="shared" si="104"/>
        <v>59520.074262415757</v>
      </c>
      <c r="FR23" s="14">
        <f t="shared" si="104"/>
        <v>58924.873519791596</v>
      </c>
      <c r="FS23" s="14">
        <f t="shared" si="104"/>
        <v>58335.624784593681</v>
      </c>
      <c r="FT23" s="14">
        <f t="shared" si="104"/>
        <v>57752.268536747746</v>
      </c>
      <c r="FU23" s="14">
        <f t="shared" si="104"/>
        <v>57174.74585138027</v>
      </c>
      <c r="FV23" s="14">
        <f t="shared" si="104"/>
        <v>56602.998392866466</v>
      </c>
      <c r="FW23" s="14">
        <f t="shared" si="104"/>
        <v>56036.968408937799</v>
      </c>
      <c r="FX23" s="14">
        <f t="shared" si="104"/>
        <v>55476.598724848423</v>
      </c>
      <c r="FY23" s="14">
        <f t="shared" si="104"/>
        <v>54921.832737599936</v>
      </c>
      <c r="FZ23" s="14">
        <f t="shared" si="104"/>
        <v>54372.614410223934</v>
      </c>
      <c r="GA23" s="14">
        <f t="shared" ref="GA23:IL23" si="105">FZ23*(1+$BH$33)</f>
        <v>53828.888266121692</v>
      </c>
      <c r="GB23" s="14">
        <f t="shared" si="105"/>
        <v>53290.599383460474</v>
      </c>
      <c r="GC23" s="14">
        <f t="shared" si="105"/>
        <v>52757.693389625871</v>
      </c>
      <c r="GD23" s="14">
        <f t="shared" si="105"/>
        <v>52230.116455729614</v>
      </c>
      <c r="GE23" s="14">
        <f t="shared" si="105"/>
        <v>51707.815291172315</v>
      </c>
      <c r="GF23" s="14">
        <f t="shared" si="105"/>
        <v>51190.737138260592</v>
      </c>
      <c r="GG23" s="14">
        <f t="shared" si="105"/>
        <v>50678.829766877985</v>
      </c>
      <c r="GH23" s="14">
        <f t="shared" si="105"/>
        <v>50172.041469209202</v>
      </c>
      <c r="GI23" s="14">
        <f t="shared" si="105"/>
        <v>49670.32105451711</v>
      </c>
      <c r="GJ23" s="14">
        <f t="shared" si="105"/>
        <v>49173.617843971937</v>
      </c>
      <c r="GK23" s="14">
        <f t="shared" si="105"/>
        <v>48681.881665532215</v>
      </c>
      <c r="GL23" s="14">
        <f t="shared" si="105"/>
        <v>48195.062848876893</v>
      </c>
      <c r="GM23" s="14">
        <f t="shared" si="105"/>
        <v>47713.112220388124</v>
      </c>
      <c r="GN23" s="14">
        <f t="shared" si="105"/>
        <v>47235.981098184246</v>
      </c>
      <c r="GO23" s="14">
        <f t="shared" si="105"/>
        <v>46763.621287202404</v>
      </c>
      <c r="GP23" s="14">
        <f t="shared" si="105"/>
        <v>46295.985074330383</v>
      </c>
      <c r="GQ23" s="14">
        <f t="shared" si="105"/>
        <v>45833.025223587079</v>
      </c>
      <c r="GR23" s="14">
        <f t="shared" si="105"/>
        <v>45374.694971351208</v>
      </c>
      <c r="GS23" s="14">
        <f t="shared" si="105"/>
        <v>44920.948021637698</v>
      </c>
      <c r="GT23" s="14">
        <f t="shared" si="105"/>
        <v>44471.73854142132</v>
      </c>
      <c r="GU23" s="14">
        <f t="shared" si="105"/>
        <v>44027.021156007104</v>
      </c>
      <c r="GV23" s="14">
        <f t="shared" si="105"/>
        <v>43586.750944447034</v>
      </c>
      <c r="GW23" s="14">
        <f t="shared" si="105"/>
        <v>43150.883435002565</v>
      </c>
      <c r="GX23" s="14">
        <f t="shared" si="105"/>
        <v>42719.37460065254</v>
      </c>
      <c r="GY23" s="14">
        <f t="shared" si="105"/>
        <v>42292.180854646016</v>
      </c>
      <c r="GZ23" s="14">
        <f t="shared" si="105"/>
        <v>41869.259046099556</v>
      </c>
      <c r="HA23" s="14">
        <f t="shared" si="105"/>
        <v>41450.56645563856</v>
      </c>
      <c r="HB23" s="14">
        <f t="shared" si="105"/>
        <v>41036.060791082171</v>
      </c>
      <c r="HC23" s="14">
        <f t="shared" si="105"/>
        <v>40625.70018317135</v>
      </c>
      <c r="HD23" s="14">
        <f t="shared" si="105"/>
        <v>40219.443181339637</v>
      </c>
      <c r="HE23" s="14">
        <f t="shared" si="105"/>
        <v>39817.248749526239</v>
      </c>
      <c r="HF23" s="14">
        <f t="shared" si="105"/>
        <v>39419.076262030976</v>
      </c>
      <c r="HG23" s="14">
        <f t="shared" si="105"/>
        <v>39024.885499410666</v>
      </c>
      <c r="HH23" s="14">
        <f t="shared" si="105"/>
        <v>38634.636644416561</v>
      </c>
      <c r="HI23" s="14">
        <f t="shared" si="105"/>
        <v>38248.290277972395</v>
      </c>
      <c r="HJ23" s="14">
        <f t="shared" si="105"/>
        <v>37865.807375192671</v>
      </c>
      <c r="HK23" s="14">
        <f t="shared" si="105"/>
        <v>37487.149301440746</v>
      </c>
      <c r="HL23" s="14">
        <f t="shared" si="105"/>
        <v>37112.277808426341</v>
      </c>
      <c r="HM23" s="14">
        <f t="shared" si="105"/>
        <v>36741.155030342074</v>
      </c>
      <c r="HN23" s="14">
        <f t="shared" si="105"/>
        <v>36373.743480038655</v>
      </c>
      <c r="HO23" s="14">
        <f t="shared" si="105"/>
        <v>36010.006045238268</v>
      </c>
      <c r="HP23" s="14">
        <f t="shared" si="105"/>
        <v>35649.905984785888</v>
      </c>
      <c r="HQ23" s="14">
        <f t="shared" si="105"/>
        <v>35293.406924938026</v>
      </c>
      <c r="HR23" s="14">
        <f t="shared" si="105"/>
        <v>34940.472855688648</v>
      </c>
      <c r="HS23" s="14">
        <f t="shared" si="105"/>
        <v>34591.068127131759</v>
      </c>
      <c r="HT23" s="14">
        <f t="shared" si="105"/>
        <v>34245.157445860445</v>
      </c>
      <c r="HU23" s="14">
        <f t="shared" si="105"/>
        <v>33902.705871401842</v>
      </c>
      <c r="HV23" s="14">
        <f t="shared" si="105"/>
        <v>33563.678812687824</v>
      </c>
      <c r="HW23" s="14">
        <f t="shared" si="105"/>
        <v>33228.042024560942</v>
      </c>
      <c r="HX23" s="14">
        <f t="shared" si="105"/>
        <v>32895.761604315332</v>
      </c>
      <c r="HY23" s="14">
        <f t="shared" si="105"/>
        <v>32566.803988272179</v>
      </c>
      <c r="HZ23" s="14">
        <f t="shared" si="105"/>
        <v>32241.135948389456</v>
      </c>
      <c r="IA23" s="14">
        <f t="shared" si="105"/>
        <v>31918.724588905559</v>
      </c>
      <c r="IB23" s="14">
        <f t="shared" si="105"/>
        <v>31599.537343016502</v>
      </c>
      <c r="IC23" s="14">
        <f t="shared" si="105"/>
        <v>31283.541969586335</v>
      </c>
      <c r="ID23" s="14">
        <f t="shared" si="105"/>
        <v>30970.70654989047</v>
      </c>
      <c r="IE23" s="14">
        <f t="shared" si="105"/>
        <v>30660.999484391567</v>
      </c>
      <c r="IF23" s="14">
        <f t="shared" si="105"/>
        <v>30354.389489547651</v>
      </c>
      <c r="IG23" s="14">
        <f t="shared" si="105"/>
        <v>30050.845594652175</v>
      </c>
      <c r="IH23" s="14">
        <f t="shared" si="105"/>
        <v>29750.337138705654</v>
      </c>
      <c r="II23" s="14">
        <f t="shared" si="105"/>
        <v>29452.833767318596</v>
      </c>
      <c r="IJ23" s="14">
        <f t="shared" si="105"/>
        <v>29158.30542964541</v>
      </c>
      <c r="IK23" s="14">
        <f t="shared" si="105"/>
        <v>28866.722375348956</v>
      </c>
      <c r="IL23" s="14">
        <f t="shared" si="105"/>
        <v>28578.055151595465</v>
      </c>
      <c r="IM23" s="14">
        <f t="shared" ref="IM23:KX23" si="106">IL23*(1+$BH$33)</f>
        <v>28292.274600079509</v>
      </c>
      <c r="IN23" s="14">
        <f t="shared" si="106"/>
        <v>28009.351854078712</v>
      </c>
      <c r="IO23" s="14">
        <f t="shared" si="106"/>
        <v>27729.258335537925</v>
      </c>
      <c r="IP23" s="14">
        <f t="shared" si="106"/>
        <v>27451.965752182547</v>
      </c>
      <c r="IQ23" s="14">
        <f t="shared" si="106"/>
        <v>27177.446094660721</v>
      </c>
      <c r="IR23" s="14">
        <f t="shared" si="106"/>
        <v>26905.671633714115</v>
      </c>
      <c r="IS23" s="14">
        <f t="shared" si="106"/>
        <v>26636.614917376974</v>
      </c>
      <c r="IT23" s="14">
        <f t="shared" si="106"/>
        <v>26370.248768203204</v>
      </c>
      <c r="IU23" s="14">
        <f t="shared" si="106"/>
        <v>26106.546280521172</v>
      </c>
      <c r="IV23" s="14">
        <f t="shared" si="106"/>
        <v>25845.480817715961</v>
      </c>
      <c r="IW23" s="14">
        <f t="shared" si="106"/>
        <v>25587.0260095388</v>
      </c>
      <c r="IX23" s="14">
        <f t="shared" si="106"/>
        <v>25331.155749443413</v>
      </c>
      <c r="IY23" s="14">
        <f t="shared" si="106"/>
        <v>25077.844191948978</v>
      </c>
      <c r="IZ23" s="14">
        <f t="shared" si="106"/>
        <v>24827.065750029487</v>
      </c>
      <c r="JA23" s="14">
        <f t="shared" si="106"/>
        <v>24578.795092529192</v>
      </c>
      <c r="JB23" s="14">
        <f t="shared" si="106"/>
        <v>24333.007141603899</v>
      </c>
      <c r="JC23" s="14">
        <f t="shared" si="106"/>
        <v>24089.677070187859</v>
      </c>
      <c r="JD23" s="14">
        <f t="shared" si="106"/>
        <v>23848.780299485981</v>
      </c>
      <c r="JE23" s="14">
        <f t="shared" si="106"/>
        <v>23610.292496491122</v>
      </c>
      <c r="JF23" s="14">
        <f t="shared" si="106"/>
        <v>23374.189571526211</v>
      </c>
      <c r="JG23" s="14">
        <f t="shared" si="106"/>
        <v>23140.447675810949</v>
      </c>
      <c r="JH23" s="14">
        <f t="shared" si="106"/>
        <v>22909.043199052838</v>
      </c>
      <c r="JI23" s="14">
        <f t="shared" si="106"/>
        <v>22679.95276706231</v>
      </c>
      <c r="JJ23" s="14">
        <f t="shared" si="106"/>
        <v>22453.153239391686</v>
      </c>
      <c r="JK23" s="14">
        <f t="shared" si="106"/>
        <v>22228.621706997768</v>
      </c>
      <c r="JL23" s="14">
        <f t="shared" si="106"/>
        <v>22006.335489927791</v>
      </c>
      <c r="JM23" s="14">
        <f t="shared" si="106"/>
        <v>21786.272135028514</v>
      </c>
      <c r="JN23" s="14">
        <f t="shared" si="106"/>
        <v>21568.40941367823</v>
      </c>
      <c r="JO23" s="14">
        <f t="shared" si="106"/>
        <v>21352.725319541449</v>
      </c>
      <c r="JP23" s="14">
        <f t="shared" si="106"/>
        <v>21139.198066346034</v>
      </c>
      <c r="JQ23" s="14">
        <f t="shared" si="106"/>
        <v>20927.806085682572</v>
      </c>
      <c r="JR23" s="14">
        <f t="shared" si="106"/>
        <v>20718.528024825748</v>
      </c>
      <c r="JS23" s="14">
        <f t="shared" si="106"/>
        <v>20511.342744577491</v>
      </c>
      <c r="JT23" s="14">
        <f t="shared" si="106"/>
        <v>20306.229317131714</v>
      </c>
      <c r="JU23" s="14">
        <f t="shared" si="106"/>
        <v>20103.167023960395</v>
      </c>
      <c r="JV23" s="14">
        <f t="shared" si="106"/>
        <v>19902.135353720791</v>
      </c>
      <c r="JW23" s="14">
        <f t="shared" si="106"/>
        <v>19703.114000183581</v>
      </c>
      <c r="JX23" s="14">
        <f t="shared" si="106"/>
        <v>19506.082860181745</v>
      </c>
      <c r="JY23" s="14">
        <f t="shared" si="106"/>
        <v>19311.022031579927</v>
      </c>
      <c r="JZ23" s="14">
        <f t="shared" si="106"/>
        <v>19117.911811264126</v>
      </c>
      <c r="KA23" s="14">
        <f t="shared" si="106"/>
        <v>18926.732693151484</v>
      </c>
      <c r="KB23" s="14">
        <f t="shared" si="106"/>
        <v>18737.465366219967</v>
      </c>
      <c r="KC23" s="14">
        <f t="shared" si="106"/>
        <v>18550.090712557769</v>
      </c>
      <c r="KD23" s="14">
        <f t="shared" si="106"/>
        <v>18364.589805432191</v>
      </c>
      <c r="KE23" s="14">
        <f t="shared" si="106"/>
        <v>18180.94390737787</v>
      </c>
      <c r="KF23" s="14">
        <f t="shared" si="106"/>
        <v>17999.134468304092</v>
      </c>
      <c r="KG23" s="14">
        <f t="shared" si="106"/>
        <v>17819.143123621052</v>
      </c>
      <c r="KH23" s="14">
        <f t="shared" si="106"/>
        <v>17640.951692384842</v>
      </c>
      <c r="KI23" s="14">
        <f t="shared" si="106"/>
        <v>17464.542175460992</v>
      </c>
      <c r="KJ23" s="14">
        <f t="shared" si="106"/>
        <v>17289.896753706384</v>
      </c>
      <c r="KK23" s="14">
        <f t="shared" si="106"/>
        <v>17116.997786169319</v>
      </c>
      <c r="KL23" s="14">
        <f t="shared" si="106"/>
        <v>16945.827808307626</v>
      </c>
      <c r="KM23" s="14">
        <f t="shared" si="106"/>
        <v>16776.369530224551</v>
      </c>
      <c r="KN23" s="14">
        <f t="shared" si="106"/>
        <v>16608.605834922306</v>
      </c>
      <c r="KO23" s="14">
        <f t="shared" si="106"/>
        <v>16442.519776573081</v>
      </c>
      <c r="KP23" s="14">
        <f t="shared" si="106"/>
        <v>16278.09457880735</v>
      </c>
      <c r="KQ23" s="14">
        <f t="shared" si="106"/>
        <v>16115.313633019276</v>
      </c>
      <c r="KR23" s="14">
        <f t="shared" si="106"/>
        <v>15954.160496689083</v>
      </c>
      <c r="KS23" s="14">
        <f t="shared" si="106"/>
        <v>15794.618891722192</v>
      </c>
      <c r="KT23" s="14">
        <f t="shared" si="106"/>
        <v>15636.67270280497</v>
      </c>
      <c r="KU23" s="14">
        <f t="shared" si="106"/>
        <v>15480.305975776921</v>
      </c>
      <c r="KV23" s="14">
        <f t="shared" si="106"/>
        <v>15325.502916019152</v>
      </c>
      <c r="KW23" s="14">
        <f t="shared" si="106"/>
        <v>15172.247886858961</v>
      </c>
      <c r="KX23" s="14">
        <f t="shared" si="106"/>
        <v>15020.525407990372</v>
      </c>
      <c r="KY23" s="14">
        <f t="shared" ref="KY23:NJ23" si="107">KX23*(1+$BH$33)</f>
        <v>14870.320153910468</v>
      </c>
      <c r="KZ23" s="14">
        <f t="shared" si="107"/>
        <v>14721.616952371363</v>
      </c>
      <c r="LA23" s="14">
        <f t="shared" si="107"/>
        <v>14574.40078284765</v>
      </c>
      <c r="LB23" s="14">
        <f t="shared" si="107"/>
        <v>14428.656775019173</v>
      </c>
      <c r="LC23" s="14">
        <f t="shared" si="107"/>
        <v>14284.370207268981</v>
      </c>
      <c r="LD23" s="14">
        <f t="shared" si="107"/>
        <v>14141.526505196291</v>
      </c>
      <c r="LE23" s="14">
        <f t="shared" si="107"/>
        <v>14000.111240144328</v>
      </c>
      <c r="LF23" s="14">
        <f t="shared" si="107"/>
        <v>13860.110127742884</v>
      </c>
      <c r="LG23" s="14">
        <f t="shared" si="107"/>
        <v>13721.509026465455</v>
      </c>
      <c r="LH23" s="14">
        <f t="shared" si="107"/>
        <v>13584.2939362008</v>
      </c>
      <c r="LI23" s="14">
        <f t="shared" si="107"/>
        <v>13448.450996838792</v>
      </c>
      <c r="LJ23" s="14">
        <f t="shared" si="107"/>
        <v>13313.966486870404</v>
      </c>
      <c r="LK23" s="14">
        <f t="shared" si="107"/>
        <v>13180.8268220017</v>
      </c>
      <c r="LL23" s="14">
        <f t="shared" si="107"/>
        <v>13049.018553781683</v>
      </c>
      <c r="LM23" s="14">
        <f t="shared" si="107"/>
        <v>12918.528368243866</v>
      </c>
      <c r="LN23" s="14">
        <f t="shared" si="107"/>
        <v>12789.343084561428</v>
      </c>
      <c r="LO23" s="14">
        <f t="shared" si="107"/>
        <v>12661.449653715814</v>
      </c>
      <c r="LP23" s="14">
        <f t="shared" si="107"/>
        <v>12534.835157178655</v>
      </c>
      <c r="LQ23" s="14">
        <f t="shared" si="107"/>
        <v>12409.486805606868</v>
      </c>
      <c r="LR23" s="14">
        <f t="shared" si="107"/>
        <v>12285.391937550799</v>
      </c>
      <c r="LS23" s="14">
        <f t="shared" si="107"/>
        <v>12162.538018175292</v>
      </c>
      <c r="LT23" s="14">
        <f t="shared" si="107"/>
        <v>12040.912637993539</v>
      </c>
      <c r="LU23" s="14">
        <f t="shared" si="107"/>
        <v>11920.503511613604</v>
      </c>
      <c r="LV23" s="14">
        <f t="shared" si="107"/>
        <v>11801.298476497468</v>
      </c>
      <c r="LW23" s="14">
        <f t="shared" si="107"/>
        <v>11683.285491732493</v>
      </c>
      <c r="LX23" s="14">
        <f t="shared" si="107"/>
        <v>11566.452636815167</v>
      </c>
      <c r="LY23" s="14">
        <f t="shared" si="107"/>
        <v>11450.788110447016</v>
      </c>
      <c r="LZ23" s="14">
        <f t="shared" si="107"/>
        <v>11336.280229342547</v>
      </c>
      <c r="MA23" s="14">
        <f t="shared" si="107"/>
        <v>11222.91742704912</v>
      </c>
      <c r="MB23" s="14">
        <f t="shared" si="107"/>
        <v>11110.688252778629</v>
      </c>
      <c r="MC23" s="14">
        <f t="shared" si="107"/>
        <v>10999.581370250842</v>
      </c>
      <c r="MD23" s="14">
        <f t="shared" si="107"/>
        <v>10889.585556548334</v>
      </c>
      <c r="ME23" s="14">
        <f t="shared" si="107"/>
        <v>10780.689700982852</v>
      </c>
      <c r="MF23" s="14">
        <f t="shared" si="107"/>
        <v>10672.882803973023</v>
      </c>
      <c r="MG23" s="14">
        <f t="shared" si="107"/>
        <v>10566.153975933294</v>
      </c>
      <c r="MH23" s="14">
        <f t="shared" si="107"/>
        <v>10460.492436173961</v>
      </c>
      <c r="MI23" s="14">
        <f t="shared" si="107"/>
        <v>10355.887511812221</v>
      </c>
      <c r="MJ23" s="14">
        <f t="shared" si="107"/>
        <v>10252.328636694099</v>
      </c>
      <c r="MK23" s="14">
        <f t="shared" si="107"/>
        <v>10149.805350327159</v>
      </c>
      <c r="ML23" s="14">
        <f t="shared" si="107"/>
        <v>10048.307296823887</v>
      </c>
      <c r="MM23" s="14">
        <f t="shared" si="107"/>
        <v>9947.8242238556486</v>
      </c>
      <c r="MN23" s="14">
        <f t="shared" si="107"/>
        <v>9848.3459816170925</v>
      </c>
      <c r="MO23" s="14">
        <f t="shared" si="107"/>
        <v>9749.862521800922</v>
      </c>
      <c r="MP23" s="14">
        <f t="shared" si="107"/>
        <v>9652.3638965829123</v>
      </c>
      <c r="MQ23" s="14">
        <f t="shared" si="107"/>
        <v>9555.8402576170829</v>
      </c>
      <c r="MR23" s="14">
        <f t="shared" si="107"/>
        <v>9460.281855040912</v>
      </c>
      <c r="MS23" s="14">
        <f t="shared" si="107"/>
        <v>9365.6790364905028</v>
      </c>
      <c r="MT23" s="14">
        <f t="shared" si="107"/>
        <v>9272.022246125598</v>
      </c>
      <c r="MU23" s="14">
        <f t="shared" si="107"/>
        <v>9179.3020236643424</v>
      </c>
      <c r="MV23" s="14">
        <f t="shared" si="107"/>
        <v>9087.5090034276982</v>
      </c>
      <c r="MW23" s="14">
        <f t="shared" si="107"/>
        <v>8996.6339133934216</v>
      </c>
      <c r="MX23" s="14">
        <f t="shared" si="107"/>
        <v>8906.6675742594871</v>
      </c>
      <c r="MY23" s="14">
        <f t="shared" si="107"/>
        <v>8817.6008985168919</v>
      </c>
      <c r="MZ23" s="14">
        <f t="shared" si="107"/>
        <v>8729.4248895317232</v>
      </c>
      <c r="NA23" s="14">
        <f t="shared" si="107"/>
        <v>8642.1306406364056</v>
      </c>
      <c r="NB23" s="14">
        <f t="shared" si="107"/>
        <v>8555.7093342300413</v>
      </c>
      <c r="NC23" s="14">
        <f t="shared" si="107"/>
        <v>8470.1522408877408</v>
      </c>
      <c r="ND23" s="14">
        <f t="shared" si="107"/>
        <v>8385.4507184788636</v>
      </c>
      <c r="NE23" s="14">
        <f t="shared" si="107"/>
        <v>8301.5962112940742</v>
      </c>
      <c r="NF23" s="14">
        <f t="shared" si="107"/>
        <v>8218.5802491811337</v>
      </c>
      <c r="NG23" s="14">
        <f t="shared" si="107"/>
        <v>8136.3944466893226</v>
      </c>
      <c r="NH23" s="14">
        <f t="shared" si="107"/>
        <v>8055.0305022224293</v>
      </c>
      <c r="NI23" s="14">
        <f t="shared" si="107"/>
        <v>7974.4801972002051</v>
      </c>
      <c r="NJ23" s="14">
        <f t="shared" si="107"/>
        <v>7894.7353952282028</v>
      </c>
      <c r="NK23" s="14">
        <f t="shared" ref="NK23:PV23" si="108">NJ23*(1+$BH$33)</f>
        <v>7815.7880412759205</v>
      </c>
      <c r="NL23" s="14">
        <f t="shared" si="108"/>
        <v>7737.6301608631611</v>
      </c>
      <c r="NM23" s="14">
        <f t="shared" si="108"/>
        <v>7660.2538592545297</v>
      </c>
      <c r="NN23" s="14">
        <f t="shared" si="108"/>
        <v>7583.6513206619848</v>
      </c>
      <c r="NO23" s="14">
        <f t="shared" si="108"/>
        <v>7507.8148074553646</v>
      </c>
      <c r="NP23" s="14">
        <f t="shared" si="108"/>
        <v>7432.736659380811</v>
      </c>
      <c r="NQ23" s="14">
        <f t="shared" si="108"/>
        <v>7358.4092927870024</v>
      </c>
      <c r="NR23" s="14">
        <f t="shared" si="108"/>
        <v>7284.8251998591322</v>
      </c>
      <c r="NS23" s="14">
        <f t="shared" si="108"/>
        <v>7211.9769478605413</v>
      </c>
      <c r="NT23" s="14">
        <f t="shared" si="108"/>
        <v>7139.8571783819361</v>
      </c>
      <c r="NU23" s="14">
        <f t="shared" si="108"/>
        <v>7068.4586065981166</v>
      </c>
      <c r="NV23" s="14">
        <f t="shared" si="108"/>
        <v>6997.7740205321352</v>
      </c>
      <c r="NW23" s="14">
        <f t="shared" si="108"/>
        <v>6927.7962803268138</v>
      </c>
      <c r="NX23" s="14">
        <f t="shared" si="108"/>
        <v>6858.5183175235452</v>
      </c>
      <c r="NY23" s="14">
        <f t="shared" si="108"/>
        <v>6789.93313434831</v>
      </c>
      <c r="NZ23" s="14">
        <f t="shared" si="108"/>
        <v>6722.033803004827</v>
      </c>
      <c r="OA23" s="14">
        <f t="shared" si="108"/>
        <v>6654.813464974779</v>
      </c>
      <c r="OB23" s="14">
        <f t="shared" si="108"/>
        <v>6588.2653303250308</v>
      </c>
      <c r="OC23" s="14">
        <f t="shared" si="108"/>
        <v>6522.3826770217802</v>
      </c>
      <c r="OD23" s="14">
        <f t="shared" si="108"/>
        <v>6457.1588502515624</v>
      </c>
      <c r="OE23" s="14">
        <f t="shared" si="108"/>
        <v>6392.5872617490468</v>
      </c>
      <c r="OF23" s="14">
        <f t="shared" si="108"/>
        <v>6328.6613891315565</v>
      </c>
      <c r="OG23" s="14">
        <f t="shared" si="108"/>
        <v>6265.3747752402405</v>
      </c>
      <c r="OH23" s="14">
        <f t="shared" si="108"/>
        <v>6202.721027487838</v>
      </c>
      <c r="OI23" s="14">
        <f t="shared" si="108"/>
        <v>6140.6938172129594</v>
      </c>
      <c r="OJ23" s="14">
        <f t="shared" si="108"/>
        <v>6079.2868790408302</v>
      </c>
      <c r="OK23" s="14">
        <f t="shared" si="108"/>
        <v>6018.4940102504215</v>
      </c>
      <c r="OL23" s="14">
        <f t="shared" si="108"/>
        <v>5958.3090701479168</v>
      </c>
      <c r="OM23" s="14">
        <f t="shared" si="108"/>
        <v>5898.725979446438</v>
      </c>
      <c r="ON23" s="14">
        <f t="shared" si="108"/>
        <v>5839.738719651974</v>
      </c>
      <c r="OO23" s="14">
        <f t="shared" si="108"/>
        <v>5781.341332455454</v>
      </c>
      <c r="OP23" s="14">
        <f t="shared" si="108"/>
        <v>5723.5279191308991</v>
      </c>
      <c r="OQ23" s="14">
        <f t="shared" si="108"/>
        <v>5666.2926399395901</v>
      </c>
      <c r="OR23" s="14">
        <f t="shared" si="108"/>
        <v>5609.6297135401937</v>
      </c>
      <c r="OS23" s="14">
        <f t="shared" si="108"/>
        <v>5553.5334164047918</v>
      </c>
      <c r="OT23" s="14">
        <f t="shared" si="108"/>
        <v>5497.9980822407442</v>
      </c>
      <c r="OU23" s="14">
        <f t="shared" si="108"/>
        <v>5443.0181014183363</v>
      </c>
      <c r="OV23" s="14">
        <f t="shared" si="108"/>
        <v>5388.587920404153</v>
      </c>
      <c r="OW23" s="14">
        <f t="shared" si="108"/>
        <v>5334.7020412001111</v>
      </c>
      <c r="OX23" s="14">
        <f t="shared" si="108"/>
        <v>5281.3550207881099</v>
      </c>
      <c r="OY23" s="14">
        <f t="shared" si="108"/>
        <v>5228.5414705802286</v>
      </c>
      <c r="OZ23" s="14">
        <f t="shared" si="108"/>
        <v>5176.2560558744262</v>
      </c>
      <c r="PA23" s="14">
        <f t="shared" si="108"/>
        <v>5124.4934953156817</v>
      </c>
      <c r="PB23" s="14">
        <f t="shared" si="108"/>
        <v>5073.2485603625246</v>
      </c>
      <c r="PC23" s="14">
        <f t="shared" si="108"/>
        <v>5022.5160747588989</v>
      </c>
      <c r="PD23" s="14">
        <f t="shared" si="108"/>
        <v>4972.2909140113097</v>
      </c>
      <c r="PE23" s="14">
        <f t="shared" si="108"/>
        <v>4922.5680048711965</v>
      </c>
      <c r="PF23" s="14">
        <f t="shared" si="108"/>
        <v>4873.3423248224844</v>
      </c>
      <c r="PG23" s="14">
        <f t="shared" si="108"/>
        <v>4824.6089015742591</v>
      </c>
      <c r="PH23" s="14">
        <f t="shared" si="108"/>
        <v>4776.3628125585165</v>
      </c>
      <c r="PI23" s="14">
        <f t="shared" si="108"/>
        <v>4728.599184432931</v>
      </c>
      <c r="PJ23" s="14">
        <f t="shared" si="108"/>
        <v>4681.3131925886019</v>
      </c>
      <c r="PK23" s="14">
        <f t="shared" si="108"/>
        <v>4634.5000606627154</v>
      </c>
      <c r="PL23" s="14">
        <f t="shared" si="108"/>
        <v>4588.1550600560886</v>
      </c>
      <c r="PM23" s="14">
        <f t="shared" si="108"/>
        <v>4542.2735094555273</v>
      </c>
      <c r="PN23" s="14">
        <f t="shared" si="108"/>
        <v>4496.8507743609716</v>
      </c>
      <c r="PO23" s="14">
        <f t="shared" si="108"/>
        <v>4451.8822666173619</v>
      </c>
      <c r="PP23" s="14">
        <f t="shared" si="108"/>
        <v>4407.3634439511879</v>
      </c>
      <c r="PQ23" s="14">
        <f t="shared" si="108"/>
        <v>4363.2898095116761</v>
      </c>
      <c r="PR23" s="14">
        <f t="shared" si="108"/>
        <v>4319.6569114165595</v>
      </c>
      <c r="PS23" s="14">
        <f t="shared" si="108"/>
        <v>4276.4603423023937</v>
      </c>
      <c r="PT23" s="14">
        <f t="shared" si="108"/>
        <v>4233.6957388793699</v>
      </c>
      <c r="PU23" s="14">
        <f t="shared" si="108"/>
        <v>4191.3587814905759</v>
      </c>
      <c r="PV23" s="14">
        <f t="shared" si="108"/>
        <v>4149.4451936756705</v>
      </c>
      <c r="PW23" s="14">
        <f t="shared" ref="PW23:SH23" si="109">PV23*(1+$BH$33)</f>
        <v>4107.9507417389141</v>
      </c>
      <c r="PX23" s="14">
        <f t="shared" si="109"/>
        <v>4066.8712343215248</v>
      </c>
      <c r="PY23" s="14">
        <f t="shared" si="109"/>
        <v>4026.2025219783095</v>
      </c>
      <c r="PZ23" s="14">
        <f t="shared" si="109"/>
        <v>3985.9404967585265</v>
      </c>
      <c r="QA23" s="14">
        <f t="shared" si="109"/>
        <v>3946.0810917909412</v>
      </c>
      <c r="QB23" s="14">
        <f t="shared" si="109"/>
        <v>3906.6202808730318</v>
      </c>
      <c r="QC23" s="14">
        <f t="shared" si="109"/>
        <v>3867.5540780643014</v>
      </c>
      <c r="QD23" s="14">
        <f t="shared" si="109"/>
        <v>3828.8785372836583</v>
      </c>
      <c r="QE23" s="14">
        <f t="shared" si="109"/>
        <v>3790.5897519108216</v>
      </c>
      <c r="QF23" s="14">
        <f t="shared" si="109"/>
        <v>3752.6838543917133</v>
      </c>
      <c r="QG23" s="14">
        <f t="shared" si="109"/>
        <v>3715.1570158477962</v>
      </c>
      <c r="QH23" s="14">
        <f t="shared" si="109"/>
        <v>3678.0054456893181</v>
      </c>
      <c r="QI23" s="14">
        <f t="shared" si="109"/>
        <v>3641.225391232425</v>
      </c>
      <c r="QJ23" s="14">
        <f t="shared" si="109"/>
        <v>3604.8131373201009</v>
      </c>
      <c r="QK23" s="14">
        <f t="shared" si="109"/>
        <v>3568.7650059468997</v>
      </c>
      <c r="QL23" s="14">
        <f t="shared" si="109"/>
        <v>3533.0773558874307</v>
      </c>
      <c r="QM23" s="14">
        <f t="shared" si="109"/>
        <v>3497.7465823285565</v>
      </c>
      <c r="QN23" s="14">
        <f t="shared" si="109"/>
        <v>3462.7691165052711</v>
      </c>
      <c r="QO23" s="14">
        <f t="shared" si="109"/>
        <v>3428.1414253402181</v>
      </c>
      <c r="QP23" s="14">
        <f t="shared" si="109"/>
        <v>3393.860011086816</v>
      </c>
      <c r="QQ23" s="14">
        <f t="shared" si="109"/>
        <v>3359.9214109759478</v>
      </c>
      <c r="QR23" s="14">
        <f t="shared" si="109"/>
        <v>3326.3221968661883</v>
      </c>
      <c r="QS23" s="14">
        <f t="shared" si="109"/>
        <v>3293.0589748975262</v>
      </c>
      <c r="QT23" s="14">
        <f t="shared" si="109"/>
        <v>3260.1283851485509</v>
      </c>
      <c r="QU23" s="14">
        <f t="shared" si="109"/>
        <v>3227.5271012970652</v>
      </c>
      <c r="QV23" s="14">
        <f t="shared" si="109"/>
        <v>3195.2518302840945</v>
      </c>
      <c r="QW23" s="14">
        <f t="shared" si="109"/>
        <v>3163.2993119812536</v>
      </c>
      <c r="QX23" s="14">
        <f t="shared" si="109"/>
        <v>3131.6663188614411</v>
      </c>
      <c r="QY23" s="14">
        <f t="shared" si="109"/>
        <v>3100.3496556728269</v>
      </c>
      <c r="QZ23" s="14">
        <f t="shared" si="109"/>
        <v>3069.3461591160985</v>
      </c>
      <c r="RA23" s="14">
        <f t="shared" si="109"/>
        <v>3038.6526975249376</v>
      </c>
      <c r="RB23" s="14">
        <f t="shared" si="109"/>
        <v>3008.266170549688</v>
      </c>
      <c r="RC23" s="14">
        <f t="shared" si="109"/>
        <v>2978.1835088441912</v>
      </c>
      <c r="RD23" s="14">
        <f t="shared" si="109"/>
        <v>2948.4016737557495</v>
      </c>
      <c r="RE23" s="14">
        <f t="shared" si="109"/>
        <v>2918.9176570181921</v>
      </c>
      <c r="RF23" s="14">
        <f t="shared" si="109"/>
        <v>2889.72848044801</v>
      </c>
      <c r="RG23" s="14">
        <f t="shared" si="109"/>
        <v>2860.83119564353</v>
      </c>
      <c r="RH23" s="14">
        <f t="shared" si="109"/>
        <v>2832.2228836870945</v>
      </c>
      <c r="RI23" s="14">
        <f t="shared" si="109"/>
        <v>2803.9006548502234</v>
      </c>
      <c r="RJ23" s="14">
        <f t="shared" si="109"/>
        <v>2775.8616483017213</v>
      </c>
      <c r="RK23" s="14">
        <f t="shared" si="109"/>
        <v>2748.103031818704</v>
      </c>
      <c r="RL23" s="14">
        <f t="shared" si="109"/>
        <v>2720.6220015005169</v>
      </c>
      <c r="RM23" s="14">
        <f t="shared" si="109"/>
        <v>2693.4157814855116</v>
      </c>
      <c r="RN23" s="14">
        <f t="shared" si="109"/>
        <v>2666.4816236706565</v>
      </c>
      <c r="RO23" s="14">
        <f t="shared" si="109"/>
        <v>2639.8168074339501</v>
      </c>
      <c r="RP23" s="14">
        <f t="shared" si="109"/>
        <v>2613.4186393596106</v>
      </c>
      <c r="RQ23" s="14">
        <f t="shared" si="109"/>
        <v>2587.2844529660142</v>
      </c>
      <c r="RR23" s="14">
        <f t="shared" si="109"/>
        <v>2561.4116084363541</v>
      </c>
      <c r="RS23" s="14">
        <f t="shared" si="109"/>
        <v>2535.7974923519905</v>
      </c>
      <c r="RT23" s="14">
        <f t="shared" si="109"/>
        <v>2510.4395174284705</v>
      </c>
      <c r="RU23" s="14">
        <f t="shared" si="109"/>
        <v>2485.3351222541855</v>
      </c>
      <c r="RV23" s="14">
        <f t="shared" si="109"/>
        <v>2460.4817710316438</v>
      </c>
      <c r="RW23" s="14">
        <f t="shared" si="109"/>
        <v>2435.8769533213272</v>
      </c>
      <c r="RX23" s="14">
        <f t="shared" si="109"/>
        <v>2411.5181837881137</v>
      </c>
      <c r="RY23" s="14">
        <f t="shared" si="109"/>
        <v>2387.4030019502325</v>
      </c>
      <c r="RZ23" s="14">
        <f t="shared" si="109"/>
        <v>2363.5289719307302</v>
      </c>
      <c r="SA23" s="14">
        <f t="shared" si="109"/>
        <v>2339.8936822114229</v>
      </c>
      <c r="SB23" s="14">
        <f t="shared" si="109"/>
        <v>2316.4947453893087</v>
      </c>
      <c r="SC23" s="14">
        <f t="shared" si="109"/>
        <v>2293.3297979354156</v>
      </c>
      <c r="SD23" s="14">
        <f t="shared" si="109"/>
        <v>2270.3964999560612</v>
      </c>
      <c r="SE23" s="14">
        <f t="shared" si="109"/>
        <v>2247.6925349565008</v>
      </c>
      <c r="SF23" s="14">
        <f t="shared" si="109"/>
        <v>2225.2156096069357</v>
      </c>
      <c r="SG23" s="14">
        <f t="shared" si="109"/>
        <v>2202.9634535108662</v>
      </c>
      <c r="SH23" s="14">
        <f t="shared" si="109"/>
        <v>2180.9338189757577</v>
      </c>
      <c r="SI23" s="14">
        <f t="shared" ref="SI23:UT23" si="110">SH23*(1+$BH$33)</f>
        <v>2159.1244807860003</v>
      </c>
      <c r="SJ23" s="14">
        <f t="shared" si="110"/>
        <v>2137.5332359781401</v>
      </c>
      <c r="SK23" s="14">
        <f t="shared" si="110"/>
        <v>2116.1579036183584</v>
      </c>
      <c r="SL23" s="14">
        <f t="shared" si="110"/>
        <v>2094.996324582175</v>
      </c>
      <c r="SM23" s="14">
        <f t="shared" si="110"/>
        <v>2074.0463613363531</v>
      </c>
      <c r="SN23" s="14">
        <f t="shared" si="110"/>
        <v>2053.3058977229894</v>
      </c>
      <c r="SO23" s="14">
        <f t="shared" si="110"/>
        <v>2032.7728387457594</v>
      </c>
      <c r="SP23" s="14">
        <f t="shared" si="110"/>
        <v>2012.4451103583017</v>
      </c>
      <c r="SQ23" s="14">
        <f t="shared" si="110"/>
        <v>1992.3206592547187</v>
      </c>
      <c r="SR23" s="14">
        <f t="shared" si="110"/>
        <v>1972.3974526621716</v>
      </c>
      <c r="SS23" s="14">
        <f t="shared" si="110"/>
        <v>1952.6734781355499</v>
      </c>
      <c r="ST23" s="14">
        <f t="shared" si="110"/>
        <v>1933.1467433541943</v>
      </c>
      <c r="SU23" s="14">
        <f t="shared" si="110"/>
        <v>1913.8152759206523</v>
      </c>
      <c r="SV23" s="14">
        <f t="shared" si="110"/>
        <v>1894.6771231614457</v>
      </c>
      <c r="SW23" s="14">
        <f t="shared" si="110"/>
        <v>1875.7303519298312</v>
      </c>
      <c r="SX23" s="14">
        <f t="shared" si="110"/>
        <v>1856.9730484105328</v>
      </c>
      <c r="SY23" s="14">
        <f t="shared" si="110"/>
        <v>1838.4033179264275</v>
      </c>
      <c r="SZ23" s="14">
        <f t="shared" si="110"/>
        <v>1820.0192847471633</v>
      </c>
      <c r="TA23" s="14">
        <f t="shared" si="110"/>
        <v>1801.8190918996916</v>
      </c>
      <c r="TB23" s="14">
        <f t="shared" si="110"/>
        <v>1783.8009009806947</v>
      </c>
      <c r="TC23" s="14">
        <f t="shared" si="110"/>
        <v>1765.9628919708878</v>
      </c>
      <c r="TD23" s="14">
        <f t="shared" si="110"/>
        <v>1748.3032630511789</v>
      </c>
      <c r="TE23" s="14">
        <f t="shared" si="110"/>
        <v>1730.820230420667</v>
      </c>
      <c r="TF23" s="14">
        <f t="shared" si="110"/>
        <v>1713.5120281164604</v>
      </c>
      <c r="TG23" s="14">
        <f t="shared" si="110"/>
        <v>1696.3769078352959</v>
      </c>
      <c r="TH23" s="14">
        <f t="shared" si="110"/>
        <v>1679.413138756943</v>
      </c>
      <c r="TI23" s="14">
        <f t="shared" si="110"/>
        <v>1662.6190073693735</v>
      </c>
      <c r="TJ23" s="14">
        <f t="shared" si="110"/>
        <v>1645.9928172956797</v>
      </c>
      <c r="TK23" s="14">
        <f t="shared" si="110"/>
        <v>1629.532889122723</v>
      </c>
      <c r="TL23" s="14">
        <f t="shared" si="110"/>
        <v>1613.2375602314958</v>
      </c>
      <c r="TM23" s="14">
        <f t="shared" si="110"/>
        <v>1597.1051846291807</v>
      </c>
      <c r="TN23" s="14">
        <f t="shared" si="110"/>
        <v>1581.1341327828889</v>
      </c>
      <c r="TO23" s="14">
        <f t="shared" si="110"/>
        <v>1565.32279145506</v>
      </c>
      <c r="TP23" s="14">
        <f t="shared" si="110"/>
        <v>1549.6695635405094</v>
      </c>
      <c r="TQ23" s="14">
        <f t="shared" si="110"/>
        <v>1534.1728679051043</v>
      </c>
      <c r="TR23" s="14">
        <f t="shared" si="110"/>
        <v>1518.8311392260532</v>
      </c>
      <c r="TS23" s="14">
        <f t="shared" si="110"/>
        <v>1503.6428278337926</v>
      </c>
      <c r="TT23" s="14">
        <f t="shared" si="110"/>
        <v>1488.6063995554546</v>
      </c>
      <c r="TU23" s="14">
        <f t="shared" si="110"/>
        <v>1473.7203355598999</v>
      </c>
      <c r="TV23" s="14">
        <f t="shared" si="110"/>
        <v>1458.983132204301</v>
      </c>
      <c r="TW23" s="14">
        <f t="shared" si="110"/>
        <v>1444.393300882258</v>
      </c>
      <c r="TX23" s="14">
        <f t="shared" si="110"/>
        <v>1429.9493678734354</v>
      </c>
      <c r="TY23" s="14">
        <f t="shared" si="110"/>
        <v>1415.6498741947012</v>
      </c>
      <c r="TZ23" s="14">
        <f t="shared" si="110"/>
        <v>1401.4933754527542</v>
      </c>
      <c r="UA23" s="14">
        <f t="shared" si="110"/>
        <v>1387.4784416982266</v>
      </c>
      <c r="UB23" s="14">
        <f t="shared" si="110"/>
        <v>1373.6036572812443</v>
      </c>
      <c r="UC23" s="14">
        <f t="shared" si="110"/>
        <v>1359.8676207084318</v>
      </c>
      <c r="UD23" s="14">
        <f t="shared" si="110"/>
        <v>1346.2689445013475</v>
      </c>
      <c r="UE23" s="14">
        <f t="shared" si="110"/>
        <v>1332.8062550563341</v>
      </c>
      <c r="UF23" s="14">
        <f t="shared" si="110"/>
        <v>1319.4781925057707</v>
      </c>
      <c r="UG23" s="14">
        <f t="shared" si="110"/>
        <v>1306.2834105807131</v>
      </c>
      <c r="UH23" s="14">
        <f t="shared" si="110"/>
        <v>1293.220576474906</v>
      </c>
      <c r="UI23" s="14">
        <f t="shared" si="110"/>
        <v>1280.2883707101569</v>
      </c>
      <c r="UJ23" s="14">
        <f t="shared" si="110"/>
        <v>1267.4854870030554</v>
      </c>
      <c r="UK23" s="14">
        <f t="shared" si="110"/>
        <v>1254.8106321330249</v>
      </c>
      <c r="UL23" s="14">
        <f t="shared" si="110"/>
        <v>1242.2625258116946</v>
      </c>
      <c r="UM23" s="14">
        <f t="shared" si="110"/>
        <v>1229.8399005535775</v>
      </c>
      <c r="UN23" s="14">
        <f t="shared" si="110"/>
        <v>1217.5415015480417</v>
      </c>
      <c r="UO23" s="14">
        <f t="shared" si="110"/>
        <v>1205.3660865325612</v>
      </c>
      <c r="UP23" s="14">
        <f t="shared" si="110"/>
        <v>1193.3124256672356</v>
      </c>
      <c r="UQ23" s="14">
        <f t="shared" si="110"/>
        <v>1181.3793014105634</v>
      </c>
      <c r="UR23" s="14">
        <f t="shared" si="110"/>
        <v>1169.5655083964577</v>
      </c>
      <c r="US23" s="14">
        <f t="shared" si="110"/>
        <v>1157.8698533124932</v>
      </c>
      <c r="UT23" s="14">
        <f t="shared" si="110"/>
        <v>1146.2911547793683</v>
      </c>
      <c r="UU23" s="14">
        <f t="shared" ref="UU23:XF23" si="111">UT23*(1+$BH$33)</f>
        <v>1134.8282432315746</v>
      </c>
      <c r="UV23" s="14">
        <f t="shared" si="111"/>
        <v>1123.4799607992588</v>
      </c>
      <c r="UW23" s="14">
        <f t="shared" si="111"/>
        <v>1112.2451611912663</v>
      </c>
      <c r="UX23" s="14">
        <f t="shared" si="111"/>
        <v>1101.1227095793536</v>
      </c>
      <c r="UY23" s="14">
        <f t="shared" si="111"/>
        <v>1090.1114824835599</v>
      </c>
      <c r="UZ23" s="14">
        <f t="shared" si="111"/>
        <v>1079.2103676587244</v>
      </c>
      <c r="VA23" s="14">
        <f t="shared" si="111"/>
        <v>1068.4182639821372</v>
      </c>
      <c r="VB23" s="14">
        <f t="shared" si="111"/>
        <v>1057.7340813423159</v>
      </c>
      <c r="VC23" s="14">
        <f t="shared" si="111"/>
        <v>1047.1567405288927</v>
      </c>
      <c r="VD23" s="14">
        <f t="shared" si="111"/>
        <v>1036.6851731236038</v>
      </c>
      <c r="VE23" s="14">
        <f t="shared" si="111"/>
        <v>1026.3183213923678</v>
      </c>
      <c r="VF23" s="14">
        <f t="shared" si="111"/>
        <v>1016.0551381784442</v>
      </c>
      <c r="VG23" s="14">
        <f t="shared" si="111"/>
        <v>1005.8945867966597</v>
      </c>
      <c r="VH23" s="14">
        <f t="shared" si="111"/>
        <v>995.83564092869312</v>
      </c>
      <c r="VI23" s="14">
        <f t="shared" si="111"/>
        <v>985.8772845194062</v>
      </c>
      <c r="VJ23" s="14">
        <f t="shared" si="111"/>
        <v>976.01851167421216</v>
      </c>
      <c r="VK23" s="14">
        <f t="shared" si="111"/>
        <v>966.25832655747001</v>
      </c>
      <c r="VL23" s="14">
        <f t="shared" si="111"/>
        <v>956.59574329189536</v>
      </c>
      <c r="VM23" s="14">
        <f t="shared" si="111"/>
        <v>947.02978585897642</v>
      </c>
      <c r="VN23" s="14">
        <f t="shared" si="111"/>
        <v>937.55948800038664</v>
      </c>
      <c r="VO23" s="14">
        <f t="shared" si="111"/>
        <v>928.18389312038278</v>
      </c>
      <c r="VP23" s="14">
        <f t="shared" si="111"/>
        <v>918.9020541891789</v>
      </c>
      <c r="VQ23" s="14">
        <f t="shared" si="111"/>
        <v>909.71303364728715</v>
      </c>
      <c r="VR23" s="14">
        <f t="shared" si="111"/>
        <v>900.61590331081425</v>
      </c>
      <c r="VS23" s="14">
        <f t="shared" si="111"/>
        <v>891.60974427770611</v>
      </c>
      <c r="VT23" s="14">
        <f t="shared" si="111"/>
        <v>882.69364683492904</v>
      </c>
      <c r="VU23" s="14">
        <f t="shared" si="111"/>
        <v>873.8667103665797</v>
      </c>
      <c r="VV23" s="14">
        <f t="shared" si="111"/>
        <v>865.12804326291393</v>
      </c>
      <c r="VW23" s="14">
        <f t="shared" si="111"/>
        <v>856.47676283028477</v>
      </c>
      <c r="VX23" s="14">
        <f t="shared" si="111"/>
        <v>847.91199520198188</v>
      </c>
      <c r="VY23" s="14">
        <f t="shared" si="111"/>
        <v>839.43287524996208</v>
      </c>
      <c r="VZ23" s="14">
        <f t="shared" si="111"/>
        <v>831.03854649746245</v>
      </c>
      <c r="WA23" s="14">
        <f t="shared" si="111"/>
        <v>822.72816103248783</v>
      </c>
      <c r="WB23" s="14">
        <f t="shared" si="111"/>
        <v>814.50087942216294</v>
      </c>
      <c r="WC23" s="14">
        <f t="shared" si="111"/>
        <v>806.35587062794127</v>
      </c>
      <c r="WD23" s="14">
        <f t="shared" si="111"/>
        <v>798.29231192166185</v>
      </c>
      <c r="WE23" s="14">
        <f t="shared" si="111"/>
        <v>790.30938880244526</v>
      </c>
      <c r="WF23" s="14">
        <f t="shared" si="111"/>
        <v>782.40629491442076</v>
      </c>
      <c r="WG23" s="14">
        <f t="shared" si="111"/>
        <v>774.58223196527649</v>
      </c>
      <c r="WH23" s="14">
        <f t="shared" si="111"/>
        <v>766.83640964562369</v>
      </c>
      <c r="WI23" s="14">
        <f t="shared" si="111"/>
        <v>759.16804554916746</v>
      </c>
      <c r="WJ23" s="14">
        <f t="shared" si="111"/>
        <v>751.5763650936758</v>
      </c>
      <c r="WK23" s="14">
        <f t="shared" si="111"/>
        <v>744.06060144273908</v>
      </c>
      <c r="WL23" s="14">
        <f t="shared" si="111"/>
        <v>736.61999542831165</v>
      </c>
      <c r="WM23" s="14">
        <f t="shared" si="111"/>
        <v>729.25379547402849</v>
      </c>
      <c r="WN23" s="14">
        <f t="shared" si="111"/>
        <v>721.96125751928821</v>
      </c>
      <c r="WO23" s="14">
        <f t="shared" si="111"/>
        <v>714.74164494409536</v>
      </c>
      <c r="WP23" s="14">
        <f t="shared" si="111"/>
        <v>707.59422849465443</v>
      </c>
      <c r="WQ23" s="14">
        <f t="shared" si="111"/>
        <v>700.51828620970787</v>
      </c>
      <c r="WR23" s="14">
        <f t="shared" si="111"/>
        <v>693.51310334761081</v>
      </c>
      <c r="WS23" s="14">
        <f t="shared" si="111"/>
        <v>686.57797231413474</v>
      </c>
      <c r="WT23" s="14">
        <f t="shared" si="111"/>
        <v>679.71219259099337</v>
      </c>
      <c r="WU23" s="14">
        <f t="shared" si="111"/>
        <v>672.91507066508348</v>
      </c>
      <c r="WV23" s="14">
        <f t="shared" si="111"/>
        <v>666.18591995843269</v>
      </c>
      <c r="WW23" s="14">
        <f t="shared" si="111"/>
        <v>659.52406075884835</v>
      </c>
      <c r="WX23" s="14">
        <f t="shared" si="111"/>
        <v>652.92882015125986</v>
      </c>
      <c r="WY23" s="14">
        <f t="shared" si="111"/>
        <v>646.39953194974726</v>
      </c>
      <c r="WZ23" s="14">
        <f t="shared" si="111"/>
        <v>639.93553663024977</v>
      </c>
      <c r="XA23" s="14">
        <f t="shared" si="111"/>
        <v>633.53618126394724</v>
      </c>
      <c r="XB23" s="14">
        <f t="shared" si="111"/>
        <v>627.20081945130778</v>
      </c>
      <c r="XC23" s="14">
        <f t="shared" si="111"/>
        <v>620.92881125679469</v>
      </c>
      <c r="XD23" s="14">
        <f t="shared" si="111"/>
        <v>614.71952314422674</v>
      </c>
      <c r="XE23" s="14">
        <f t="shared" si="111"/>
        <v>608.57232791278443</v>
      </c>
      <c r="XF23" s="14">
        <f t="shared" si="111"/>
        <v>602.48660463365661</v>
      </c>
      <c r="XG23" s="14">
        <f t="shared" ref="XG23:ZR23" si="112">XF23*(1+$BH$33)</f>
        <v>596.46173858732004</v>
      </c>
      <c r="XH23" s="14">
        <f t="shared" si="112"/>
        <v>590.49712120144682</v>
      </c>
      <c r="XI23" s="14">
        <f t="shared" si="112"/>
        <v>584.5921499894323</v>
      </c>
      <c r="XJ23" s="14">
        <f t="shared" si="112"/>
        <v>578.746228489538</v>
      </c>
      <c r="XK23" s="14">
        <f t="shared" si="112"/>
        <v>572.95876620464264</v>
      </c>
      <c r="XL23" s="14">
        <f t="shared" si="112"/>
        <v>567.22917854259617</v>
      </c>
      <c r="XM23" s="14">
        <f t="shared" si="112"/>
        <v>561.55688675717022</v>
      </c>
      <c r="XN23" s="14">
        <f t="shared" si="112"/>
        <v>555.94131788959851</v>
      </c>
      <c r="XO23" s="14">
        <f t="shared" si="112"/>
        <v>550.38190471070254</v>
      </c>
      <c r="XP23" s="14">
        <f t="shared" si="112"/>
        <v>544.87808566359547</v>
      </c>
      <c r="XQ23" s="14">
        <f t="shared" si="112"/>
        <v>539.42930480695952</v>
      </c>
      <c r="XR23" s="14">
        <f t="shared" si="112"/>
        <v>534.03501175888994</v>
      </c>
      <c r="XS23" s="14">
        <f t="shared" si="112"/>
        <v>528.69466164130108</v>
      </c>
      <c r="XT23" s="14">
        <f t="shared" si="112"/>
        <v>523.40771502488803</v>
      </c>
      <c r="XU23" s="14">
        <f t="shared" si="112"/>
        <v>518.1736378746391</v>
      </c>
      <c r="XV23" s="14">
        <f t="shared" si="112"/>
        <v>512.99190149589265</v>
      </c>
      <c r="XW23" s="14">
        <f t="shared" si="112"/>
        <v>507.8619824809337</v>
      </c>
      <c r="XX23" s="14">
        <f t="shared" si="112"/>
        <v>502.78336265612438</v>
      </c>
      <c r="XY23" s="14">
        <f t="shared" si="112"/>
        <v>497.75552902956315</v>
      </c>
      <c r="XZ23" s="14">
        <f t="shared" si="112"/>
        <v>492.77797373926751</v>
      </c>
      <c r="YA23" s="14">
        <f t="shared" si="112"/>
        <v>487.85019400187485</v>
      </c>
      <c r="YB23" s="14">
        <f t="shared" si="112"/>
        <v>482.97169206185612</v>
      </c>
      <c r="YC23" s="14">
        <f t="shared" si="112"/>
        <v>478.14197514123754</v>
      </c>
      <c r="YD23" s="14">
        <f t="shared" si="112"/>
        <v>473.36055538982515</v>
      </c>
      <c r="YE23" s="14">
        <f t="shared" si="112"/>
        <v>468.62694983592689</v>
      </c>
      <c r="YF23" s="14">
        <f t="shared" si="112"/>
        <v>463.94068033756764</v>
      </c>
      <c r="YG23" s="14">
        <f t="shared" si="112"/>
        <v>459.30127353419198</v>
      </c>
      <c r="YH23" s="14">
        <f t="shared" si="112"/>
        <v>454.70826079885006</v>
      </c>
      <c r="YI23" s="14">
        <f t="shared" si="112"/>
        <v>450.16117819086156</v>
      </c>
      <c r="YJ23" s="14">
        <f t="shared" si="112"/>
        <v>445.65956640895297</v>
      </c>
      <c r="YK23" s="14">
        <f t="shared" si="112"/>
        <v>441.20297074486342</v>
      </c>
      <c r="YL23" s="14">
        <f t="shared" si="112"/>
        <v>436.79094103741477</v>
      </c>
      <c r="YM23" s="14">
        <f t="shared" si="112"/>
        <v>432.42303162704064</v>
      </c>
      <c r="YN23" s="14">
        <f t="shared" si="112"/>
        <v>428.09880131077023</v>
      </c>
      <c r="YO23" s="14">
        <f t="shared" si="112"/>
        <v>423.8178132976625</v>
      </c>
      <c r="YP23" s="14">
        <f t="shared" si="112"/>
        <v>419.57963516468584</v>
      </c>
      <c r="YQ23" s="14">
        <f t="shared" si="112"/>
        <v>415.38383881303901</v>
      </c>
      <c r="YR23" s="14">
        <f t="shared" si="112"/>
        <v>411.23000042490861</v>
      </c>
      <c r="YS23" s="14">
        <f t="shared" si="112"/>
        <v>407.1177004206595</v>
      </c>
      <c r="YT23" s="14">
        <f t="shared" si="112"/>
        <v>403.04652341645289</v>
      </c>
      <c r="YU23" s="14">
        <f t="shared" si="112"/>
        <v>399.01605818228836</v>
      </c>
      <c r="YV23" s="14">
        <f t="shared" si="112"/>
        <v>395.0258976004655</v>
      </c>
      <c r="YW23" s="14">
        <f t="shared" si="112"/>
        <v>391.07563862446085</v>
      </c>
      <c r="YX23" s="14">
        <f t="shared" si="112"/>
        <v>387.16488223821625</v>
      </c>
      <c r="YY23" s="14">
        <f t="shared" si="112"/>
        <v>383.2932334158341</v>
      </c>
      <c r="YZ23" s="14">
        <f t="shared" si="112"/>
        <v>379.46030108167577</v>
      </c>
      <c r="ZA23" s="14">
        <f t="shared" si="112"/>
        <v>375.66569807085898</v>
      </c>
      <c r="ZB23" s="14">
        <f t="shared" si="112"/>
        <v>371.90904109015037</v>
      </c>
      <c r="ZC23" s="14">
        <f t="shared" si="112"/>
        <v>368.18995067924885</v>
      </c>
      <c r="ZD23" s="14">
        <f t="shared" si="112"/>
        <v>364.50805117245636</v>
      </c>
      <c r="ZE23" s="14">
        <f t="shared" si="112"/>
        <v>360.86297066073178</v>
      </c>
      <c r="ZF23" s="14">
        <f t="shared" si="112"/>
        <v>357.25434095412447</v>
      </c>
      <c r="ZG23" s="14">
        <f t="shared" si="112"/>
        <v>353.68179754458322</v>
      </c>
      <c r="ZH23" s="14">
        <f t="shared" si="112"/>
        <v>350.14497956913738</v>
      </c>
      <c r="ZI23" s="14">
        <f t="shared" si="112"/>
        <v>346.64352977344601</v>
      </c>
      <c r="ZJ23" s="14">
        <f t="shared" si="112"/>
        <v>343.17709447571156</v>
      </c>
      <c r="ZK23" s="14">
        <f t="shared" si="112"/>
        <v>339.74532353095447</v>
      </c>
      <c r="ZL23" s="14">
        <f t="shared" si="112"/>
        <v>336.3478702956449</v>
      </c>
      <c r="ZM23" s="14">
        <f t="shared" si="112"/>
        <v>332.98439159268844</v>
      </c>
      <c r="ZN23" s="14">
        <f t="shared" si="112"/>
        <v>329.65454767676152</v>
      </c>
      <c r="ZO23" s="14">
        <f t="shared" si="112"/>
        <v>326.3580021999939</v>
      </c>
      <c r="ZP23" s="14">
        <f t="shared" si="112"/>
        <v>323.09442217799398</v>
      </c>
      <c r="ZQ23" s="14">
        <f t="shared" si="112"/>
        <v>319.86347795621401</v>
      </c>
      <c r="ZR23" s="14">
        <f t="shared" si="112"/>
        <v>316.66484317665186</v>
      </c>
      <c r="ZS23" s="14">
        <f t="shared" ref="ZS23:ACD23" si="113">ZR23*(1+$BH$33)</f>
        <v>313.49819474488532</v>
      </c>
      <c r="ZT23" s="14">
        <f t="shared" si="113"/>
        <v>310.36321279743646</v>
      </c>
      <c r="ZU23" s="14">
        <f t="shared" si="113"/>
        <v>307.25958066946208</v>
      </c>
      <c r="ZV23" s="14">
        <f t="shared" si="113"/>
        <v>304.18698486276747</v>
      </c>
      <c r="ZW23" s="14">
        <f t="shared" si="113"/>
        <v>301.14511501413978</v>
      </c>
      <c r="ZX23" s="14">
        <f t="shared" si="113"/>
        <v>298.13366386399838</v>
      </c>
      <c r="ZY23" s="14">
        <f t="shared" si="113"/>
        <v>295.15232722535842</v>
      </c>
      <c r="ZZ23" s="14">
        <f t="shared" si="113"/>
        <v>292.20080395310481</v>
      </c>
      <c r="AAA23" s="14">
        <f t="shared" si="113"/>
        <v>289.27879591357373</v>
      </c>
      <c r="AAB23" s="14">
        <f t="shared" si="113"/>
        <v>286.38600795443801</v>
      </c>
      <c r="AAC23" s="14">
        <f t="shared" si="113"/>
        <v>283.52214787489362</v>
      </c>
      <c r="AAD23" s="14">
        <f t="shared" si="113"/>
        <v>280.68692639614466</v>
      </c>
      <c r="AAE23" s="14">
        <f t="shared" si="113"/>
        <v>277.8800571321832</v>
      </c>
      <c r="AAF23" s="14">
        <f t="shared" si="113"/>
        <v>275.10125656086137</v>
      </c>
      <c r="AAG23" s="14">
        <f t="shared" si="113"/>
        <v>272.35024399525275</v>
      </c>
      <c r="AAH23" s="14">
        <f t="shared" si="113"/>
        <v>269.62674155530021</v>
      </c>
      <c r="AAI23" s="14">
        <f t="shared" si="113"/>
        <v>266.93047413974722</v>
      </c>
      <c r="AAJ23" s="14">
        <f t="shared" si="113"/>
        <v>264.26116939834975</v>
      </c>
      <c r="AAK23" s="14">
        <f t="shared" si="113"/>
        <v>261.61855770436625</v>
      </c>
      <c r="AAL23" s="14">
        <f t="shared" si="113"/>
        <v>259.00237212732259</v>
      </c>
      <c r="AAM23" s="14">
        <f t="shared" si="113"/>
        <v>256.41234840604938</v>
      </c>
      <c r="AAN23" s="14">
        <f t="shared" si="113"/>
        <v>253.84822492198887</v>
      </c>
      <c r="AAO23" s="14">
        <f t="shared" si="113"/>
        <v>251.30974267276898</v>
      </c>
      <c r="AAP23" s="14">
        <f t="shared" si="113"/>
        <v>248.79664524604129</v>
      </c>
      <c r="AAQ23" s="14">
        <f t="shared" si="113"/>
        <v>246.30867879358087</v>
      </c>
      <c r="AAR23" s="14">
        <f t="shared" si="113"/>
        <v>243.84559200564505</v>
      </c>
      <c r="AAS23" s="14">
        <f t="shared" si="113"/>
        <v>241.4071360855886</v>
      </c>
      <c r="AAT23" s="14">
        <f t="shared" si="113"/>
        <v>238.9930647247327</v>
      </c>
      <c r="AAU23" s="14">
        <f t="shared" si="113"/>
        <v>236.60313407748538</v>
      </c>
      <c r="AAV23" s="14">
        <f t="shared" si="113"/>
        <v>234.23710273671051</v>
      </c>
      <c r="AAW23" s="14">
        <f t="shared" si="113"/>
        <v>231.8947317093434</v>
      </c>
      <c r="AAX23" s="14">
        <f t="shared" si="113"/>
        <v>229.57578439224997</v>
      </c>
      <c r="AAY23" s="14">
        <f t="shared" si="113"/>
        <v>227.28002654832747</v>
      </c>
      <c r="AAZ23" s="14">
        <f t="shared" si="113"/>
        <v>225.00722628284419</v>
      </c>
      <c r="ABA23" s="14">
        <f t="shared" si="113"/>
        <v>222.75715402001575</v>
      </c>
      <c r="ABB23" s="14">
        <f t="shared" si="113"/>
        <v>220.52958247981559</v>
      </c>
      <c r="ABC23" s="14">
        <f t="shared" si="113"/>
        <v>218.32428665501743</v>
      </c>
      <c r="ABD23" s="14">
        <f t="shared" si="113"/>
        <v>216.14104378846724</v>
      </c>
      <c r="ABE23" s="14">
        <f t="shared" si="113"/>
        <v>213.97963335058256</v>
      </c>
      <c r="ABF23" s="14">
        <f t="shared" si="113"/>
        <v>211.83983701707675</v>
      </c>
      <c r="ABG23" s="14">
        <f t="shared" si="113"/>
        <v>209.72143864690597</v>
      </c>
      <c r="ABH23" s="14">
        <f t="shared" si="113"/>
        <v>207.6242242604369</v>
      </c>
      <c r="ABI23" s="14">
        <f t="shared" si="113"/>
        <v>205.54798201783254</v>
      </c>
      <c r="ABJ23" s="14">
        <f t="shared" si="113"/>
        <v>203.4925021976542</v>
      </c>
      <c r="ABK23" s="14">
        <f t="shared" si="113"/>
        <v>201.45757717567767</v>
      </c>
      <c r="ABL23" s="14">
        <f t="shared" si="113"/>
        <v>199.4430014039209</v>
      </c>
      <c r="ABM23" s="14">
        <f t="shared" si="113"/>
        <v>197.44857138988169</v>
      </c>
      <c r="ABN23" s="14">
        <f t="shared" si="113"/>
        <v>195.47408567598288</v>
      </c>
      <c r="ABO23" s="14">
        <f t="shared" si="113"/>
        <v>193.51934481922305</v>
      </c>
      <c r="ABP23" s="14">
        <f t="shared" si="113"/>
        <v>191.58415137103083</v>
      </c>
      <c r="ABQ23" s="14">
        <f t="shared" si="113"/>
        <v>189.66830985732051</v>
      </c>
      <c r="ABR23" s="14">
        <f t="shared" si="113"/>
        <v>187.77162675874729</v>
      </c>
      <c r="ABS23" s="14">
        <f t="shared" si="113"/>
        <v>185.8939104911598</v>
      </c>
      <c r="ABT23" s="14">
        <f t="shared" si="113"/>
        <v>184.0349713862482</v>
      </c>
      <c r="ABU23" s="14">
        <f t="shared" si="113"/>
        <v>182.19462167238572</v>
      </c>
      <c r="ABV23" s="14">
        <f t="shared" si="113"/>
        <v>180.37267545566186</v>
      </c>
      <c r="ABW23" s="14">
        <f t="shared" si="113"/>
        <v>178.56894870110526</v>
      </c>
      <c r="ABX23" s="14">
        <f t="shared" si="113"/>
        <v>176.78325921409422</v>
      </c>
      <c r="ABY23" s="14">
        <f t="shared" si="113"/>
        <v>175.01542662195328</v>
      </c>
      <c r="ABZ23" s="14">
        <f t="shared" si="113"/>
        <v>173.26527235573374</v>
      </c>
      <c r="ACA23" s="14">
        <f t="shared" si="113"/>
        <v>171.53261963217639</v>
      </c>
      <c r="ACB23" s="14">
        <f t="shared" si="113"/>
        <v>169.81729343585462</v>
      </c>
      <c r="ACC23" s="14">
        <f t="shared" si="113"/>
        <v>168.11912050149607</v>
      </c>
      <c r="ACD23" s="14">
        <f t="shared" si="113"/>
        <v>166.43792929648112</v>
      </c>
      <c r="ACE23" s="14">
        <f t="shared" ref="ACE23:AEP23" si="114">ACD23*(1+$BH$33)</f>
        <v>164.77355000351631</v>
      </c>
      <c r="ACF23" s="14">
        <f t="shared" si="114"/>
        <v>163.12581450348114</v>
      </c>
      <c r="ACG23" s="14">
        <f t="shared" si="114"/>
        <v>161.49455635844632</v>
      </c>
      <c r="ACH23" s="14">
        <f t="shared" si="114"/>
        <v>159.87961079486186</v>
      </c>
      <c r="ACI23" s="14">
        <f t="shared" si="114"/>
        <v>158.28081468691323</v>
      </c>
      <c r="ACJ23" s="14">
        <f t="shared" si="114"/>
        <v>156.6980065400441</v>
      </c>
      <c r="ACK23" s="14">
        <f t="shared" si="114"/>
        <v>155.13102647464368</v>
      </c>
      <c r="ACL23" s="14">
        <f t="shared" si="114"/>
        <v>153.57971620989724</v>
      </c>
      <c r="ACM23" s="14">
        <f t="shared" si="114"/>
        <v>152.04391904779825</v>
      </c>
      <c r="ACN23" s="14">
        <f t="shared" si="114"/>
        <v>150.52347985732027</v>
      </c>
      <c r="ACO23" s="14">
        <f t="shared" si="114"/>
        <v>149.01824505874706</v>
      </c>
      <c r="ACP23" s="14">
        <f t="shared" si="114"/>
        <v>147.52806260815959</v>
      </c>
      <c r="ACQ23" s="14">
        <f t="shared" si="114"/>
        <v>146.05278198207799</v>
      </c>
      <c r="ACR23" s="14">
        <f t="shared" si="114"/>
        <v>144.59225416225721</v>
      </c>
      <c r="ACS23" s="14">
        <f t="shared" si="114"/>
        <v>143.14633162063464</v>
      </c>
      <c r="ACT23" s="14">
        <f t="shared" si="114"/>
        <v>141.71486830442828</v>
      </c>
      <c r="ACU23" s="14">
        <f t="shared" si="114"/>
        <v>140.297719621384</v>
      </c>
      <c r="ACV23" s="14">
        <f t="shared" si="114"/>
        <v>138.89474242517016</v>
      </c>
      <c r="ACW23" s="14">
        <f t="shared" si="114"/>
        <v>137.50579500091845</v>
      </c>
      <c r="ACX23" s="14">
        <f t="shared" si="114"/>
        <v>136.13073705090926</v>
      </c>
      <c r="ACY23" s="14">
        <f t="shared" si="114"/>
        <v>134.76942968040018</v>
      </c>
      <c r="ACZ23" s="14">
        <f t="shared" si="114"/>
        <v>133.42173538359617</v>
      </c>
      <c r="ADA23" s="14">
        <f t="shared" si="114"/>
        <v>132.08751802976022</v>
      </c>
      <c r="ADB23" s="14">
        <f t="shared" si="114"/>
        <v>130.76664284946261</v>
      </c>
      <c r="ADC23" s="14">
        <f t="shared" si="114"/>
        <v>129.45897642096799</v>
      </c>
      <c r="ADD23" s="14">
        <f t="shared" si="114"/>
        <v>128.1643866567583</v>
      </c>
      <c r="ADE23" s="14">
        <f t="shared" si="114"/>
        <v>126.88274279019072</v>
      </c>
      <c r="ADF23" s="14">
        <f t="shared" si="114"/>
        <v>125.61391536228881</v>
      </c>
      <c r="ADG23" s="14">
        <f t="shared" si="114"/>
        <v>124.35777620866592</v>
      </c>
      <c r="ADH23" s="14">
        <f t="shared" si="114"/>
        <v>123.11419844657927</v>
      </c>
      <c r="ADI23" s="14">
        <f t="shared" si="114"/>
        <v>121.88305646211347</v>
      </c>
      <c r="ADJ23" s="14">
        <f t="shared" si="114"/>
        <v>120.66422589749234</v>
      </c>
      <c r="ADK23" s="14">
        <f t="shared" si="114"/>
        <v>119.45758363851742</v>
      </c>
      <c r="ADL23" s="14">
        <f t="shared" si="114"/>
        <v>118.26300780213225</v>
      </c>
      <c r="ADM23" s="14">
        <f t="shared" si="114"/>
        <v>117.08037772411093</v>
      </c>
      <c r="ADN23" s="14">
        <f t="shared" si="114"/>
        <v>115.90957394686983</v>
      </c>
      <c r="ADO23" s="14">
        <f t="shared" si="114"/>
        <v>114.75047820740113</v>
      </c>
      <c r="ADP23" s="14">
        <f t="shared" si="114"/>
        <v>113.60297342532712</v>
      </c>
      <c r="ADQ23" s="14">
        <f t="shared" si="114"/>
        <v>112.46694369107385</v>
      </c>
      <c r="ADR23" s="14">
        <f t="shared" si="114"/>
        <v>111.34227425416312</v>
      </c>
      <c r="ADS23" s="14">
        <f t="shared" si="114"/>
        <v>110.22885151162149</v>
      </c>
      <c r="ADT23" s="14">
        <f t="shared" si="114"/>
        <v>109.12656299650527</v>
      </c>
      <c r="ADU23" s="14">
        <f t="shared" si="114"/>
        <v>108.03529736654022</v>
      </c>
      <c r="ADV23" s="14">
        <f t="shared" si="114"/>
        <v>106.95494439287482</v>
      </c>
      <c r="ADW23" s="14">
        <f t="shared" si="114"/>
        <v>105.88539494894607</v>
      </c>
      <c r="ADX23" s="14">
        <f t="shared" si="114"/>
        <v>104.82654099945661</v>
      </c>
      <c r="ADY23" s="14">
        <f t="shared" si="114"/>
        <v>103.77827558946204</v>
      </c>
      <c r="ADZ23" s="14">
        <f t="shared" si="114"/>
        <v>102.74049283356742</v>
      </c>
      <c r="AEA23" s="14">
        <f t="shared" si="114"/>
        <v>101.71308790523175</v>
      </c>
      <c r="AEB23" s="14">
        <f t="shared" si="114"/>
        <v>100.69595702617943</v>
      </c>
      <c r="AEC23" s="14">
        <f t="shared" si="114"/>
        <v>99.68899745591763</v>
      </c>
      <c r="AED23" s="14">
        <f t="shared" si="114"/>
        <v>98.692107481358448</v>
      </c>
      <c r="AEE23" s="14">
        <f t="shared" si="114"/>
        <v>97.705186406544868</v>
      </c>
      <c r="AEF23" s="14">
        <f t="shared" si="114"/>
        <v>96.728134542479424</v>
      </c>
      <c r="AEG23" s="14">
        <f t="shared" si="114"/>
        <v>95.76085319705463</v>
      </c>
      <c r="AEH23" s="14">
        <f t="shared" si="114"/>
        <v>94.80324466508408</v>
      </c>
      <c r="AEI23" s="14">
        <f t="shared" si="114"/>
        <v>93.855212218433238</v>
      </c>
      <c r="AEJ23" s="14">
        <f t="shared" si="114"/>
        <v>92.916660096248904</v>
      </c>
      <c r="AEK23" s="14">
        <f t="shared" si="114"/>
        <v>91.987493495286415</v>
      </c>
      <c r="AEL23" s="14">
        <f t="shared" si="114"/>
        <v>91.067618560333557</v>
      </c>
      <c r="AEM23" s="14">
        <f t="shared" si="114"/>
        <v>90.156942374730221</v>
      </c>
      <c r="AEN23" s="14">
        <f t="shared" si="114"/>
        <v>89.255372950982917</v>
      </c>
      <c r="AEO23" s="14">
        <f t="shared" si="114"/>
        <v>88.362819221473089</v>
      </c>
      <c r="AEP23" s="14">
        <f t="shared" si="114"/>
        <v>87.479191029258359</v>
      </c>
      <c r="AEQ23" s="14">
        <f t="shared" ref="AEQ23:AHB23" si="115">AEP23*(1+$BH$33)</f>
        <v>86.604399118965773</v>
      </c>
      <c r="AER23" s="14">
        <f t="shared" si="115"/>
        <v>85.738355127776117</v>
      </c>
      <c r="AES23" s="14">
        <f t="shared" si="115"/>
        <v>84.880971576498354</v>
      </c>
      <c r="AET23" s="14">
        <f t="shared" si="115"/>
        <v>84.032161860733368</v>
      </c>
      <c r="AEU23" s="14">
        <f t="shared" si="115"/>
        <v>83.191840242126034</v>
      </c>
      <c r="AEV23" s="14">
        <f t="shared" si="115"/>
        <v>82.359921839704768</v>
      </c>
      <c r="AEW23" s="14">
        <f t="shared" si="115"/>
        <v>81.536322621307718</v>
      </c>
      <c r="AEX23" s="14">
        <f t="shared" si="115"/>
        <v>80.720959395094638</v>
      </c>
      <c r="AEY23" s="14">
        <f t="shared" si="115"/>
        <v>79.913749801143695</v>
      </c>
      <c r="AEZ23" s="14">
        <f t="shared" si="115"/>
        <v>79.114612303132262</v>
      </c>
      <c r="AFA23" s="14">
        <f t="shared" si="115"/>
        <v>78.323466180100937</v>
      </c>
      <c r="AFB23" s="14">
        <f t="shared" si="115"/>
        <v>77.540231518299933</v>
      </c>
      <c r="AFC23" s="14">
        <f t="shared" si="115"/>
        <v>76.764829203116932</v>
      </c>
      <c r="AFD23" s="14">
        <f t="shared" si="115"/>
        <v>75.997180911085763</v>
      </c>
      <c r="AFE23" s="14">
        <f t="shared" si="115"/>
        <v>75.237209101974912</v>
      </c>
      <c r="AFF23" s="14">
        <f t="shared" si="115"/>
        <v>74.484837010955161</v>
      </c>
      <c r="AFG23" s="14">
        <f t="shared" si="115"/>
        <v>73.73998864084561</v>
      </c>
      <c r="AFH23" s="14">
        <f t="shared" si="115"/>
        <v>73.002588754437156</v>
      </c>
      <c r="AFI23" s="14">
        <f t="shared" si="115"/>
        <v>72.272562866892784</v>
      </c>
      <c r="AFJ23" s="14">
        <f t="shared" si="115"/>
        <v>71.549837238223859</v>
      </c>
      <c r="AFK23" s="14">
        <f t="shared" si="115"/>
        <v>70.834338865841616</v>
      </c>
      <c r="AFL23" s="14">
        <f t="shared" si="115"/>
        <v>70.125995477183196</v>
      </c>
      <c r="AFM23" s="14">
        <f t="shared" si="115"/>
        <v>69.424735522411368</v>
      </c>
      <c r="AFN23" s="14">
        <f t="shared" si="115"/>
        <v>68.730488167187247</v>
      </c>
      <c r="AFO23" s="14">
        <f t="shared" si="115"/>
        <v>68.043183285515369</v>
      </c>
      <c r="AFP23" s="14">
        <f t="shared" si="115"/>
        <v>67.36275145266022</v>
      </c>
      <c r="AFQ23" s="14">
        <f t="shared" si="115"/>
        <v>66.689123938133619</v>
      </c>
      <c r="AFR23" s="14">
        <f t="shared" si="115"/>
        <v>66.022232698752276</v>
      </c>
      <c r="AFS23" s="14">
        <f t="shared" si="115"/>
        <v>65.362010371764754</v>
      </c>
      <c r="AFT23" s="14">
        <f t="shared" si="115"/>
        <v>64.708390268047111</v>
      </c>
      <c r="AFU23" s="14">
        <f t="shared" si="115"/>
        <v>64.061306365366633</v>
      </c>
      <c r="AFV23" s="14">
        <f t="shared" si="115"/>
        <v>63.420693301712966</v>
      </c>
      <c r="AFW23" s="14">
        <f t="shared" si="115"/>
        <v>62.786486368695833</v>
      </c>
      <c r="AFX23" s="14">
        <f t="shared" si="115"/>
        <v>62.158621505008874</v>
      </c>
      <c r="AFY23" s="14">
        <f t="shared" si="115"/>
        <v>61.537035289958787</v>
      </c>
      <c r="AFZ23" s="14">
        <f t="shared" si="115"/>
        <v>60.921664937059198</v>
      </c>
      <c r="AGA23" s="14">
        <f t="shared" si="115"/>
        <v>60.312448287688603</v>
      </c>
      <c r="AGB23" s="14">
        <f t="shared" si="115"/>
        <v>59.709323804811717</v>
      </c>
      <c r="AGC23" s="14">
        <f t="shared" si="115"/>
        <v>59.1122305667636</v>
      </c>
      <c r="AGD23" s="14">
        <f t="shared" si="115"/>
        <v>58.521108261095961</v>
      </c>
      <c r="AGE23" s="14">
        <f t="shared" si="115"/>
        <v>57.935897178485</v>
      </c>
      <c r="AGF23" s="14">
        <f t="shared" si="115"/>
        <v>57.356538206700151</v>
      </c>
      <c r="AGG23" s="14">
        <f t="shared" si="115"/>
        <v>56.782972824633148</v>
      </c>
      <c r="AGH23" s="14">
        <f t="shared" si="115"/>
        <v>56.215143096386818</v>
      </c>
      <c r="AGI23" s="14">
        <f t="shared" si="115"/>
        <v>55.652991665422952</v>
      </c>
      <c r="AGJ23" s="14">
        <f t="shared" si="115"/>
        <v>55.096461748768725</v>
      </c>
      <c r="AGK23" s="14">
        <f t="shared" si="115"/>
        <v>54.545497131281039</v>
      </c>
      <c r="AGL23" s="14">
        <f t="shared" si="115"/>
        <v>54.000042159968231</v>
      </c>
      <c r="AGM23" s="14">
        <f t="shared" si="115"/>
        <v>53.460041738368545</v>
      </c>
      <c r="AGN23" s="14">
        <f t="shared" si="115"/>
        <v>52.925441320984859</v>
      </c>
      <c r="AGO23" s="14">
        <f t="shared" si="115"/>
        <v>52.396186907775011</v>
      </c>
      <c r="AGP23" s="14">
        <f t="shared" si="115"/>
        <v>51.872225038697259</v>
      </c>
      <c r="AGQ23" s="14">
        <f t="shared" si="115"/>
        <v>51.353502788310287</v>
      </c>
      <c r="AGR23" s="14">
        <f t="shared" si="115"/>
        <v>50.839967760427186</v>
      </c>
      <c r="AGS23" s="14">
        <f t="shared" si="115"/>
        <v>50.331568082822912</v>
      </c>
      <c r="AGT23" s="14">
        <f t="shared" si="115"/>
        <v>49.828252401994682</v>
      </c>
      <c r="AGU23" s="14">
        <f t="shared" si="115"/>
        <v>49.329969877974733</v>
      </c>
      <c r="AGV23" s="14">
        <f t="shared" si="115"/>
        <v>48.836670179194982</v>
      </c>
      <c r="AGW23" s="14">
        <f t="shared" si="115"/>
        <v>48.348303477403029</v>
      </c>
      <c r="AGX23" s="14">
        <f t="shared" si="115"/>
        <v>47.864820442628996</v>
      </c>
      <c r="AGY23" s="14">
        <f t="shared" si="115"/>
        <v>47.386172238202704</v>
      </c>
      <c r="AGZ23" s="14">
        <f t="shared" si="115"/>
        <v>46.912310515820678</v>
      </c>
      <c r="AHA23" s="14">
        <f t="shared" si="115"/>
        <v>46.443187410662475</v>
      </c>
      <c r="AHB23" s="14">
        <f t="shared" si="115"/>
        <v>45.978755536555852</v>
      </c>
      <c r="AHC23" s="14">
        <f t="shared" ref="AHC23:AHL23" si="116">AHB23*(1+$BH$33)</f>
        <v>45.518967981190293</v>
      </c>
      <c r="AHD23" s="14">
        <f t="shared" si="116"/>
        <v>45.063778301378392</v>
      </c>
      <c r="AHE23" s="14">
        <f t="shared" si="116"/>
        <v>44.613140518364609</v>
      </c>
      <c r="AHF23" s="14">
        <f t="shared" si="116"/>
        <v>44.16700911318096</v>
      </c>
      <c r="AHG23" s="14">
        <f t="shared" si="116"/>
        <v>43.725339022049148</v>
      </c>
      <c r="AHH23" s="14">
        <f t="shared" si="116"/>
        <v>43.288085631828658</v>
      </c>
      <c r="AHI23" s="14">
        <f t="shared" si="116"/>
        <v>42.855204775510373</v>
      </c>
      <c r="AHJ23" s="14">
        <f t="shared" si="116"/>
        <v>42.426652727755268</v>
      </c>
      <c r="AHK23" s="14">
        <f t="shared" si="116"/>
        <v>42.002386200477716</v>
      </c>
      <c r="AHL23" s="14">
        <f t="shared" si="116"/>
        <v>41.58236233847294</v>
      </c>
    </row>
    <row r="24" spans="2:896" x14ac:dyDescent="0.25">
      <c r="B24" s="12" t="s">
        <v>3</v>
      </c>
      <c r="C24" s="12">
        <v>702.03599999999994</v>
      </c>
      <c r="D24" s="12">
        <v>703.50300000000004</v>
      </c>
      <c r="E24" s="12">
        <v>703.71600000000001</v>
      </c>
      <c r="F24" s="12">
        <v>694.60400000000004</v>
      </c>
      <c r="G24" s="12">
        <v>705.13400000000001</v>
      </c>
      <c r="H24" s="12">
        <v>703.24699999999996</v>
      </c>
      <c r="I24" s="12">
        <v>703.85900000000004</v>
      </c>
      <c r="J24" s="12">
        <v>700.899</v>
      </c>
      <c r="K24" s="12">
        <v>700.87900000000002</v>
      </c>
      <c r="L24" s="12">
        <v>699.95399999999995</v>
      </c>
      <c r="M24" s="12">
        <v>698.19899999999996</v>
      </c>
      <c r="N24" s="12">
        <v>695.19399999999996</v>
      </c>
      <c r="O24" s="12">
        <v>692.26700000000005</v>
      </c>
      <c r="P24" s="12">
        <v>687.024</v>
      </c>
      <c r="Q24" s="12">
        <v>685.851</v>
      </c>
      <c r="R24" s="12">
        <v>682.96900000000005</v>
      </c>
      <c r="S24" s="12">
        <v>682.07100000000003</v>
      </c>
      <c r="T24" s="12">
        <v>679.61199999999997</v>
      </c>
      <c r="U24" s="12">
        <v>676.51900000000001</v>
      </c>
      <c r="V24" s="12">
        <v>672.49300000000005</v>
      </c>
      <c r="W24" s="12">
        <v>13351</v>
      </c>
      <c r="X24" s="12">
        <v>13239</v>
      </c>
      <c r="Y24" s="12">
        <v>13097</v>
      </c>
      <c r="Z24" s="12">
        <v>12947</v>
      </c>
      <c r="AA24" s="12">
        <v>12823</v>
      </c>
      <c r="AB24" s="12">
        <v>12764</v>
      </c>
      <c r="AC24" s="12">
        <v>12696</v>
      </c>
      <c r="AD24" s="12">
        <v>12602</v>
      </c>
      <c r="AE24" s="12">
        <f>AA24*0.98</f>
        <v>12566.539999999999</v>
      </c>
      <c r="AF24" s="12">
        <f t="shared" ref="AF24:AH24" si="117">AB24*0.98</f>
        <v>12508.72</v>
      </c>
      <c r="AG24" s="12">
        <f t="shared" si="117"/>
        <v>12442.08</v>
      </c>
      <c r="AH24" s="12">
        <f t="shared" si="117"/>
        <v>12349.96</v>
      </c>
      <c r="AO24" s="12">
        <f>F24</f>
        <v>694.60400000000004</v>
      </c>
      <c r="AP24" s="12">
        <f>J24</f>
        <v>700.899</v>
      </c>
      <c r="AQ24" s="12">
        <f>N24</f>
        <v>695.19399999999996</v>
      </c>
      <c r="AR24" s="12">
        <f>R24</f>
        <v>682.96900000000005</v>
      </c>
      <c r="AS24" s="12">
        <f>V24</f>
        <v>672.49300000000005</v>
      </c>
      <c r="AT24" s="12">
        <f>Z24</f>
        <v>12947</v>
      </c>
      <c r="AU24" s="12">
        <f>AD24</f>
        <v>12602</v>
      </c>
      <c r="AV24" s="12">
        <f>AH24</f>
        <v>12349.96</v>
      </c>
      <c r="AW24" s="12">
        <f>AV24*0.99</f>
        <v>12226.460399999998</v>
      </c>
      <c r="AX24" s="12">
        <f t="shared" ref="AX24:BA24" si="118">AW24*0.99</f>
        <v>12104.195795999998</v>
      </c>
      <c r="AY24" s="12">
        <f t="shared" si="118"/>
        <v>11983.153838039998</v>
      </c>
      <c r="AZ24" s="12">
        <f t="shared" si="118"/>
        <v>11863.322299659598</v>
      </c>
      <c r="BA24" s="12">
        <f t="shared" si="118"/>
        <v>11744.689076663002</v>
      </c>
    </row>
    <row r="25" spans="2:896" x14ac:dyDescent="0.25">
      <c r="B25" s="12" t="s">
        <v>20</v>
      </c>
      <c r="C25" s="13">
        <f t="shared" ref="C25:AC25" si="119">C23/C24</f>
        <v>7.7289483730179089</v>
      </c>
      <c r="D25" s="13">
        <f t="shared" si="119"/>
        <v>8.898327370316828</v>
      </c>
      <c r="E25" s="13">
        <f t="shared" si="119"/>
        <v>9.5663591562505328</v>
      </c>
      <c r="F25" s="13">
        <f t="shared" si="119"/>
        <v>-4.3478010492309282</v>
      </c>
      <c r="G25" s="13">
        <f t="shared" si="119"/>
        <v>13.332217706138124</v>
      </c>
      <c r="H25" s="13">
        <f t="shared" si="119"/>
        <v>11.754049430712112</v>
      </c>
      <c r="I25" s="13">
        <f t="shared" si="119"/>
        <v>13.059433778640324</v>
      </c>
      <c r="J25" s="13">
        <f t="shared" si="119"/>
        <v>12.766461358911911</v>
      </c>
      <c r="K25" s="13">
        <f t="shared" si="119"/>
        <v>11.919318455824756</v>
      </c>
      <c r="L25" s="13">
        <f t="shared" si="119"/>
        <v>14.210933861368034</v>
      </c>
      <c r="M25" s="13">
        <f t="shared" si="119"/>
        <v>10.123188374661092</v>
      </c>
      <c r="N25" s="13">
        <f t="shared" si="119"/>
        <v>15.34967217783813</v>
      </c>
      <c r="O25" s="13">
        <f t="shared" si="119"/>
        <v>9.8748026411774639</v>
      </c>
      <c r="P25" s="13">
        <f t="shared" si="119"/>
        <v>10.129194904399265</v>
      </c>
      <c r="Q25" s="13">
        <f t="shared" si="119"/>
        <v>16.398605528022852</v>
      </c>
      <c r="R25" s="13">
        <f t="shared" si="119"/>
        <v>22.295301836540162</v>
      </c>
      <c r="S25" s="13">
        <f t="shared" si="119"/>
        <v>26.287585896482916</v>
      </c>
      <c r="T25" s="13">
        <f t="shared" si="119"/>
        <v>27.258200267211294</v>
      </c>
      <c r="U25" s="13">
        <f t="shared" si="119"/>
        <v>27.990344690984287</v>
      </c>
      <c r="V25" s="13">
        <f t="shared" si="119"/>
        <v>30.69474329100823</v>
      </c>
      <c r="W25" s="13">
        <f t="shared" si="119"/>
        <v>1.2310688337952214</v>
      </c>
      <c r="X25" s="13">
        <f t="shared" si="119"/>
        <v>1.2087015635622025</v>
      </c>
      <c r="Y25" s="13">
        <f t="shared" si="119"/>
        <v>1.0620752844162786</v>
      </c>
      <c r="Z25" s="13">
        <f t="shared" si="119"/>
        <v>1.0522901058160192</v>
      </c>
      <c r="AA25" s="13">
        <f t="shared" si="119"/>
        <v>1.1737502924432659</v>
      </c>
      <c r="AB25" s="13">
        <f t="shared" si="119"/>
        <v>1.439047320589157</v>
      </c>
      <c r="AC25" s="13">
        <f t="shared" si="119"/>
        <v>1.5508034026465027</v>
      </c>
      <c r="AD25" s="13">
        <f>AD23/AD24</f>
        <v>1.6415648309792097</v>
      </c>
      <c r="AE25" s="13">
        <f t="shared" ref="AE25:AH25" si="120">AE23/AE24</f>
        <v>1.2855996479258429</v>
      </c>
      <c r="AF25" s="13">
        <f t="shared" si="120"/>
        <v>1.6006857678237572</v>
      </c>
      <c r="AG25" s="13">
        <f t="shared" si="120"/>
        <v>1.5662673357739092</v>
      </c>
      <c r="AH25" s="13">
        <f t="shared" si="120"/>
        <v>1.7367586170879235</v>
      </c>
      <c r="AO25" s="13">
        <f t="shared" ref="AO25:BA25" si="121">AO23/AO24</f>
        <v>22.168026674191335</v>
      </c>
      <c r="AP25" s="13">
        <f t="shared" si="121"/>
        <v>51.08724652196679</v>
      </c>
      <c r="AQ25" s="13">
        <f t="shared" si="121"/>
        <v>51.841644202913145</v>
      </c>
      <c r="AR25" s="13">
        <f t="shared" si="121"/>
        <v>58.96168054479778</v>
      </c>
      <c r="AS25" s="13">
        <f t="shared" si="121"/>
        <v>113.06139989561228</v>
      </c>
      <c r="AT25" s="13">
        <f t="shared" si="121"/>
        <v>4.6321155480033989</v>
      </c>
      <c r="AU25" s="13">
        <f t="shared" si="121"/>
        <v>5.8558165370576098</v>
      </c>
      <c r="AV25" s="13">
        <f t="shared" si="121"/>
        <v>6.2441167761770409</v>
      </c>
      <c r="AW25" s="13">
        <f t="shared" si="121"/>
        <v>7.5420994417946368</v>
      </c>
      <c r="AX25" s="13">
        <f t="shared" si="121"/>
        <v>9.2539973901486334</v>
      </c>
      <c r="AY25" s="13">
        <f t="shared" si="121"/>
        <v>11.462424250772601</v>
      </c>
      <c r="AZ25" s="13">
        <f t="shared" si="121"/>
        <v>14.12095289674776</v>
      </c>
      <c r="BA25" s="13">
        <f t="shared" si="121"/>
        <v>16.927724753329194</v>
      </c>
    </row>
    <row r="27" spans="2:896" x14ac:dyDescent="0.25">
      <c r="B27" s="23" t="s">
        <v>99</v>
      </c>
      <c r="G27" s="15">
        <f t="shared" ref="G27:AC27" si="122">G6/C6-1</f>
        <v>0.24431367054317876</v>
      </c>
      <c r="H27" s="15">
        <f t="shared" si="122"/>
        <v>0.23884086097388857</v>
      </c>
      <c r="I27" s="15">
        <f t="shared" si="122"/>
        <v>0.20315811344275914</v>
      </c>
      <c r="J27" s="15">
        <f t="shared" si="122"/>
        <v>0.19432915855584532</v>
      </c>
      <c r="K27" s="15">
        <f t="shared" si="122"/>
        <v>0.1530665865925982</v>
      </c>
      <c r="L27" s="15">
        <f t="shared" si="122"/>
        <v>0.16071492149392963</v>
      </c>
      <c r="M27" s="15">
        <f t="shared" si="122"/>
        <v>0.17137528493472409</v>
      </c>
      <c r="N27" s="15">
        <f t="shared" si="122"/>
        <v>0.16655390860446517</v>
      </c>
      <c r="O27" s="15">
        <f t="shared" si="122"/>
        <v>9.9055989583333393E-2</v>
      </c>
      <c r="P27" s="15">
        <f t="shared" si="122"/>
        <v>-8.3862458206803492E-2</v>
      </c>
      <c r="Q27" s="15">
        <f t="shared" si="122"/>
        <v>9.3731572119353679E-2</v>
      </c>
      <c r="R27" s="15">
        <f t="shared" si="122"/>
        <v>0.21787842041440397</v>
      </c>
      <c r="S27" s="15">
        <f t="shared" si="122"/>
        <v>0.32346059295678709</v>
      </c>
      <c r="T27" s="15">
        <f t="shared" si="122"/>
        <v>0.68895436434861224</v>
      </c>
      <c r="U27" s="15">
        <f t="shared" si="122"/>
        <v>0.43226849979781634</v>
      </c>
      <c r="V27" s="15">
        <f t="shared" si="122"/>
        <v>0.32554817203835573</v>
      </c>
      <c r="W27" s="15">
        <f t="shared" si="122"/>
        <v>0.22327902604959271</v>
      </c>
      <c r="X27" s="15">
        <f t="shared" si="122"/>
        <v>0.11585124098009669</v>
      </c>
      <c r="Y27" s="15">
        <f t="shared" si="122"/>
        <v>2.5447016751364515E-2</v>
      </c>
      <c r="Z27" s="15">
        <f t="shared" si="122"/>
        <v>-3.5875830761442851E-2</v>
      </c>
      <c r="AA27" s="15">
        <f t="shared" si="122"/>
        <v>-2.0672874627247761E-3</v>
      </c>
      <c r="AB27" s="15">
        <f t="shared" si="122"/>
        <v>3.2955514496873173E-2</v>
      </c>
      <c r="AC27" s="15">
        <f t="shared" si="122"/>
        <v>9.4801952938585288E-2</v>
      </c>
      <c r="AD27" s="15">
        <f>AD6/Z6-1</f>
        <v>0.10966769418380129</v>
      </c>
      <c r="AE27" s="15">
        <f t="shared" ref="AE27:AH27" si="123">AE6/AA6-1</f>
        <v>0.10000000000000009</v>
      </c>
      <c r="AF27" s="15">
        <f t="shared" si="123"/>
        <v>0.10000000000000009</v>
      </c>
      <c r="AG27" s="15">
        <f t="shared" si="123"/>
        <v>0.10000000000000009</v>
      </c>
      <c r="AH27" s="15">
        <f t="shared" si="123"/>
        <v>0.10000000000000009</v>
      </c>
      <c r="AP27" s="15">
        <f>AP6/AO6-1</f>
        <v>0.21835910878112719</v>
      </c>
      <c r="AQ27" s="15">
        <f>AQ6/AP6-1</f>
        <v>0.16325160712902642</v>
      </c>
      <c r="AR27" s="15">
        <f t="shared" ref="AR27:AU27" si="124">AR6/AQ6-1</f>
        <v>8.6949123702569242E-2</v>
      </c>
      <c r="AS27" s="15">
        <f t="shared" si="124"/>
        <v>0.42588685306689178</v>
      </c>
      <c r="AT27" s="15">
        <f t="shared" si="124"/>
        <v>7.14855105323704E-2</v>
      </c>
      <c r="AU27" s="15">
        <f t="shared" si="124"/>
        <v>5.9615187572670258E-2</v>
      </c>
      <c r="AV27" s="15">
        <f t="shared" ref="AV27:BA27" si="125">AV6/AU6-1</f>
        <v>0.10000000000000009</v>
      </c>
      <c r="AW27" s="15">
        <f t="shared" ref="AW27:BA27" si="126">AW6/AV6-1</f>
        <v>0.18987692993915739</v>
      </c>
      <c r="AX27" s="15">
        <f t="shared" si="126"/>
        <v>0.17538591769367384</v>
      </c>
      <c r="AY27" s="15">
        <f t="shared" si="126"/>
        <v>0.17726754985080984</v>
      </c>
      <c r="AZ27" s="15">
        <f t="shared" si="126"/>
        <v>0.16723906065146199</v>
      </c>
      <c r="BA27" s="15">
        <f t="shared" si="126"/>
        <v>0.13758567913059827</v>
      </c>
    </row>
    <row r="28" spans="2:896" x14ac:dyDescent="0.25">
      <c r="B28" s="23" t="s">
        <v>100</v>
      </c>
      <c r="G28" s="15">
        <f t="shared" ref="G28:AC28" si="127">G8/C8-1</f>
        <v>0.24431367054317876</v>
      </c>
      <c r="H28" s="15">
        <f t="shared" si="127"/>
        <v>0.23884086097388857</v>
      </c>
      <c r="I28" s="15">
        <f t="shared" si="127"/>
        <v>0.20315811344275914</v>
      </c>
      <c r="J28" s="15">
        <f t="shared" si="127"/>
        <v>0.19432915855584532</v>
      </c>
      <c r="K28" s="15">
        <f t="shared" si="127"/>
        <v>0.1530665865925982</v>
      </c>
      <c r="L28" s="15">
        <f t="shared" si="127"/>
        <v>0.16071492149392963</v>
      </c>
      <c r="M28" s="15">
        <f t="shared" si="127"/>
        <v>0.17137528493472409</v>
      </c>
      <c r="N28" s="15">
        <f t="shared" si="127"/>
        <v>0.16655390860446517</v>
      </c>
      <c r="O28" s="15">
        <f t="shared" si="127"/>
        <v>0.24342447916666665</v>
      </c>
      <c r="P28" s="15">
        <f t="shared" si="127"/>
        <v>7.3310634643109163E-2</v>
      </c>
      <c r="Q28" s="15">
        <f t="shared" si="127"/>
        <v>0.25524826040806703</v>
      </c>
      <c r="R28" s="15">
        <f t="shared" si="127"/>
        <v>0.39381557441872728</v>
      </c>
      <c r="S28" s="15">
        <f t="shared" si="127"/>
        <v>0.33980836693020566</v>
      </c>
      <c r="T28" s="15">
        <f t="shared" si="127"/>
        <v>0.63090508988025484</v>
      </c>
      <c r="U28" s="15">
        <f t="shared" si="127"/>
        <v>0.40661921875367013</v>
      </c>
      <c r="V28" s="15">
        <f t="shared" si="127"/>
        <v>0.31257919921320898</v>
      </c>
      <c r="W28" s="15">
        <f t="shared" si="127"/>
        <v>0.20114111532299028</v>
      </c>
      <c r="X28" s="15">
        <f t="shared" si="127"/>
        <v>0.10117931554138115</v>
      </c>
      <c r="Y28" s="15">
        <f t="shared" si="127"/>
        <v>2.4931534299645897E-2</v>
      </c>
      <c r="Z28" s="15">
        <f t="shared" si="127"/>
        <v>-2.2507204610951015E-2</v>
      </c>
      <c r="AA28" s="15">
        <f t="shared" si="127"/>
        <v>7.9548412285268544E-3</v>
      </c>
      <c r="AB28" s="15">
        <f t="shared" si="127"/>
        <v>5.4804984007256419E-2</v>
      </c>
      <c r="AC28" s="15">
        <f t="shared" si="127"/>
        <v>0.1076787721785033</v>
      </c>
      <c r="AD28" s="15">
        <f>AD8/Z8-1</f>
        <v>0.12490049824582083</v>
      </c>
      <c r="AE28" s="15">
        <f t="shared" ref="AE28:AH28" si="128">AE8/AA8-1</f>
        <v>0.10000000000000009</v>
      </c>
      <c r="AF28" s="15">
        <f t="shared" si="128"/>
        <v>0.10000000000000009</v>
      </c>
      <c r="AG28" s="15">
        <f t="shared" si="128"/>
        <v>0.10000000000000009</v>
      </c>
      <c r="AH28" s="15">
        <f t="shared" si="128"/>
        <v>0.10000000000000009</v>
      </c>
      <c r="AP28" s="15">
        <f>AP8/AO8-1</f>
        <v>0.21835910878112719</v>
      </c>
      <c r="AQ28" s="15">
        <f>AQ8/AP8-1</f>
        <v>0.16325160712902642</v>
      </c>
      <c r="AR28" s="15">
        <f t="shared" ref="AR28:AU28" si="129">AR8/AQ8-1</f>
        <v>0.24756789548053937</v>
      </c>
      <c r="AS28" s="15">
        <f t="shared" si="129"/>
        <v>0.40853915260770313</v>
      </c>
      <c r="AT28" s="15">
        <f t="shared" si="129"/>
        <v>6.7355986005919188E-2</v>
      </c>
      <c r="AU28" s="15">
        <f t="shared" si="129"/>
        <v>7.5001577735003711E-2</v>
      </c>
      <c r="AV28" s="15">
        <f t="shared" ref="AV28:BA28" si="130">AV8/AU8-1</f>
        <v>9.9999999999999867E-2</v>
      </c>
      <c r="AW28" s="15">
        <f t="shared" ref="AW28:BA28" si="131">AW8/AV8-1</f>
        <v>0.17843781410888671</v>
      </c>
      <c r="AX28" s="15">
        <f t="shared" si="131"/>
        <v>0.16642978602490643</v>
      </c>
      <c r="AY28" s="15">
        <f t="shared" si="131"/>
        <v>0.16861066843181716</v>
      </c>
      <c r="AZ28" s="15">
        <f t="shared" si="131"/>
        <v>0.16014803912720299</v>
      </c>
      <c r="BA28" s="15">
        <f t="shared" si="131"/>
        <v>0.13382740164108764</v>
      </c>
    </row>
    <row r="29" spans="2:896" x14ac:dyDescent="0.25">
      <c r="B29" s="23" t="s">
        <v>101</v>
      </c>
      <c r="J29" s="15"/>
      <c r="K29" s="15"/>
      <c r="L29" s="15"/>
      <c r="M29" s="15"/>
      <c r="N29" s="15">
        <f t="shared" ref="N29:AC29" si="132">N9/J9-1</f>
        <v>0.529549444119368</v>
      </c>
      <c r="O29" s="15"/>
      <c r="P29" s="15"/>
      <c r="Q29" s="15"/>
      <c r="R29" s="15">
        <f t="shared" si="132"/>
        <v>0.46557000765110934</v>
      </c>
      <c r="S29" s="15">
        <f t="shared" si="132"/>
        <v>0.4573280518545193</v>
      </c>
      <c r="T29" s="15">
        <f t="shared" si="132"/>
        <v>0.53907549052211512</v>
      </c>
      <c r="U29" s="15">
        <f t="shared" si="132"/>
        <v>0.44889663182346107</v>
      </c>
      <c r="V29" s="15">
        <f t="shared" si="132"/>
        <v>0.44635865309318712</v>
      </c>
      <c r="W29" s="15">
        <f t="shared" si="132"/>
        <v>0.4383493946132937</v>
      </c>
      <c r="X29" s="15">
        <f t="shared" si="132"/>
        <v>0.35609334485738975</v>
      </c>
      <c r="Y29" s="15">
        <f t="shared" si="132"/>
        <v>0.37635270541082155</v>
      </c>
      <c r="Z29" s="15">
        <f t="shared" si="132"/>
        <v>0.3201588160981772</v>
      </c>
      <c r="AA29" s="15">
        <f t="shared" si="132"/>
        <v>0.28053599037965982</v>
      </c>
      <c r="AB29" s="15">
        <f t="shared" si="132"/>
        <v>0.2796367112810707</v>
      </c>
      <c r="AC29" s="15">
        <f t="shared" si="132"/>
        <v>0.22466511357018049</v>
      </c>
      <c r="AD29" s="15">
        <f>AD9/Z9-1</f>
        <v>0.25659603554340404</v>
      </c>
      <c r="AE29" s="15">
        <f t="shared" ref="AE29:AH30" si="133">AE9/AA9-1</f>
        <v>0.19999999999999996</v>
      </c>
      <c r="AF29" s="15">
        <f t="shared" si="133"/>
        <v>0.19999999999999996</v>
      </c>
      <c r="AG29" s="15">
        <f t="shared" si="133"/>
        <v>0.19999999999999996</v>
      </c>
      <c r="AH29" s="15">
        <f t="shared" si="133"/>
        <v>0.19999999999999996</v>
      </c>
      <c r="AP29" s="15" t="e">
        <f>AP9/AO9-1</f>
        <v>#DIV/0!</v>
      </c>
      <c r="AQ29" s="15">
        <f>AQ9/AP9-1</f>
        <v>0.529549444119368</v>
      </c>
      <c r="AR29" s="15">
        <f>AR9/AQ9-1</f>
        <v>3.9957918898240248</v>
      </c>
      <c r="AS29" s="15">
        <f t="shared" ref="AS29:AU29" si="134">AS9/AR9-1</f>
        <v>0.47070985527222597</v>
      </c>
      <c r="AT29" s="15">
        <f t="shared" si="134"/>
        <v>0.36832239925023424</v>
      </c>
      <c r="AU29" s="15">
        <f t="shared" si="134"/>
        <v>0.25905631659056327</v>
      </c>
      <c r="AV29" s="15">
        <f>AV9/AU9-1</f>
        <v>0.19999999999999996</v>
      </c>
      <c r="AW29" s="15">
        <f t="shared" ref="AW29:BA29" si="135">AW9/AV9-1</f>
        <v>0.36602952370434116</v>
      </c>
      <c r="AX29" s="15">
        <f t="shared" si="135"/>
        <v>0.36602952370434116</v>
      </c>
      <c r="AY29" s="15">
        <f t="shared" si="135"/>
        <v>0.36602952370434116</v>
      </c>
      <c r="AZ29" s="15">
        <f t="shared" si="135"/>
        <v>0.36602952370434116</v>
      </c>
      <c r="BA29" s="15">
        <f t="shared" si="135"/>
        <v>0.36602952370434116</v>
      </c>
    </row>
    <row r="30" spans="2:896" x14ac:dyDescent="0.25">
      <c r="B30" s="23" t="s">
        <v>121</v>
      </c>
      <c r="G30" s="15">
        <f>G10/C10-1</f>
        <v>0.34890685834082058</v>
      </c>
      <c r="H30" s="15">
        <f t="shared" ref="H30:AH30" si="136">H10/D10-1</f>
        <v>0.36908328340323537</v>
      </c>
      <c r="I30" s="15">
        <f t="shared" si="136"/>
        <v>0.29107094685729695</v>
      </c>
      <c r="J30" s="15">
        <f t="shared" si="136"/>
        <v>-3.3555729984301452E-2</v>
      </c>
      <c r="K30" s="15">
        <f t="shared" si="136"/>
        <v>0.24755772646536411</v>
      </c>
      <c r="L30" s="15">
        <f t="shared" si="136"/>
        <v>0.38796498905908106</v>
      </c>
      <c r="M30" s="15">
        <f t="shared" si="136"/>
        <v>0.37547012118679479</v>
      </c>
      <c r="N30" s="15">
        <f t="shared" si="136"/>
        <v>0.10375634517766508</v>
      </c>
      <c r="O30" s="15">
        <f t="shared" si="136"/>
        <v>-0.97597437266417508</v>
      </c>
      <c r="P30" s="15">
        <f t="shared" si="136"/>
        <v>-0.97666719218035625</v>
      </c>
      <c r="Q30" s="15">
        <f t="shared" si="136"/>
        <v>-0.97296065623575878</v>
      </c>
      <c r="R30" s="15">
        <f t="shared" si="136"/>
        <v>-0.96394407652685798</v>
      </c>
      <c r="S30" s="15">
        <f t="shared" si="136"/>
        <v>0.46666666666666656</v>
      </c>
      <c r="T30" s="15">
        <f t="shared" si="136"/>
        <v>0.29729729729729737</v>
      </c>
      <c r="U30" s="15">
        <f t="shared" si="136"/>
        <v>2.2471910112359605E-2</v>
      </c>
      <c r="V30" s="15">
        <f t="shared" si="136"/>
        <v>-7.6530612244897989E-2</v>
      </c>
      <c r="W30" s="15">
        <f t="shared" si="136"/>
        <v>1.2222222222222223</v>
      </c>
      <c r="X30" s="15">
        <f t="shared" si="136"/>
        <v>5.2083333333332593E-3</v>
      </c>
      <c r="Y30" s="15">
        <f t="shared" si="136"/>
        <v>0.14835164835164827</v>
      </c>
      <c r="Z30" s="15">
        <f t="shared" si="136"/>
        <v>0.24861878453038666</v>
      </c>
      <c r="AA30" s="15">
        <f t="shared" si="136"/>
        <v>-0.34545454545454546</v>
      </c>
      <c r="AB30" s="15">
        <f t="shared" si="136"/>
        <v>0.47668393782383411</v>
      </c>
      <c r="AC30" s="15">
        <f t="shared" si="136"/>
        <v>0.42105263157894735</v>
      </c>
      <c r="AD30" s="15">
        <f t="shared" si="136"/>
        <v>1.9070796460176993</v>
      </c>
      <c r="AE30" s="15">
        <f t="shared" si="133"/>
        <v>0.10000000000000009</v>
      </c>
      <c r="AF30" s="15">
        <f t="shared" si="133"/>
        <v>0.10000000000000009</v>
      </c>
      <c r="AG30" s="15">
        <f t="shared" si="133"/>
        <v>0.10000000000000009</v>
      </c>
      <c r="AH30" s="15">
        <f t="shared" si="133"/>
        <v>0.10000000000000009</v>
      </c>
      <c r="AP30" s="15">
        <f>AP10/AO10-1</f>
        <v>0.21350129198966417</v>
      </c>
      <c r="AQ30" s="15">
        <f t="shared" ref="AQ30:AV30" si="137">AQ10/AP10-1</f>
        <v>0.27660367314346557</v>
      </c>
      <c r="AR30" s="15">
        <f t="shared" si="137"/>
        <v>-0.9726033109545057</v>
      </c>
      <c r="AS30" s="15">
        <f t="shared" si="137"/>
        <v>0.14611872146118721</v>
      </c>
      <c r="AT30" s="15">
        <f t="shared" si="137"/>
        <v>0.41832669322709171</v>
      </c>
      <c r="AU30" s="15">
        <f t="shared" si="137"/>
        <v>0.4297752808988764</v>
      </c>
      <c r="AV30" s="15">
        <f t="shared" si="137"/>
        <v>0.10000000000000009</v>
      </c>
      <c r="AW30" s="15">
        <f t="shared" ref="AW30:BA30" si="138">AW10/AV10-1</f>
        <v>0.10000000000000009</v>
      </c>
      <c r="AX30" s="15">
        <f t="shared" si="138"/>
        <v>0.10000000000000009</v>
      </c>
      <c r="AY30" s="15">
        <f t="shared" si="138"/>
        <v>0.10000000000000009</v>
      </c>
      <c r="AZ30" s="15">
        <f t="shared" si="138"/>
        <v>0.10000000000000009</v>
      </c>
      <c r="BA30" s="15">
        <f t="shared" si="138"/>
        <v>0.10000000000000009</v>
      </c>
    </row>
    <row r="31" spans="2:896" x14ac:dyDescent="0.25">
      <c r="B31" s="23" t="s">
        <v>102</v>
      </c>
      <c r="C31" s="15">
        <f t="shared" ref="C31:AD31" si="139">C3/C12</f>
        <v>0.70315151515151519</v>
      </c>
      <c r="D31" s="15">
        <f t="shared" si="139"/>
        <v>0.70838139177239523</v>
      </c>
      <c r="E31" s="15">
        <f t="shared" si="139"/>
        <v>0.71017571654904221</v>
      </c>
      <c r="F31" s="15">
        <f t="shared" si="139"/>
        <v>0.68796213222782543</v>
      </c>
      <c r="G31" s="15">
        <f t="shared" si="139"/>
        <v>0.70628652154369742</v>
      </c>
      <c r="H31" s="15">
        <f t="shared" si="139"/>
        <v>0.71231282726521117</v>
      </c>
      <c r="I31" s="15">
        <f t="shared" si="139"/>
        <v>0.71292234736218141</v>
      </c>
      <c r="J31" s="15">
        <f t="shared" si="139"/>
        <v>0.59374681739484669</v>
      </c>
      <c r="K31" s="15">
        <f t="shared" si="139"/>
        <v>0.7067338121577369</v>
      </c>
      <c r="L31" s="15">
        <f t="shared" si="139"/>
        <v>0.70190529991783068</v>
      </c>
      <c r="M31" s="15">
        <f t="shared" si="139"/>
        <v>0.70735079878515517</v>
      </c>
      <c r="N31" s="15">
        <f t="shared" si="139"/>
        <v>0.59001627780792187</v>
      </c>
      <c r="O31" s="15">
        <f t="shared" si="139"/>
        <v>0.5953011492018756</v>
      </c>
      <c r="P31" s="15">
        <f t="shared" si="139"/>
        <v>0.55667545760764547</v>
      </c>
      <c r="Q31" s="15">
        <f t="shared" si="139"/>
        <v>0.57041994239057459</v>
      </c>
      <c r="R31" s="15">
        <f t="shared" si="139"/>
        <v>0.56070512144539353</v>
      </c>
      <c r="S31" s="15">
        <f t="shared" si="139"/>
        <v>0.57632787359438842</v>
      </c>
      <c r="T31" s="15">
        <f t="shared" si="139"/>
        <v>0.57926632191338079</v>
      </c>
      <c r="U31" s="15">
        <f t="shared" si="139"/>
        <v>0.58241960748180222</v>
      </c>
      <c r="V31" s="15">
        <f t="shared" si="139"/>
        <v>0.5748556256223033</v>
      </c>
      <c r="W31" s="15">
        <f t="shared" si="139"/>
        <v>0.58252341532987306</v>
      </c>
      <c r="X31" s="15">
        <f t="shared" si="139"/>
        <v>0.58389897395422252</v>
      </c>
      <c r="Y31" s="15">
        <f t="shared" si="139"/>
        <v>0.57226596422161757</v>
      </c>
      <c r="Z31" s="15">
        <f t="shared" si="139"/>
        <v>0.56022512097622557</v>
      </c>
      <c r="AA31" s="15">
        <f t="shared" si="139"/>
        <v>0.57831687850172664</v>
      </c>
      <c r="AB31" s="15">
        <f t="shared" si="139"/>
        <v>0.57139027397994746</v>
      </c>
      <c r="AC31" s="15">
        <f t="shared" si="139"/>
        <v>0.574054998500515</v>
      </c>
      <c r="AD31" s="15">
        <f>AD3/AD12</f>
        <v>0.55636658556366581</v>
      </c>
      <c r="AE31" s="15">
        <f t="shared" ref="AE31:AH31" si="140">AE3/AE12</f>
        <v>0.5734389753379997</v>
      </c>
      <c r="AF31" s="15">
        <f t="shared" si="140"/>
        <v>0.56587525131480187</v>
      </c>
      <c r="AG31" s="15">
        <f t="shared" si="140"/>
        <v>0.5683807780105512</v>
      </c>
      <c r="AH31" s="15">
        <f t="shared" si="140"/>
        <v>0.55198170859144458</v>
      </c>
      <c r="AO31" s="15">
        <f t="shared" ref="AO31:BA31" si="141">AO3/AO12</f>
        <v>0.70170944025979887</v>
      </c>
      <c r="AP31" s="15">
        <f t="shared" si="141"/>
        <v>0.67705508737821496</v>
      </c>
      <c r="AQ31" s="15">
        <f t="shared" si="141"/>
        <v>0.67250103486410839</v>
      </c>
      <c r="AR31" s="15">
        <f t="shared" si="141"/>
        <v>0.57011839344316184</v>
      </c>
      <c r="AS31" s="15">
        <f t="shared" si="141"/>
        <v>0.57814289096674776</v>
      </c>
      <c r="AT31" s="15">
        <f t="shared" si="141"/>
        <v>0.57436111386103605</v>
      </c>
      <c r="AU31" s="15">
        <f t="shared" si="141"/>
        <v>0.56940929230889348</v>
      </c>
      <c r="AV31" s="15">
        <f t="shared" si="141"/>
        <v>0.56432039617495156</v>
      </c>
      <c r="AW31" s="15">
        <f t="shared" si="141"/>
        <v>0.56281366584058945</v>
      </c>
      <c r="AX31" s="15">
        <f t="shared" si="141"/>
        <v>0.55544095746849853</v>
      </c>
      <c r="AY31" s="15">
        <f t="shared" si="141"/>
        <v>0.54672576129102846</v>
      </c>
      <c r="AZ31" s="15">
        <f t="shared" si="141"/>
        <v>0.53320043591967092</v>
      </c>
      <c r="BA31" s="15">
        <f t="shared" si="141"/>
        <v>0.50895575889463385</v>
      </c>
    </row>
    <row r="33" spans="2:60" x14ac:dyDescent="0.25">
      <c r="B33" s="12" t="s">
        <v>48</v>
      </c>
      <c r="G33" s="15">
        <f>G12/C12-1</f>
        <v>0.25842424242424245</v>
      </c>
      <c r="H33" s="15">
        <f>H12/D12-1</f>
        <v>0.25555555555555554</v>
      </c>
      <c r="I33" s="15">
        <f>I12/E12-1</f>
        <v>0.21489269768111763</v>
      </c>
      <c r="J33" s="15">
        <f>J12/F12-1</f>
        <v>0.21510998360300704</v>
      </c>
      <c r="K33" s="15">
        <f>K12/G12-1</f>
        <v>0.16673088036987083</v>
      </c>
      <c r="L33" s="15">
        <f>L12/H12-1</f>
        <v>0.19251615273907574</v>
      </c>
      <c r="M33" s="15">
        <f>M12/I12-1</f>
        <v>0.2003260225251926</v>
      </c>
      <c r="N33" s="15">
        <f>N12/J12-1</f>
        <v>0.17310825949689379</v>
      </c>
      <c r="O33" s="15">
        <f>O12/K12-1</f>
        <v>0.13263986350752632</v>
      </c>
      <c r="P33" s="15">
        <f>P12/L12-1</f>
        <v>-1.6613599013968749E-2</v>
      </c>
      <c r="Q33" s="15">
        <f>Q12/M12-1</f>
        <v>0.14010222474628997</v>
      </c>
      <c r="R33" s="15">
        <f>R12/N12-1</f>
        <v>0.23489962018448174</v>
      </c>
      <c r="S33" s="15">
        <f>S12/O12-1</f>
        <v>0.34391020189994892</v>
      </c>
      <c r="T33" s="15">
        <f>T12/P12-1</f>
        <v>0.61579235971486024</v>
      </c>
      <c r="U33" s="15">
        <f>U12/Q12-1</f>
        <v>0.41030472353973102</v>
      </c>
      <c r="V33" s="15">
        <f>V12/R12-1</f>
        <v>0.32386024113325607</v>
      </c>
      <c r="W33" s="15">
        <f>W12/S12-1</f>
        <v>0.22954405756228069</v>
      </c>
      <c r="X33" s="15">
        <f>X12/T12-1</f>
        <v>0.12613122171945701</v>
      </c>
      <c r="Y33" s="15">
        <f>Y12/U12-1</f>
        <v>6.1027672840074931E-2</v>
      </c>
      <c r="Z33" s="15">
        <f>Z12/V12-1</f>
        <v>9.5984069034185104E-3</v>
      </c>
      <c r="AA33" s="15">
        <f>AA12/W12-1</f>
        <v>2.6113422828660138E-2</v>
      </c>
      <c r="AB33" s="15">
        <f>AB12/X12-1</f>
        <v>7.0589079428858392E-2</v>
      </c>
      <c r="AC33" s="15">
        <f>AC12/Y12-1</f>
        <v>0.11001273664100042</v>
      </c>
      <c r="AD33" s="15">
        <f>AD12/Z12-1</f>
        <v>0.13494108983799702</v>
      </c>
      <c r="AE33" s="15">
        <f>AE12/AA12-1</f>
        <v>0.10935704357545117</v>
      </c>
      <c r="AF33" s="15">
        <f>AF12/AB12-1</f>
        <v>0.1107206047933087</v>
      </c>
      <c r="AG33" s="15">
        <f>AG12/AC12-1</f>
        <v>0.11098144550350098</v>
      </c>
      <c r="AH33" s="15">
        <f>AH12/AD12-1</f>
        <v>0.10873826903023986</v>
      </c>
      <c r="AP33" s="15">
        <f>AP12/AO12-1</f>
        <v>0.23421586757475987</v>
      </c>
      <c r="AQ33" s="15">
        <f t="shared" ref="AQ33:BA33" si="142">AQ12/AP12-1</f>
        <v>0.18300089899794614</v>
      </c>
      <c r="AR33" s="15">
        <f t="shared" si="142"/>
        <v>0.12770532012826141</v>
      </c>
      <c r="AS33" s="15">
        <f t="shared" si="142"/>
        <v>0.41150076427049154</v>
      </c>
      <c r="AT33" s="15">
        <f t="shared" si="142"/>
        <v>9.7808156437157789E-2</v>
      </c>
      <c r="AU33" s="15">
        <f t="shared" si="142"/>
        <v>8.6827702272695095E-2</v>
      </c>
      <c r="AV33" s="15">
        <f t="shared" si="142"/>
        <v>0.10991951697170399</v>
      </c>
      <c r="AW33" s="15">
        <f t="shared" si="142"/>
        <v>0.19988289773318213</v>
      </c>
      <c r="AX33" s="15">
        <f t="shared" si="142"/>
        <v>0.19257511798428895</v>
      </c>
      <c r="AY33" s="15">
        <f t="shared" si="142"/>
        <v>0.1982855445028624</v>
      </c>
      <c r="AZ33" s="15">
        <f t="shared" si="142"/>
        <v>0.19553683570683855</v>
      </c>
      <c r="BA33" s="15">
        <f t="shared" si="142"/>
        <v>0.17960960516849234</v>
      </c>
      <c r="BG33" s="17" t="s">
        <v>61</v>
      </c>
      <c r="BH33" s="15">
        <v>-0.01</v>
      </c>
    </row>
    <row r="34" spans="2:60" x14ac:dyDescent="0.25">
      <c r="B34" s="12" t="s">
        <v>49</v>
      </c>
      <c r="G34" s="15">
        <f>G13/C13-1</f>
        <v>0.37488514548238894</v>
      </c>
      <c r="H34" s="15">
        <f>H13/D13-1</f>
        <v>0.33837848259905523</v>
      </c>
      <c r="I34" s="15">
        <f>I13/E13-1</f>
        <v>0.28103695730175815</v>
      </c>
      <c r="J34" s="15">
        <f>J13/F13-1</f>
        <v>0.25590523585897529</v>
      </c>
      <c r="K34" s="15">
        <f>K13/G13-1</f>
        <v>0.18898047078042612</v>
      </c>
      <c r="L34" s="15">
        <f>L13/H13-1</f>
        <v>0.24584023626017437</v>
      </c>
      <c r="M34" s="15">
        <f>M13/I13-1</f>
        <v>0.23016595476507251</v>
      </c>
      <c r="N34" s="15">
        <f>N13/J13-1</f>
        <v>0.1731220002232392</v>
      </c>
      <c r="O34" s="15">
        <f>O13/K13-1</f>
        <v>0.18548588558581058</v>
      </c>
      <c r="P34" s="15">
        <f>P13/L13-1</f>
        <v>7.2675763182238562E-2</v>
      </c>
      <c r="Q34" s="15">
        <f>Q13/M13-1</f>
        <v>0.20201502732240439</v>
      </c>
      <c r="R34" s="15">
        <f>R13/N13-1</f>
        <v>0.24072312083729774</v>
      </c>
      <c r="S34" s="15">
        <f>S13/O13-1</f>
        <v>0.26978189864081759</v>
      </c>
      <c r="T34" s="15">
        <f>T13/P13-1</f>
        <v>0.41362582870694764</v>
      </c>
      <c r="U34" s="15">
        <f>U13/Q13-1</f>
        <v>0.30799829521238808</v>
      </c>
      <c r="V34" s="15">
        <f>V13/R13-1</f>
        <v>0.26487730061349701</v>
      </c>
      <c r="W34" s="15">
        <f>W13/S13-1</f>
        <v>0.22802140812347016</v>
      </c>
      <c r="X34" s="15">
        <f>X13/T13-1</f>
        <v>0.14782476074274609</v>
      </c>
      <c r="Y34" s="15">
        <f>Y13/U13-1</f>
        <v>0.12805474095796687</v>
      </c>
      <c r="Z34" s="15">
        <f>Z13/V13-1</f>
        <v>7.1359282163210969E-2</v>
      </c>
      <c r="AA34" s="15">
        <f>AA13/W13-1</f>
        <v>3.4224129193553887E-2</v>
      </c>
      <c r="AB34" s="15">
        <f>AB13/X13-1</f>
        <v>6.0191336699441989E-2</v>
      </c>
      <c r="AC34" s="15">
        <f>AC13/Y13-1</f>
        <v>6.64676808524296E-2</v>
      </c>
      <c r="AD34" s="15">
        <f t="shared" ref="AD34" si="143">AD13/Z13-1</f>
        <v>6.3182615584856494E-2</v>
      </c>
      <c r="AE34" s="15">
        <f>AE13/AA13-1</f>
        <v>8.0000000000000071E-2</v>
      </c>
      <c r="AF34" s="15">
        <f>AF13/AB13-1</f>
        <v>0.10000000000000009</v>
      </c>
      <c r="AG34" s="15">
        <f>AG13/AC13-1</f>
        <v>0.10000000000000009</v>
      </c>
      <c r="AH34" s="15">
        <f>AH13/AD13-1</f>
        <v>0.10000000000000009</v>
      </c>
      <c r="AP34" s="15">
        <f t="shared" ref="AP34:BA34" si="144">AP13/AO13-1</f>
        <v>0.30638615273237835</v>
      </c>
      <c r="AQ34" s="15">
        <f t="shared" si="144"/>
        <v>0.20734185292784102</v>
      </c>
      <c r="AR34" s="15">
        <f t="shared" si="144"/>
        <v>0.17853566262378995</v>
      </c>
      <c r="AS34" s="15">
        <f t="shared" si="144"/>
        <v>0.30929282915545486</v>
      </c>
      <c r="AT34" s="15">
        <f t="shared" si="144"/>
        <v>0.13758912555548553</v>
      </c>
      <c r="AU34" s="15">
        <f t="shared" si="144"/>
        <v>5.6488356061266343E-2</v>
      </c>
      <c r="AV34" s="15">
        <f t="shared" si="144"/>
        <v>9.5408154081540797E-2</v>
      </c>
      <c r="AW34" s="15">
        <f t="shared" si="144"/>
        <v>0.2274526944974955</v>
      </c>
      <c r="AX34" s="15">
        <f t="shared" si="144"/>
        <v>0.19257511798428895</v>
      </c>
      <c r="AY34" s="15">
        <f t="shared" si="144"/>
        <v>0.1982855445028624</v>
      </c>
      <c r="AZ34" s="15">
        <f t="shared" si="144"/>
        <v>0.19553683570683855</v>
      </c>
      <c r="BA34" s="15">
        <f t="shared" si="144"/>
        <v>0.17960960516849234</v>
      </c>
      <c r="BG34" s="17" t="s">
        <v>62</v>
      </c>
      <c r="BH34" s="15">
        <f>WACC!C18</f>
        <v>8.100938506308529E-2</v>
      </c>
    </row>
    <row r="35" spans="2:60" x14ac:dyDescent="0.25">
      <c r="B35" s="12" t="s">
        <v>50</v>
      </c>
      <c r="G35" s="15">
        <f>G15/C15-1</f>
        <v>0.27828513444951808</v>
      </c>
      <c r="H35" s="15">
        <f>H15/D15-1</f>
        <v>0.22579098753595406</v>
      </c>
      <c r="I35" s="15">
        <f>I15/E15-1</f>
        <v>0.24423305588585009</v>
      </c>
      <c r="J35" s="15">
        <f>J15/F15-1</f>
        <v>0.4013005109150023</v>
      </c>
      <c r="K35" s="15">
        <f>K15/G15-1</f>
        <v>0.19646755308592967</v>
      </c>
      <c r="L35" s="15">
        <f>L15/H15-1</f>
        <v>0.21490027375831056</v>
      </c>
      <c r="M35" s="15">
        <f>M15/I15-1</f>
        <v>0.25267584097859319</v>
      </c>
      <c r="N35" s="15">
        <f>N15/J15-1</f>
        <v>0.19688432217434548</v>
      </c>
      <c r="O35" s="15">
        <f>O15/K15-1</f>
        <v>0.1311992038480676</v>
      </c>
      <c r="P35" s="15">
        <f>P15/L15-1</f>
        <v>0.10655078062127799</v>
      </c>
      <c r="Q35" s="15">
        <f>Q15/M15-1</f>
        <v>4.607873054623135E-2</v>
      </c>
      <c r="R35" s="15">
        <f>R15/N15-1</f>
        <v>-2.7693159789532018E-2</v>
      </c>
      <c r="S35" s="15">
        <f>S15/O15-1</f>
        <v>9.7507331378299034E-2</v>
      </c>
      <c r="T35" s="15">
        <f>T15/P15-1</f>
        <v>0.11636363636363645</v>
      </c>
      <c r="U35" s="15">
        <f>U15/Q15-1</f>
        <v>0.12222870478413062</v>
      </c>
      <c r="V35" s="15">
        <f>V15/R15-1</f>
        <v>0.24010253489034472</v>
      </c>
      <c r="W35" s="15">
        <f>W15/S15-1</f>
        <v>0.21830327321309295</v>
      </c>
      <c r="X35" s="15">
        <f>X15/T15-1</f>
        <v>0.28221498371335496</v>
      </c>
      <c r="Y35" s="15">
        <f>Y15/U15-1</f>
        <v>0.33519625682349874</v>
      </c>
      <c r="Z35" s="15">
        <f>Z15/V15-1</f>
        <v>0.17903077629765729</v>
      </c>
      <c r="AA35" s="15">
        <f>AA15/W15-1</f>
        <v>0.25759403443360007</v>
      </c>
      <c r="AB35" s="15">
        <f>AB15/X15-1</f>
        <v>7.590692002845234E-2</v>
      </c>
      <c r="AC35" s="15">
        <f>AC15/Y15-1</f>
        <v>9.5882410201499013E-2</v>
      </c>
      <c r="AD35" s="15">
        <f>AD15/Z15-1</f>
        <v>0.17979935716372841</v>
      </c>
      <c r="AE35" s="15">
        <f>AE15/AA15-1</f>
        <v>0.27</v>
      </c>
      <c r="AF35" s="15">
        <f>AF15/AB15-1</f>
        <v>0.27</v>
      </c>
      <c r="AG35" s="15">
        <f>AG15/AC15-1</f>
        <v>0.27</v>
      </c>
      <c r="AH35" s="15">
        <f>AH15/AD15-1</f>
        <v>0.27</v>
      </c>
      <c r="AO35" s="15"/>
      <c r="AP35" s="15">
        <f>AP15/AO15-1</f>
        <v>0.28836090225563904</v>
      </c>
      <c r="AQ35" s="15">
        <f t="shared" ref="AQ35:BA35" si="145">AQ15/AP15-1</f>
        <v>0.21471590643820915</v>
      </c>
      <c r="AR35" s="15">
        <f t="shared" si="145"/>
        <v>5.9766315627642452E-2</v>
      </c>
      <c r="AS35" s="15">
        <f t="shared" si="145"/>
        <v>0.14467051100714468</v>
      </c>
      <c r="AT35" s="15">
        <f t="shared" si="145"/>
        <v>0.25150497433622721</v>
      </c>
      <c r="AU35" s="15">
        <f t="shared" si="145"/>
        <v>0.15005063291139242</v>
      </c>
      <c r="AV35" s="15">
        <f t="shared" si="145"/>
        <v>0.27</v>
      </c>
      <c r="AW35" s="15">
        <f t="shared" si="145"/>
        <v>0.18484487376270908</v>
      </c>
      <c r="AX35" s="15">
        <f t="shared" si="145"/>
        <v>0.18484487376270908</v>
      </c>
      <c r="AY35" s="15">
        <f t="shared" si="145"/>
        <v>0.18484487376270908</v>
      </c>
      <c r="AZ35" s="15">
        <f t="shared" si="145"/>
        <v>0.18484487376270908</v>
      </c>
      <c r="BA35" s="15">
        <f t="shared" si="145"/>
        <v>0.18484487376270908</v>
      </c>
      <c r="BG35" s="17" t="s">
        <v>63</v>
      </c>
      <c r="BH35" s="12">
        <f>NPV(BH34,AU23:AHL23)</f>
        <v>1856217.4883342676</v>
      </c>
    </row>
    <row r="36" spans="2:60" x14ac:dyDescent="0.25">
      <c r="B36" s="12" t="s">
        <v>51</v>
      </c>
      <c r="G36" s="15">
        <f>G16/C16-1</f>
        <v>0.36308623298033282</v>
      </c>
      <c r="H36" s="15">
        <f>H16/D16-1</f>
        <v>0.30479806696582679</v>
      </c>
      <c r="I36" s="15">
        <f>I16/E16-1</f>
        <v>0.26528599605522674</v>
      </c>
      <c r="J36" s="15">
        <f>J16/F16-1</f>
        <v>0.18329466357308588</v>
      </c>
      <c r="K36" s="15">
        <f>K16/G16-1</f>
        <v>8.3518312985571663E-2</v>
      </c>
      <c r="L36" s="15">
        <f>L16/H16-1</f>
        <v>0.11428571428571432</v>
      </c>
      <c r="M36" s="15">
        <f>M16/I16-1</f>
        <v>0.19745388412574694</v>
      </c>
      <c r="N36" s="15">
        <f>N16/J16-1</f>
        <v>0.12509803921568619</v>
      </c>
      <c r="O36" s="15">
        <f>O16/K16-1</f>
        <v>0.15236875800256078</v>
      </c>
      <c r="P36" s="15">
        <f>P16/L16-1</f>
        <v>-7.3836657169990549E-2</v>
      </c>
      <c r="Q36" s="15">
        <f>Q16/M16-1</f>
        <v>-8.2013451941852944E-2</v>
      </c>
      <c r="R36" s="15">
        <f>R16/N16-1</f>
        <v>-7.3893342628093439E-2</v>
      </c>
      <c r="S36" s="15">
        <f>S16/O16-1</f>
        <v>3.555555555555534E-3</v>
      </c>
      <c r="T36" s="15">
        <f>T16/P16-1</f>
        <v>0.35247372468597793</v>
      </c>
      <c r="U36" s="15">
        <f>U16/Q16-1</f>
        <v>0.30371070668872613</v>
      </c>
      <c r="V36" s="15">
        <f>V16/R16-1</f>
        <v>0.43093714715844933</v>
      </c>
      <c r="W36" s="15">
        <f>W16/S16-1</f>
        <v>0.28985828166519045</v>
      </c>
      <c r="X36" s="15">
        <f>X16/T16-1</f>
        <v>0.25663381349507208</v>
      </c>
      <c r="Y36" s="15">
        <f>Y16/U16-1</f>
        <v>0.25616388687454683</v>
      </c>
      <c r="Z36" s="15">
        <f>Z16/V16-1</f>
        <v>-5.5365597054181981E-2</v>
      </c>
      <c r="AA36" s="15">
        <f>AA16/W16-1</f>
        <v>0.12154506437768231</v>
      </c>
      <c r="AB36" s="15">
        <f>AB16/X16-1</f>
        <v>2.2775263951734459E-2</v>
      </c>
      <c r="AC36" s="15">
        <f>AC16/Y16-1</f>
        <v>-6.4944436426612739E-3</v>
      </c>
      <c r="AD36" s="15">
        <f>AD16/Z16-1</f>
        <v>7.4620632047890822E-2</v>
      </c>
      <c r="AE36" s="15">
        <f>AE16/AA16-1</f>
        <v>0.12999999999999989</v>
      </c>
      <c r="AF36" s="15">
        <f>AF16/AB16-1</f>
        <v>0.12999999999999989</v>
      </c>
      <c r="AG36" s="15">
        <f>AG16/AC16-1</f>
        <v>0.12999999999999989</v>
      </c>
      <c r="AH36" s="15">
        <f>AH16/AD16-1</f>
        <v>0.12999999999999989</v>
      </c>
      <c r="AO36" s="15"/>
      <c r="AP36" s="15">
        <f>AP16/AO16-1</f>
        <v>0.2668114480725976</v>
      </c>
      <c r="AQ36" s="15">
        <f>AQ16/AP16-1</f>
        <v>0.1304720504500092</v>
      </c>
      <c r="AR36" s="15">
        <f>AR16/AQ16-1</f>
        <v>-2.805459272097055E-2</v>
      </c>
      <c r="AS36" s="15">
        <f>AS16/AR16-1</f>
        <v>0.27671904602696973</v>
      </c>
      <c r="AT36" s="15">
        <f>AT16/AS16-1</f>
        <v>0.15952339385474867</v>
      </c>
      <c r="AU36" s="15">
        <f>AU16/AT16-1</f>
        <v>5.081492076636418E-2</v>
      </c>
      <c r="AV36" s="15">
        <f>AV16/AU16-1</f>
        <v>0.12999999999999989</v>
      </c>
      <c r="AW36" s="15">
        <f>AW16/AV16-1</f>
        <v>0.14271437774161977</v>
      </c>
      <c r="AX36" s="15">
        <f>AX16/AW16-1</f>
        <v>0.14271437774161977</v>
      </c>
      <c r="AY36" s="15">
        <f>AY16/AX16-1</f>
        <v>0.14271437774161977</v>
      </c>
      <c r="AZ36" s="15">
        <f>AZ16/AY16-1</f>
        <v>0.14271437774161977</v>
      </c>
      <c r="BA36" s="15">
        <f>BA16/AZ16-1</f>
        <v>0.14271437774161977</v>
      </c>
      <c r="BG36" s="17" t="s">
        <v>64</v>
      </c>
      <c r="BH36" s="12">
        <f>Main!D7-Main!D8</f>
        <v>128671</v>
      </c>
    </row>
    <row r="37" spans="2:60" x14ac:dyDescent="0.25">
      <c r="B37" s="12" t="s">
        <v>52</v>
      </c>
      <c r="G37" s="15">
        <f>G17/C17-1</f>
        <v>-0.22098833981121602</v>
      </c>
      <c r="H37" s="15">
        <f>H17/D17-1</f>
        <v>3.7647058823529367E-2</v>
      </c>
      <c r="I37" s="15">
        <f>I17/E17-1</f>
        <v>9.9059561128526541E-2</v>
      </c>
      <c r="J37" s="15">
        <f>J17/F17-1</f>
        <v>0.12781531531531543</v>
      </c>
      <c r="K37" s="15">
        <f>K17/G17-1</f>
        <v>0.48823948681397011</v>
      </c>
      <c r="L37" s="15">
        <f>L17/H17-1</f>
        <v>0.15816326530612246</v>
      </c>
      <c r="M37" s="15">
        <f>M17/I17-1</f>
        <v>0.47803764974329721</v>
      </c>
      <c r="N37" s="15">
        <f>N17/J17-1</f>
        <v>0.41238142785821275</v>
      </c>
      <c r="O37" s="15">
        <f>O17/K17-1</f>
        <v>0.3793103448275863</v>
      </c>
      <c r="P37" s="15">
        <f>P17/L17-1</f>
        <v>0.26529613313754274</v>
      </c>
      <c r="Q37" s="15">
        <f>Q17/M17-1</f>
        <v>6.3681976071015001E-2</v>
      </c>
      <c r="R37" s="15">
        <f>R17/N17-1</f>
        <v>7.0696359137500941E-4</v>
      </c>
      <c r="S37" s="15">
        <f>S17/O17-1</f>
        <v>-3.7152777777777812E-2</v>
      </c>
      <c r="T37" s="15">
        <f>T17/P17-1</f>
        <v>0.29245647969052224</v>
      </c>
      <c r="U37" s="15">
        <f>U17/Q17-1</f>
        <v>0.1814223512336719</v>
      </c>
      <c r="V37" s="15">
        <f>V17/R17-1</f>
        <v>0.46238078417520301</v>
      </c>
      <c r="W37" s="15">
        <f>W17/S17-1</f>
        <v>0.21673278038225741</v>
      </c>
      <c r="X37" s="15">
        <f>X17/T17-1</f>
        <v>9.4582460341215313E-2</v>
      </c>
      <c r="Y37" s="15">
        <f>Y17/U17-1</f>
        <v>0.10472972972972983</v>
      </c>
      <c r="Z37" s="15">
        <f>Z17/V17-1</f>
        <v>0.23091787439613531</v>
      </c>
      <c r="AA37" s="15">
        <f>AA17/W17-1</f>
        <v>0.11410788381742742</v>
      </c>
      <c r="AB37" s="15">
        <f>AB17/X17-1</f>
        <v>-4.8126879956248314E-2</v>
      </c>
      <c r="AC37" s="15">
        <f>AC17/Y17-1</f>
        <v>0.10619961078676665</v>
      </c>
      <c r="AD37" s="15">
        <f>AD17/Z17-1</f>
        <v>2.1585557299842906E-2</v>
      </c>
      <c r="AE37" s="15">
        <f>AE17/AA17-1</f>
        <v>0.12000000000000033</v>
      </c>
      <c r="AF37" s="15">
        <f>AF17/AB17-1</f>
        <v>0.12000000000000011</v>
      </c>
      <c r="AG37" s="15">
        <f>AG17/AC17-1</f>
        <v>0.12000000000000011</v>
      </c>
      <c r="AH37" s="15">
        <f>AH17/AD17-1</f>
        <v>0.12000000000000011</v>
      </c>
      <c r="AO37" s="15"/>
      <c r="AP37" s="15">
        <f>AP17/AO17-1</f>
        <v>7.4214202561118103E-3</v>
      </c>
      <c r="AQ37" s="15">
        <f>AQ17/AP17-1</f>
        <v>0.3796042178246426</v>
      </c>
      <c r="AR37" s="15">
        <f>AR17/AQ17-1</f>
        <v>0.15715631871008262</v>
      </c>
      <c r="AS37" s="15">
        <f>AS17/AR17-1</f>
        <v>0.22240318494390166</v>
      </c>
      <c r="AT37" s="15">
        <f>AT17/AS17-1</f>
        <v>0.16387860843819402</v>
      </c>
      <c r="AU37" s="15">
        <f>AU17/AT17-1</f>
        <v>4.4581531416942211E-2</v>
      </c>
      <c r="AV37" s="15">
        <f>AV17/AU17-1</f>
        <v>0.12000000000000033</v>
      </c>
      <c r="AW37" s="15">
        <f>AW17/AV17-1</f>
        <v>0.16250754693164593</v>
      </c>
      <c r="AX37" s="15">
        <f>AX17/AW17-1</f>
        <v>0.16250754693164593</v>
      </c>
      <c r="AY37" s="15">
        <f>AY17/AX17-1</f>
        <v>0.16250754693164593</v>
      </c>
      <c r="AZ37" s="15">
        <f>AZ17/AY17-1</f>
        <v>0.16250754693164593</v>
      </c>
      <c r="BA37" s="15">
        <f>BA17/AZ17-1</f>
        <v>0.16250754693164593</v>
      </c>
      <c r="BG37" s="17" t="s">
        <v>65</v>
      </c>
      <c r="BH37" s="12">
        <f>+BH35+BH36</f>
        <v>1984888.4883342676</v>
      </c>
    </row>
    <row r="38" spans="2:60" x14ac:dyDescent="0.25">
      <c r="B38" s="12" t="s">
        <v>53</v>
      </c>
      <c r="G38" s="15">
        <f>G23/C23-1</f>
        <v>0.73258385551050487</v>
      </c>
      <c r="H38" s="15">
        <f>H23/D23-1</f>
        <v>0.32044728434504788</v>
      </c>
      <c r="I38" s="15">
        <f>I23/E23-1</f>
        <v>0.36541889483065959</v>
      </c>
      <c r="J38" s="15">
        <f>J23/F23-1</f>
        <v>-3.9629139072847681</v>
      </c>
      <c r="K38" s="15">
        <f>K23/G23-1</f>
        <v>-0.11137113073077332</v>
      </c>
      <c r="L38" s="15">
        <f>L23/H23-1</f>
        <v>0.20336317444955232</v>
      </c>
      <c r="M38" s="15">
        <f>M23/I23-1</f>
        <v>-0.2310704960835509</v>
      </c>
      <c r="N38" s="15">
        <f>N23/J23-1</f>
        <v>0.19255699597675457</v>
      </c>
      <c r="O38" s="15">
        <f>O23/K23-1</f>
        <v>-0.18170936078525257</v>
      </c>
      <c r="P38" s="15">
        <f>P23/L23-1</f>
        <v>-0.30039207801347145</v>
      </c>
      <c r="Q38" s="15">
        <f>Q23/M23-1</f>
        <v>0.59125636672325976</v>
      </c>
      <c r="R38" s="15">
        <f>R23/N23-1</f>
        <v>0.42695155093243375</v>
      </c>
      <c r="S38" s="15">
        <f>S23/O23-1</f>
        <v>1.6228788765359861</v>
      </c>
      <c r="T38" s="15">
        <f>T23/P23-1</f>
        <v>1.6620204052306367</v>
      </c>
      <c r="U38" s="15">
        <f>U23/Q23-1</f>
        <v>0.68364897305948258</v>
      </c>
      <c r="V38" s="15">
        <f>V23/R23-1</f>
        <v>0.35561830958166407</v>
      </c>
      <c r="W38" s="15">
        <f>W23/S23-1</f>
        <v>-8.3324037925264882E-2</v>
      </c>
      <c r="X38" s="15">
        <f>X23/T23-1</f>
        <v>-0.13619433198380571</v>
      </c>
      <c r="Y38" s="15">
        <f>Y23/U23-1</f>
        <v>-0.26542036332910857</v>
      </c>
      <c r="Z38" s="15">
        <f>Z23/V23-1</f>
        <v>-0.33998643542292417</v>
      </c>
      <c r="AA38" s="15">
        <f t="shared" ref="AA38:AC38" si="146">AA23/W23-1</f>
        <v>-8.4266244828425374E-2</v>
      </c>
      <c r="AB38" s="15">
        <f t="shared" si="146"/>
        <v>0.147856517935258</v>
      </c>
      <c r="AC38" s="15">
        <f t="shared" si="146"/>
        <v>0.41545650611071161</v>
      </c>
      <c r="AD38" s="15">
        <f>AD23/Z23-1</f>
        <v>0.51842337052260712</v>
      </c>
      <c r="AE38" s="15">
        <f t="shared" ref="AE38:AH38" si="147">AE23/AA23-1</f>
        <v>7.338644605979816E-2</v>
      </c>
      <c r="AF38" s="15">
        <f t="shared" si="147"/>
        <v>9.007676816705068E-2</v>
      </c>
      <c r="AG38" s="15">
        <f t="shared" si="147"/>
        <v>-1.0227868704056009E-2</v>
      </c>
      <c r="AH38" s="15">
        <f t="shared" si="147"/>
        <v>3.6829866616288953E-2</v>
      </c>
      <c r="AO38" s="15"/>
      <c r="AP38" s="15">
        <f>AP23/AO23-1</f>
        <v>1.3254318742693858</v>
      </c>
      <c r="AQ38" s="15">
        <f t="shared" ref="AQ38:BA38" si="148">AQ23/AP23-1</f>
        <v>6.5071075488032371E-3</v>
      </c>
      <c r="AR38" s="15">
        <f t="shared" si="148"/>
        <v>0.11734184239733625</v>
      </c>
      <c r="AS38" s="15">
        <f t="shared" si="148"/>
        <v>0.88812734361419454</v>
      </c>
      <c r="AT38" s="15">
        <f t="shared" si="148"/>
        <v>-0.21123722594136751</v>
      </c>
      <c r="AU38" s="15">
        <f t="shared" si="148"/>
        <v>0.23049089575135073</v>
      </c>
      <c r="AV38" s="15">
        <f t="shared" si="148"/>
        <v>4.4983974810155258E-2</v>
      </c>
      <c r="AW38" s="15">
        <f t="shared" si="148"/>
        <v>0.19579417154144929</v>
      </c>
      <c r="AX38" s="15">
        <f t="shared" si="148"/>
        <v>0.21470917838590386</v>
      </c>
      <c r="AY38" s="15">
        <f t="shared" si="148"/>
        <v>0.2262592617915804</v>
      </c>
      <c r="AZ38" s="15">
        <f t="shared" si="148"/>
        <v>0.21961489663393041</v>
      </c>
      <c r="BA38" s="15">
        <f t="shared" si="148"/>
        <v>0.18677879802683806</v>
      </c>
      <c r="BG38" s="17" t="s">
        <v>66</v>
      </c>
      <c r="BH38" s="13">
        <f>BH37/Main!D5</f>
        <v>157.50583148184953</v>
      </c>
    </row>
    <row r="39" spans="2:60" x14ac:dyDescent="0.25">
      <c r="B39" s="12" t="s">
        <v>54</v>
      </c>
      <c r="G39" s="15">
        <f>G24/C24-1</f>
        <v>4.4128791116126997E-3</v>
      </c>
      <c r="H39" s="15">
        <f>H24/D24-1</f>
        <v>-3.6389325987251642E-4</v>
      </c>
      <c r="I39" s="15">
        <f>I24/E24-1</f>
        <v>2.0320697554132572E-4</v>
      </c>
      <c r="J39" s="15">
        <f>J24/F24-1</f>
        <v>9.0627177499698064E-3</v>
      </c>
      <c r="K39" s="15">
        <f>K24/G24-1</f>
        <v>-6.0343140452736588E-3</v>
      </c>
      <c r="L39" s="15">
        <f>L24/H24-1</f>
        <v>-4.6825653006695722E-3</v>
      </c>
      <c r="M39" s="15">
        <f>M24/I24-1</f>
        <v>-8.0413832884144165E-3</v>
      </c>
      <c r="N39" s="15">
        <f>N24/J24-1</f>
        <v>-8.1395464967135567E-3</v>
      </c>
      <c r="O39" s="15">
        <f>O24/K24-1</f>
        <v>-1.228742764442925E-2</v>
      </c>
      <c r="P39" s="15">
        <f>P24/L24-1</f>
        <v>-1.8472642487934898E-2</v>
      </c>
      <c r="Q39" s="15">
        <f>Q24/M24-1</f>
        <v>-1.7685502270842535E-2</v>
      </c>
      <c r="R39" s="15">
        <f>R24/N24-1</f>
        <v>-1.7585019433424165E-2</v>
      </c>
      <c r="S39" s="15">
        <f t="shared" ref="S39" si="149">S24/O24-1</f>
        <v>-1.4728421259427416E-2</v>
      </c>
      <c r="T39" s="15">
        <f>T24/P24-1</f>
        <v>-1.0788560516081014E-2</v>
      </c>
      <c r="U39" s="15">
        <f>U24/Q24-1</f>
        <v>-1.3606453879924318E-2</v>
      </c>
      <c r="V39" s="15">
        <f>V24/R24-1</f>
        <v>-1.5338909965166736E-2</v>
      </c>
      <c r="W39" s="15">
        <f>W24/S24-1</f>
        <v>18.574208550136277</v>
      </c>
      <c r="X39" s="15">
        <f>X24/T24-1</f>
        <v>18.480232838737397</v>
      </c>
      <c r="Y39" s="15">
        <f>Y24/U24-1</f>
        <v>18.359397149230102</v>
      </c>
      <c r="Z39" s="15">
        <f>Z24/V24-1</f>
        <v>18.252245004780718</v>
      </c>
      <c r="AA39" s="15">
        <f t="shared" ref="AA39:AC39" si="150">AA24/W24-1</f>
        <v>-3.9547599430754254E-2</v>
      </c>
      <c r="AB39" s="15">
        <f t="shared" si="150"/>
        <v>-3.5878842812901324E-2</v>
      </c>
      <c r="AC39" s="15">
        <f t="shared" si="150"/>
        <v>-3.0617698709628161E-2</v>
      </c>
      <c r="AD39" s="15">
        <f>AD24/Z24-1</f>
        <v>-2.6647099714219524E-2</v>
      </c>
      <c r="AE39" s="15">
        <f t="shared" ref="AE39:AH39" si="151">AE24/AA24-1</f>
        <v>-2.0000000000000129E-2</v>
      </c>
      <c r="AF39" s="15">
        <f t="shared" si="151"/>
        <v>-2.0000000000000018E-2</v>
      </c>
      <c r="AG39" s="15">
        <f t="shared" si="151"/>
        <v>-2.0000000000000018E-2</v>
      </c>
      <c r="AH39" s="15">
        <f t="shared" si="151"/>
        <v>-2.0000000000000018E-2</v>
      </c>
      <c r="AO39" s="15"/>
      <c r="AP39" s="15">
        <f>AP24/AO24-1</f>
        <v>9.0627177499698064E-3</v>
      </c>
      <c r="AQ39" s="15">
        <f>AQ24/AP24-1</f>
        <v>-8.1395464967135567E-3</v>
      </c>
      <c r="AR39" s="15">
        <f>AR24/AQ24-1</f>
        <v>-1.7585019433424165E-2</v>
      </c>
      <c r="AS39" s="15">
        <f>AS24/AR24-1</f>
        <v>-1.5338909965166736E-2</v>
      </c>
      <c r="AT39" s="15">
        <f>AT24/AS24-1</f>
        <v>18.252245004780718</v>
      </c>
      <c r="AU39" s="15">
        <f>AU24/AT24-1</f>
        <v>-2.6647099714219524E-2</v>
      </c>
      <c r="AV39" s="15">
        <f>AV24/AU24-1</f>
        <v>-2.0000000000000018E-2</v>
      </c>
      <c r="AW39" s="15">
        <f>AW24/AV24-1</f>
        <v>-1.000000000000012E-2</v>
      </c>
      <c r="AX39" s="15">
        <f>AX24/AW24-1</f>
        <v>-1.0000000000000009E-2</v>
      </c>
      <c r="AY39" s="15">
        <f>AY24/AX24-1</f>
        <v>-1.0000000000000009E-2</v>
      </c>
      <c r="AZ39" s="15">
        <f>AZ24/AY24-1</f>
        <v>-1.0000000000000009E-2</v>
      </c>
      <c r="BA39" s="15">
        <f>BA24/AZ24-1</f>
        <v>-1.0000000000000009E-2</v>
      </c>
      <c r="BG39" s="17" t="s">
        <v>67</v>
      </c>
      <c r="BH39" s="17">
        <f>Main!D4</f>
        <v>150.93</v>
      </c>
    </row>
    <row r="40" spans="2:60" x14ac:dyDescent="0.25">
      <c r="B40" s="12" t="s">
        <v>55</v>
      </c>
      <c r="G40" s="15">
        <f t="shared" ref="G40:R40" si="152">G14/G12</f>
        <v>0.56761702947408976</v>
      </c>
      <c r="H40" s="15">
        <f t="shared" si="152"/>
        <v>0.57488440456869894</v>
      </c>
      <c r="I40" s="15">
        <f t="shared" si="152"/>
        <v>0.57673384706579722</v>
      </c>
      <c r="J40" s="15">
        <f t="shared" si="152"/>
        <v>0.54379264690905382</v>
      </c>
      <c r="K40" s="15">
        <f t="shared" si="152"/>
        <v>0.55937147417375277</v>
      </c>
      <c r="L40" s="15">
        <f t="shared" si="152"/>
        <v>0.55587510271158591</v>
      </c>
      <c r="M40" s="15">
        <f t="shared" si="152"/>
        <v>0.56621151139534309</v>
      </c>
      <c r="N40" s="15">
        <f t="shared" si="152"/>
        <v>0.54378730330982095</v>
      </c>
      <c r="O40" s="15">
        <f t="shared" si="152"/>
        <v>0.53881289632887097</v>
      </c>
      <c r="P40" s="15">
        <f t="shared" si="152"/>
        <v>0.51554952085019712</v>
      </c>
      <c r="Q40" s="15">
        <f t="shared" si="152"/>
        <v>0.54265479825872265</v>
      </c>
      <c r="R40" s="15">
        <f t="shared" si="152"/>
        <v>0.54163590987380927</v>
      </c>
      <c r="S40" s="15">
        <f t="shared" ref="S40:Z40" si="153">S14/S12</f>
        <v>0.56425136493473627</v>
      </c>
      <c r="T40" s="15">
        <f t="shared" si="153"/>
        <v>0.57616354234001288</v>
      </c>
      <c r="U40" s="15">
        <f t="shared" si="153"/>
        <v>0.57583156730857832</v>
      </c>
      <c r="V40" s="15">
        <f t="shared" si="153"/>
        <v>0.56205774975107869</v>
      </c>
      <c r="W40" s="15">
        <f t="shared" si="153"/>
        <v>0.5647909896928438</v>
      </c>
      <c r="X40" s="15">
        <f t="shared" si="153"/>
        <v>0.56799885197675248</v>
      </c>
      <c r="Y40" s="15">
        <f t="shared" si="153"/>
        <v>0.54903606785156023</v>
      </c>
      <c r="Z40" s="15">
        <f t="shared" si="153"/>
        <v>0.53526719966337055</v>
      </c>
      <c r="AA40" s="15">
        <f t="shared" ref="AA40:AC40" si="154">AA14/AA12</f>
        <v>0.56135096794531936</v>
      </c>
      <c r="AB40" s="15">
        <f t="shared" si="154"/>
        <v>0.5721945204010509</v>
      </c>
      <c r="AC40" s="15">
        <f t="shared" si="154"/>
        <v>0.56672708069836886</v>
      </c>
      <c r="AD40" s="15">
        <f>AD14/AD12</f>
        <v>0.56465067778936395</v>
      </c>
      <c r="AE40" s="15">
        <f t="shared" ref="AE40:AH40" si="155">AE14/AE12</f>
        <v>0.57295898794477307</v>
      </c>
      <c r="AF40" s="15">
        <f t="shared" si="155"/>
        <v>0.57632367174244115</v>
      </c>
      <c r="AG40" s="15">
        <f t="shared" si="155"/>
        <v>0.57100974713776853</v>
      </c>
      <c r="AH40" s="15">
        <f t="shared" si="155"/>
        <v>0.56808178466631554</v>
      </c>
      <c r="AO40" s="15">
        <f>AO14/AO12</f>
        <v>0.58880519597672631</v>
      </c>
      <c r="AP40" s="15">
        <f t="shared" ref="AP40:BA40" si="156">AP14/AP12</f>
        <v>0.5647607422945643</v>
      </c>
      <c r="AQ40" s="15">
        <f t="shared" si="156"/>
        <v>0.5558054331910266</v>
      </c>
      <c r="AR40" s="15">
        <f t="shared" si="156"/>
        <v>0.53578374706207854</v>
      </c>
      <c r="AS40" s="15">
        <f t="shared" si="156"/>
        <v>0.5693980290098084</v>
      </c>
      <c r="AT40" s="15">
        <f t="shared" si="156"/>
        <v>0.55379442503783116</v>
      </c>
      <c r="AU40" s="15">
        <f t="shared" si="156"/>
        <v>0.56625047984020505</v>
      </c>
      <c r="AV40" s="15">
        <f t="shared" si="156"/>
        <v>0.57192142858398987</v>
      </c>
      <c r="AW40" s="15">
        <f t="shared" si="156"/>
        <v>0.5620854360588915</v>
      </c>
      <c r="AX40" s="15">
        <f t="shared" si="156"/>
        <v>0.5620854360588915</v>
      </c>
      <c r="AY40" s="15">
        <f t="shared" si="156"/>
        <v>0.5620854360588915</v>
      </c>
      <c r="AZ40" s="15">
        <f t="shared" si="156"/>
        <v>0.5620854360588915</v>
      </c>
      <c r="BA40" s="15">
        <f t="shared" si="156"/>
        <v>0.5620854360588915</v>
      </c>
      <c r="BG40" s="18" t="s">
        <v>68</v>
      </c>
      <c r="BH40" s="24">
        <f>BH38/BH39-1</f>
        <v>4.3568750293841552E-2</v>
      </c>
    </row>
    <row r="41" spans="2:60" x14ac:dyDescent="0.25">
      <c r="B41" s="12" t="s">
        <v>56</v>
      </c>
      <c r="G41" s="15">
        <f t="shared" ref="G41:R41" si="157">G19/G12</f>
        <v>0.24507159827907277</v>
      </c>
      <c r="H41" s="15">
        <f t="shared" si="157"/>
        <v>0.24852252197078728</v>
      </c>
      <c r="I41" s="15">
        <f t="shared" si="157"/>
        <v>0.25563129816241847</v>
      </c>
      <c r="J41" s="15">
        <f t="shared" si="157"/>
        <v>0.20931357572054179</v>
      </c>
      <c r="K41" s="15">
        <f t="shared" si="157"/>
        <v>0.22854233743361127</v>
      </c>
      <c r="L41" s="15">
        <f t="shared" si="157"/>
        <v>0.23572308956450289</v>
      </c>
      <c r="M41" s="15">
        <f t="shared" si="157"/>
        <v>0.22659818760957059</v>
      </c>
      <c r="N41" s="15">
        <f t="shared" si="157"/>
        <v>0.20110689093868692</v>
      </c>
      <c r="O41" s="15">
        <f t="shared" si="157"/>
        <v>0.1938093734055735</v>
      </c>
      <c r="P41" s="15">
        <f t="shared" si="157"/>
        <v>0.1666710186176463</v>
      </c>
      <c r="Q41" s="15">
        <f t="shared" si="157"/>
        <v>0.24284755159941956</v>
      </c>
      <c r="R41" s="15">
        <f t="shared" si="157"/>
        <v>0.27507118000632713</v>
      </c>
      <c r="S41" s="15">
        <f t="shared" ref="S41:Z41" si="158">S19/S12</f>
        <v>0.29715804317171057</v>
      </c>
      <c r="T41" s="15">
        <f t="shared" si="158"/>
        <v>0.312879767291532</v>
      </c>
      <c r="U41" s="15">
        <f t="shared" si="158"/>
        <v>0.32296753585798088</v>
      </c>
      <c r="V41" s="15">
        <f t="shared" si="158"/>
        <v>0.29054098904746101</v>
      </c>
      <c r="W41" s="15">
        <f t="shared" si="158"/>
        <v>0.29545220626075192</v>
      </c>
      <c r="X41" s="15">
        <f t="shared" si="158"/>
        <v>0.279156202913109</v>
      </c>
      <c r="Y41" s="15">
        <f t="shared" si="158"/>
        <v>0.24800266311584554</v>
      </c>
      <c r="Z41" s="15">
        <f t="shared" si="158"/>
        <v>0.23879654954765411</v>
      </c>
      <c r="AA41" s="15">
        <f t="shared" ref="AA41:AC41" si="159">AA19/AA12</f>
        <v>0.24954504420594092</v>
      </c>
      <c r="AB41" s="15">
        <f t="shared" si="159"/>
        <v>0.29271888906761029</v>
      </c>
      <c r="AC41" s="15">
        <f t="shared" si="159"/>
        <v>0.27829136948613303</v>
      </c>
      <c r="AD41" s="15">
        <f>AD19/AD12</f>
        <v>0.27455683003128256</v>
      </c>
      <c r="AE41" s="15">
        <f t="shared" ref="AE41:AH41" si="160">AE19/AE12</f>
        <v>0.23509836770702694</v>
      </c>
      <c r="AF41" s="15">
        <f t="shared" si="160"/>
        <v>0.27452856601523928</v>
      </c>
      <c r="AG41" s="15">
        <f t="shared" si="160"/>
        <v>0.25960530253683783</v>
      </c>
      <c r="AH41" s="15">
        <f t="shared" si="160"/>
        <v>0.25524791212098408</v>
      </c>
      <c r="AO41" s="15">
        <f>AO19/AO12</f>
        <v>0.26053854133778359</v>
      </c>
      <c r="AP41" s="15">
        <f t="shared" ref="AP41:BA41" si="161">AP19/AP12</f>
        <v>0.23823445574079624</v>
      </c>
      <c r="AQ41" s="15">
        <f t="shared" si="161"/>
        <v>0.22197371754079218</v>
      </c>
      <c r="AR41" s="15">
        <f t="shared" si="161"/>
        <v>0.22585151785763202</v>
      </c>
      <c r="AS41" s="15">
        <f t="shared" si="161"/>
        <v>0.3055228868524319</v>
      </c>
      <c r="AT41" s="15">
        <f t="shared" si="161"/>
        <v>0.26461270842467011</v>
      </c>
      <c r="AU41" s="15">
        <f t="shared" si="161"/>
        <v>0.27421810445226646</v>
      </c>
      <c r="AV41" s="15">
        <f t="shared" si="161"/>
        <v>0.25644666521680765</v>
      </c>
      <c r="AW41" s="15">
        <f t="shared" si="161"/>
        <v>0.2548147666055029</v>
      </c>
      <c r="AX41" s="15">
        <f t="shared" si="161"/>
        <v>0.26089572336883909</v>
      </c>
      <c r="AY41" s="15">
        <f t="shared" si="161"/>
        <v>0.26818979993030395</v>
      </c>
      <c r="AZ41" s="15">
        <f t="shared" si="161"/>
        <v>0.27457663862660636</v>
      </c>
      <c r="BA41" s="15">
        <f t="shared" si="161"/>
        <v>0.2769570298117412</v>
      </c>
      <c r="BH41" s="20"/>
    </row>
    <row r="42" spans="2:60" x14ac:dyDescent="0.25">
      <c r="B42" s="12" t="s">
        <v>18</v>
      </c>
      <c r="G42" s="15">
        <f t="shared" ref="G42:R42" si="162">G22/G21</f>
        <v>0.10831831546998008</v>
      </c>
      <c r="H42" s="15">
        <f t="shared" si="162"/>
        <v>0.1098427740684902</v>
      </c>
      <c r="I42" s="15">
        <f t="shared" si="162"/>
        <v>8.8366557572151144E-2</v>
      </c>
      <c r="J42" s="15">
        <f t="shared" si="162"/>
        <v>0.11159650516282764</v>
      </c>
      <c r="K42" s="15">
        <f t="shared" si="162"/>
        <v>0.15127501777913238</v>
      </c>
      <c r="L42" s="15">
        <f t="shared" si="162"/>
        <v>0.18111467852144564</v>
      </c>
      <c r="M42" s="15">
        <f t="shared" si="162"/>
        <v>0.1808066759388039</v>
      </c>
      <c r="N42" s="15">
        <f t="shared" si="162"/>
        <v>3.0829596412556052E-3</v>
      </c>
      <c r="O42" s="15">
        <f t="shared" si="162"/>
        <v>0.11873146835116669</v>
      </c>
      <c r="P42" s="15">
        <f t="shared" si="162"/>
        <v>0.15923643832306392</v>
      </c>
      <c r="Q42" s="15">
        <f t="shared" si="162"/>
        <v>0.15809566584325174</v>
      </c>
      <c r="R42" s="15">
        <f t="shared" si="162"/>
        <v>0.18524265610787094</v>
      </c>
      <c r="S42" s="15">
        <f t="shared" ref="S42:Z42" si="163">S22/S21</f>
        <v>0.15754357938260583</v>
      </c>
      <c r="T42" s="15">
        <f t="shared" si="163"/>
        <v>0.15738003183989083</v>
      </c>
      <c r="U42" s="15">
        <f t="shared" si="163"/>
        <v>0.17898022892819979</v>
      </c>
      <c r="V42" s="15">
        <f t="shared" si="163"/>
        <v>0.15408573067781328</v>
      </c>
      <c r="W42" s="15">
        <f t="shared" si="163"/>
        <v>0.13193197422625963</v>
      </c>
      <c r="X42" s="15">
        <f t="shared" si="163"/>
        <v>0.15840959293152415</v>
      </c>
      <c r="Y42" s="15">
        <f t="shared" si="163"/>
        <v>0.14310355448777182</v>
      </c>
      <c r="Z42" s="15">
        <f t="shared" si="163"/>
        <v>0.20545868081880211</v>
      </c>
      <c r="AA42" s="15">
        <f t="shared" ref="AA42:AC42" si="164">AA22/AA21</f>
        <v>0.17324910738808019</v>
      </c>
      <c r="AB42" s="15">
        <f t="shared" si="164"/>
        <v>0.16139341642697347</v>
      </c>
      <c r="AC42" s="15">
        <f t="shared" si="164"/>
        <v>7.1142142756050381E-2</v>
      </c>
      <c r="AD42" s="15">
        <f>AD22/AD21</f>
        <v>0.15258889070948714</v>
      </c>
      <c r="AE42" s="15">
        <f t="shared" ref="AE42:AH42" si="165">AE22/AE21</f>
        <v>0.14965966996811864</v>
      </c>
      <c r="AF42" s="15">
        <f t="shared" si="165"/>
        <v>0.14965966996811864</v>
      </c>
      <c r="AG42" s="15">
        <f t="shared" si="165"/>
        <v>0.14965966996811864</v>
      </c>
      <c r="AH42" s="15">
        <f t="shared" si="165"/>
        <v>0.14965966996811864</v>
      </c>
      <c r="AO42" s="15">
        <f>AO22/AO21</f>
        <v>0.48551572053860803</v>
      </c>
      <c r="AP42" s="15">
        <f t="shared" ref="AP42:AZ42" si="166">AP22/AP21</f>
        <v>0.10446678671468587</v>
      </c>
      <c r="AQ42" s="15">
        <f t="shared" si="166"/>
        <v>0.12782537147282319</v>
      </c>
      <c r="AR42" s="15">
        <f t="shared" si="166"/>
        <v>0.16249324071378063</v>
      </c>
      <c r="AS42" s="15">
        <f t="shared" si="166"/>
        <v>0.16202305640663919</v>
      </c>
      <c r="AT42" s="15">
        <f t="shared" si="166"/>
        <v>0.1592081650964558</v>
      </c>
      <c r="AU42" s="15">
        <f t="shared" si="166"/>
        <v>0.13908559562280529</v>
      </c>
      <c r="AV42" s="15">
        <f t="shared" si="166"/>
        <v>0.14965966996811864</v>
      </c>
      <c r="AW42" s="15">
        <f>AW22/AW21</f>
        <v>0.14251703600453167</v>
      </c>
      <c r="AX42" s="15">
        <f t="shared" si="166"/>
        <v>0.14251703600453167</v>
      </c>
      <c r="AY42" s="15">
        <f t="shared" si="166"/>
        <v>0.14251703600453167</v>
      </c>
      <c r="AZ42" s="15">
        <f t="shared" si="166"/>
        <v>0.14251703600453167</v>
      </c>
      <c r="BA42" s="15">
        <f>BA22/BA21</f>
        <v>0.14251703600453167</v>
      </c>
    </row>
    <row r="45" spans="2:60" x14ac:dyDescent="0.25">
      <c r="B45" s="23" t="s">
        <v>5</v>
      </c>
      <c r="Z45" s="12">
        <f>21879+91883+30492</f>
        <v>144254</v>
      </c>
      <c r="AD45" s="12">
        <f>24048+86868+31008</f>
        <v>141924</v>
      </c>
    </row>
    <row r="46" spans="2:60" x14ac:dyDescent="0.25">
      <c r="B46" s="23" t="s">
        <v>103</v>
      </c>
      <c r="Z46" s="12">
        <v>40258</v>
      </c>
      <c r="AD46" s="12">
        <v>47964</v>
      </c>
    </row>
    <row r="47" spans="2:60" x14ac:dyDescent="0.25">
      <c r="B47" s="23" t="s">
        <v>18</v>
      </c>
      <c r="Z47" s="12">
        <v>0</v>
      </c>
      <c r="AD47" s="12">
        <v>0</v>
      </c>
    </row>
    <row r="48" spans="2:60" x14ac:dyDescent="0.25">
      <c r="B48" s="23" t="s">
        <v>105</v>
      </c>
      <c r="Z48" s="12">
        <v>0</v>
      </c>
      <c r="AD48" s="12">
        <v>0</v>
      </c>
    </row>
    <row r="49" spans="2:30" x14ac:dyDescent="0.25">
      <c r="B49" s="23" t="s">
        <v>104</v>
      </c>
      <c r="Z49" s="12">
        <v>10775</v>
      </c>
      <c r="AD49" s="12">
        <v>12650</v>
      </c>
    </row>
    <row r="50" spans="2:30" x14ac:dyDescent="0.25">
      <c r="B50" s="23" t="s">
        <v>106</v>
      </c>
      <c r="Z50" s="12">
        <v>5261</v>
      </c>
      <c r="AD50" s="12">
        <v>12169</v>
      </c>
    </row>
    <row r="51" spans="2:30" x14ac:dyDescent="0.25">
      <c r="B51" s="23" t="s">
        <v>107</v>
      </c>
      <c r="Z51" s="12">
        <v>112668</v>
      </c>
      <c r="AD51" s="12">
        <v>134345</v>
      </c>
    </row>
    <row r="52" spans="2:30" x14ac:dyDescent="0.25">
      <c r="B52" s="23" t="s">
        <v>108</v>
      </c>
      <c r="Z52" s="12">
        <v>14381</v>
      </c>
      <c r="AD52" s="12">
        <v>14091</v>
      </c>
    </row>
    <row r="53" spans="2:30" x14ac:dyDescent="0.25">
      <c r="B53" s="23" t="s">
        <v>109</v>
      </c>
      <c r="Z53" s="12">
        <v>28960</v>
      </c>
      <c r="AD53" s="12">
        <v>29198</v>
      </c>
    </row>
    <row r="54" spans="2:30" x14ac:dyDescent="0.25">
      <c r="B54" s="23" t="s">
        <v>110</v>
      </c>
      <c r="Z54" s="12">
        <v>8707</v>
      </c>
      <c r="AD54" s="12">
        <v>10051</v>
      </c>
    </row>
    <row r="55" spans="2:30" s="14" customFormat="1" x14ac:dyDescent="0.25">
      <c r="B55" s="14" t="s">
        <v>111</v>
      </c>
      <c r="O55" s="14">
        <f t="shared" ref="O55:AC55" si="167">SUM(O45:O54)</f>
        <v>0</v>
      </c>
      <c r="P55" s="14">
        <f t="shared" si="167"/>
        <v>0</v>
      </c>
      <c r="Q55" s="14">
        <f t="shared" si="167"/>
        <v>0</v>
      </c>
      <c r="R55" s="14">
        <f t="shared" si="167"/>
        <v>0</v>
      </c>
      <c r="S55" s="14">
        <f t="shared" si="167"/>
        <v>0</v>
      </c>
      <c r="T55" s="14">
        <f t="shared" si="167"/>
        <v>0</v>
      </c>
      <c r="U55" s="14">
        <f t="shared" si="167"/>
        <v>0</v>
      </c>
      <c r="V55" s="14">
        <f t="shared" si="167"/>
        <v>0</v>
      </c>
      <c r="W55" s="14">
        <f t="shared" si="167"/>
        <v>0</v>
      </c>
      <c r="X55" s="14">
        <f t="shared" si="167"/>
        <v>0</v>
      </c>
      <c r="Y55" s="14">
        <f t="shared" si="167"/>
        <v>0</v>
      </c>
      <c r="Z55" s="14">
        <f t="shared" si="167"/>
        <v>365264</v>
      </c>
      <c r="AA55" s="14">
        <f t="shared" si="167"/>
        <v>0</v>
      </c>
      <c r="AB55" s="14">
        <f t="shared" si="167"/>
        <v>0</v>
      </c>
      <c r="AC55" s="14">
        <f t="shared" si="167"/>
        <v>0</v>
      </c>
      <c r="AD55" s="14">
        <f>SUM(AD45:AD54)</f>
        <v>402392</v>
      </c>
    </row>
    <row r="56" spans="2:30" x14ac:dyDescent="0.25">
      <c r="B56" s="23" t="s">
        <v>112</v>
      </c>
      <c r="Z56" s="12">
        <v>5128</v>
      </c>
      <c r="AD56" s="12">
        <v>7493</v>
      </c>
    </row>
    <row r="57" spans="2:30" x14ac:dyDescent="0.25">
      <c r="B57" s="23" t="s">
        <v>113</v>
      </c>
      <c r="Z57" s="12">
        <v>14028</v>
      </c>
      <c r="AD57" s="12">
        <v>15140</v>
      </c>
    </row>
    <row r="58" spans="2:30" x14ac:dyDescent="0.25">
      <c r="B58" s="23" t="s">
        <v>114</v>
      </c>
      <c r="Z58" s="12">
        <v>37866</v>
      </c>
      <c r="AD58" s="12">
        <v>46168</v>
      </c>
    </row>
    <row r="59" spans="2:30" x14ac:dyDescent="0.25">
      <c r="B59" s="23" t="s">
        <v>115</v>
      </c>
      <c r="Z59" s="12">
        <v>8370</v>
      </c>
      <c r="AD59" s="12">
        <v>8876</v>
      </c>
    </row>
    <row r="60" spans="2:30" x14ac:dyDescent="0.25">
      <c r="B60" s="23" t="s">
        <v>6</v>
      </c>
      <c r="Z60" s="12">
        <v>14701</v>
      </c>
      <c r="AD60" s="12">
        <v>13253</v>
      </c>
    </row>
    <row r="61" spans="2:30" x14ac:dyDescent="0.25">
      <c r="B61" s="23" t="s">
        <v>116</v>
      </c>
      <c r="Z61" s="12">
        <f>3908+599</f>
        <v>4507</v>
      </c>
      <c r="AD61" s="12">
        <f>4137+911</f>
        <v>5048</v>
      </c>
    </row>
    <row r="62" spans="2:30" x14ac:dyDescent="0.25">
      <c r="B62" s="23" t="s">
        <v>18</v>
      </c>
      <c r="Z62" s="12">
        <f>9258+514</f>
        <v>9772</v>
      </c>
      <c r="AD62" s="12">
        <f>8474+485</f>
        <v>8959</v>
      </c>
    </row>
    <row r="63" spans="2:30" x14ac:dyDescent="0.25">
      <c r="B63" s="23" t="s">
        <v>108</v>
      </c>
      <c r="Z63" s="12">
        <v>12501</v>
      </c>
      <c r="AD63" s="12">
        <v>12460</v>
      </c>
    </row>
    <row r="64" spans="2:30" x14ac:dyDescent="0.25">
      <c r="B64" s="23" t="s">
        <v>117</v>
      </c>
      <c r="Z64" s="12">
        <v>2247</v>
      </c>
      <c r="AD64" s="12">
        <v>1616</v>
      </c>
    </row>
    <row r="65" spans="2:30" s="14" customFormat="1" x14ac:dyDescent="0.25">
      <c r="B65" s="14" t="s">
        <v>118</v>
      </c>
      <c r="S65" s="14">
        <f t="shared" ref="S65:AC65" si="168">SUM(S56:S64)</f>
        <v>0</v>
      </c>
      <c r="T65" s="14">
        <f t="shared" si="168"/>
        <v>0</v>
      </c>
      <c r="U65" s="14">
        <f t="shared" si="168"/>
        <v>0</v>
      </c>
      <c r="V65" s="14">
        <f t="shared" si="168"/>
        <v>0</v>
      </c>
      <c r="W65" s="14">
        <f t="shared" si="168"/>
        <v>0</v>
      </c>
      <c r="X65" s="14">
        <f t="shared" si="168"/>
        <v>0</v>
      </c>
      <c r="Y65" s="14">
        <f t="shared" si="168"/>
        <v>0</v>
      </c>
      <c r="Z65" s="14">
        <f t="shared" si="168"/>
        <v>109120</v>
      </c>
      <c r="AA65" s="14">
        <f t="shared" si="168"/>
        <v>0</v>
      </c>
      <c r="AB65" s="14">
        <f t="shared" si="168"/>
        <v>0</v>
      </c>
      <c r="AC65" s="14">
        <f t="shared" si="168"/>
        <v>0</v>
      </c>
      <c r="AD65" s="14">
        <f>SUM(AD56:AD64)</f>
        <v>119013</v>
      </c>
    </row>
    <row r="66" spans="2:30" s="23" customFormat="1" x14ac:dyDescent="0.25">
      <c r="B66" s="23" t="s">
        <v>119</v>
      </c>
      <c r="Z66" s="23">
        <v>256144</v>
      </c>
      <c r="AD66" s="23">
        <v>283379</v>
      </c>
    </row>
    <row r="67" spans="2:30" s="14" customFormat="1" x14ac:dyDescent="0.25">
      <c r="B67" s="14" t="s">
        <v>120</v>
      </c>
      <c r="S67" s="14">
        <f t="shared" ref="S67:AC67" si="169">+S65+S66</f>
        <v>0</v>
      </c>
      <c r="T67" s="14">
        <f t="shared" si="169"/>
        <v>0</v>
      </c>
      <c r="U67" s="14">
        <f t="shared" si="169"/>
        <v>0</v>
      </c>
      <c r="V67" s="14">
        <f t="shared" si="169"/>
        <v>0</v>
      </c>
      <c r="W67" s="14">
        <f t="shared" si="169"/>
        <v>0</v>
      </c>
      <c r="X67" s="14">
        <f t="shared" si="169"/>
        <v>0</v>
      </c>
      <c r="Y67" s="14">
        <f t="shared" si="169"/>
        <v>0</v>
      </c>
      <c r="Z67" s="14">
        <f t="shared" si="169"/>
        <v>365264</v>
      </c>
      <c r="AA67" s="14">
        <f t="shared" si="169"/>
        <v>0</v>
      </c>
      <c r="AB67" s="14">
        <f t="shared" si="169"/>
        <v>0</v>
      </c>
      <c r="AC67" s="14">
        <f t="shared" si="169"/>
        <v>0</v>
      </c>
      <c r="AD67" s="14">
        <f>+AD65+AD66</f>
        <v>402392</v>
      </c>
    </row>
    <row r="68" spans="2:30" x14ac:dyDescent="0.25">
      <c r="B68" s="23"/>
    </row>
    <row r="69" spans="2:30" x14ac:dyDescent="0.25">
      <c r="B69" s="23" t="s">
        <v>86</v>
      </c>
      <c r="C69" s="12">
        <v>9548</v>
      </c>
      <c r="D69" s="12">
        <v>7403</v>
      </c>
      <c r="E69" s="12">
        <v>9872</v>
      </c>
      <c r="F69" s="12">
        <v>10268</v>
      </c>
      <c r="G69" s="12">
        <v>11642</v>
      </c>
      <c r="H69" s="12">
        <v>10132</v>
      </c>
      <c r="I69" s="12">
        <v>13210</v>
      </c>
      <c r="J69" s="12">
        <v>12987</v>
      </c>
      <c r="K69" s="12">
        <v>12000</v>
      </c>
      <c r="L69" s="12">
        <v>12627</v>
      </c>
      <c r="M69" s="12">
        <v>15466</v>
      </c>
      <c r="N69" s="12">
        <v>14427</v>
      </c>
      <c r="O69" s="12">
        <v>11451</v>
      </c>
      <c r="P69" s="12">
        <v>13993</v>
      </c>
      <c r="Q69" s="12">
        <v>17003</v>
      </c>
      <c r="R69" s="12">
        <v>22677</v>
      </c>
      <c r="S69" s="12">
        <v>19289</v>
      </c>
      <c r="T69" s="12">
        <v>21890</v>
      </c>
      <c r="U69" s="12">
        <v>25539</v>
      </c>
      <c r="V69" s="12">
        <v>24934</v>
      </c>
      <c r="W69" s="12">
        <v>25106</v>
      </c>
      <c r="X69" s="12">
        <v>19422</v>
      </c>
      <c r="Y69" s="12">
        <v>23353</v>
      </c>
      <c r="Z69" s="12">
        <v>23614</v>
      </c>
      <c r="AA69" s="12">
        <v>23509</v>
      </c>
      <c r="AB69" s="12">
        <v>28666</v>
      </c>
      <c r="AC69" s="12">
        <v>30656</v>
      </c>
      <c r="AD69" s="12">
        <v>18915</v>
      </c>
    </row>
    <row r="70" spans="2:30" x14ac:dyDescent="0.25">
      <c r="B70" s="23" t="s">
        <v>87</v>
      </c>
      <c r="C70" s="12">
        <v>2508</v>
      </c>
      <c r="D70" s="12">
        <v>2831</v>
      </c>
      <c r="E70" s="12">
        <v>3538</v>
      </c>
      <c r="F70" s="12">
        <v>4307</v>
      </c>
      <c r="G70" s="12">
        <v>7299</v>
      </c>
      <c r="H70" s="12">
        <v>5477</v>
      </c>
      <c r="I70" s="12">
        <v>5282</v>
      </c>
      <c r="J70" s="12">
        <v>7081</v>
      </c>
      <c r="K70" s="12">
        <v>4638</v>
      </c>
      <c r="L70" s="12">
        <v>6126</v>
      </c>
      <c r="M70" s="12">
        <v>6732</v>
      </c>
      <c r="N70" s="12">
        <v>6052</v>
      </c>
      <c r="O70" s="12">
        <v>6005</v>
      </c>
      <c r="P70" s="12">
        <v>5391</v>
      </c>
      <c r="Q70" s="12">
        <v>5406</v>
      </c>
      <c r="R70" s="12">
        <v>5479</v>
      </c>
      <c r="S70" s="12">
        <v>5942</v>
      </c>
      <c r="T70" s="12">
        <v>5496</v>
      </c>
      <c r="U70" s="12">
        <v>6819</v>
      </c>
      <c r="V70" s="12">
        <v>6383</v>
      </c>
      <c r="W70" s="12">
        <v>9786</v>
      </c>
      <c r="X70" s="12">
        <v>6828</v>
      </c>
      <c r="Y70" s="12">
        <v>7276</v>
      </c>
      <c r="Z70" s="12">
        <v>7595</v>
      </c>
      <c r="AA70" s="12">
        <v>6289</v>
      </c>
      <c r="AB70" s="12">
        <v>6888</v>
      </c>
      <c r="AC70" s="12">
        <v>8055</v>
      </c>
      <c r="AD70" s="12">
        <v>11019</v>
      </c>
    </row>
    <row r="71" spans="2:30" s="14" customFormat="1" x14ac:dyDescent="0.25">
      <c r="B71" s="14" t="s">
        <v>88</v>
      </c>
      <c r="C71" s="14">
        <f t="shared" ref="C71:AC71" si="170">C69-C70</f>
        <v>7040</v>
      </c>
      <c r="D71" s="14">
        <f t="shared" si="170"/>
        <v>4572</v>
      </c>
      <c r="E71" s="14">
        <f t="shared" si="170"/>
        <v>6334</v>
      </c>
      <c r="F71" s="14">
        <f t="shared" si="170"/>
        <v>5961</v>
      </c>
      <c r="G71" s="14">
        <f t="shared" si="170"/>
        <v>4343</v>
      </c>
      <c r="H71" s="14">
        <f t="shared" si="170"/>
        <v>4655</v>
      </c>
      <c r="I71" s="14">
        <f t="shared" si="170"/>
        <v>7928</v>
      </c>
      <c r="J71" s="14">
        <f t="shared" si="170"/>
        <v>5906</v>
      </c>
      <c r="K71" s="14">
        <f t="shared" si="170"/>
        <v>7362</v>
      </c>
      <c r="L71" s="14">
        <f t="shared" si="170"/>
        <v>6501</v>
      </c>
      <c r="M71" s="14">
        <f t="shared" si="170"/>
        <v>8734</v>
      </c>
      <c r="N71" s="14">
        <f t="shared" si="170"/>
        <v>8375</v>
      </c>
      <c r="O71" s="14">
        <f t="shared" si="170"/>
        <v>5446</v>
      </c>
      <c r="P71" s="14">
        <f t="shared" si="170"/>
        <v>8602</v>
      </c>
      <c r="Q71" s="14">
        <f t="shared" si="170"/>
        <v>11597</v>
      </c>
      <c r="R71" s="14">
        <f t="shared" si="170"/>
        <v>17198</v>
      </c>
      <c r="S71" s="14">
        <f t="shared" si="170"/>
        <v>13347</v>
      </c>
      <c r="T71" s="14">
        <f t="shared" si="170"/>
        <v>16394</v>
      </c>
      <c r="U71" s="14">
        <f t="shared" si="170"/>
        <v>18720</v>
      </c>
      <c r="V71" s="14">
        <f t="shared" si="170"/>
        <v>18551</v>
      </c>
      <c r="W71" s="14">
        <f t="shared" si="170"/>
        <v>15320</v>
      </c>
      <c r="X71" s="14">
        <f t="shared" si="170"/>
        <v>12594</v>
      </c>
      <c r="Y71" s="14">
        <f t="shared" si="170"/>
        <v>16077</v>
      </c>
      <c r="Z71" s="14">
        <f t="shared" si="170"/>
        <v>16019</v>
      </c>
      <c r="AA71" s="14">
        <f t="shared" si="170"/>
        <v>17220</v>
      </c>
      <c r="AB71" s="14">
        <f t="shared" si="170"/>
        <v>21778</v>
      </c>
      <c r="AC71" s="14">
        <f t="shared" si="170"/>
        <v>22601</v>
      </c>
      <c r="AD71" s="14">
        <f>AD69-AD70</f>
        <v>7896</v>
      </c>
    </row>
  </sheetData>
  <conditionalFormatting sqref="BH40">
    <cfRule type="cellIs" dxfId="1" priority="1" operator="lessThan">
      <formula>0</formula>
    </cfRule>
    <cfRule type="cellIs" dxfId="0" priority="2" operator="greaterThan">
      <formula>0</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AD512-2174-4C84-8AA1-117F29341BE4}">
  <dimension ref="B3:D18"/>
  <sheetViews>
    <sheetView workbookViewId="0">
      <selection activeCell="C18" sqref="C18"/>
    </sheetView>
  </sheetViews>
  <sheetFormatPr defaultRowHeight="14.4" x14ac:dyDescent="0.3"/>
  <cols>
    <col min="2" max="2" width="16" bestFit="1" customWidth="1"/>
    <col min="3" max="3" width="9.88671875" bestFit="1" customWidth="1"/>
    <col min="4" max="4" width="13.5546875" bestFit="1" customWidth="1"/>
  </cols>
  <sheetData>
    <row r="3" spans="2:4" x14ac:dyDescent="0.3">
      <c r="B3" s="17" t="s">
        <v>6</v>
      </c>
      <c r="C3" s="12">
        <f>Main!D8</f>
        <v>13253</v>
      </c>
      <c r="D3" s="17"/>
    </row>
    <row r="4" spans="2:4" x14ac:dyDescent="0.3">
      <c r="B4" s="17" t="s">
        <v>69</v>
      </c>
      <c r="C4" s="12">
        <f>Main!D6</f>
        <v>1902019.86</v>
      </c>
      <c r="D4" s="17"/>
    </row>
    <row r="5" spans="2:4" x14ac:dyDescent="0.3">
      <c r="B5" s="17" t="s">
        <v>70</v>
      </c>
      <c r="C5" s="12">
        <f>+C3+C4</f>
        <v>1915272.86</v>
      </c>
      <c r="D5" s="17"/>
    </row>
    <row r="6" spans="2:4" x14ac:dyDescent="0.3">
      <c r="B6" s="18" t="s">
        <v>71</v>
      </c>
      <c r="C6" s="19">
        <f>C3/C5</f>
        <v>6.9196406824247481E-3</v>
      </c>
      <c r="D6" s="17"/>
    </row>
    <row r="7" spans="2:4" x14ac:dyDescent="0.3">
      <c r="B7" s="18" t="s">
        <v>72</v>
      </c>
      <c r="C7" s="19">
        <f>C4/C5</f>
        <v>0.99308035931757521</v>
      </c>
      <c r="D7" s="17"/>
    </row>
    <row r="8" spans="2:4" x14ac:dyDescent="0.3">
      <c r="B8" s="17"/>
      <c r="C8" s="17"/>
      <c r="D8" s="17"/>
    </row>
    <row r="9" spans="2:4" x14ac:dyDescent="0.3">
      <c r="B9" s="17" t="s">
        <v>73</v>
      </c>
      <c r="C9" s="15">
        <f>AVERAGE(DCF!AO42:AU42)</f>
        <v>0.19151684808082828</v>
      </c>
      <c r="D9" s="17" t="s">
        <v>74</v>
      </c>
    </row>
    <row r="10" spans="2:4" x14ac:dyDescent="0.3">
      <c r="B10" s="17" t="s">
        <v>75</v>
      </c>
      <c r="C10" s="12">
        <v>308</v>
      </c>
      <c r="D10" s="17" t="s">
        <v>85</v>
      </c>
    </row>
    <row r="11" spans="2:4" x14ac:dyDescent="0.3">
      <c r="B11" s="18" t="s">
        <v>76</v>
      </c>
      <c r="C11" s="19">
        <f>(C10*(1-C9))/C3</f>
        <v>1.8789165531661125E-2</v>
      </c>
      <c r="D11" s="17"/>
    </row>
    <row r="12" spans="2:4" x14ac:dyDescent="0.3">
      <c r="B12" s="17"/>
      <c r="C12" s="17"/>
      <c r="D12" s="17"/>
    </row>
    <row r="13" spans="2:4" x14ac:dyDescent="0.3">
      <c r="B13" s="17" t="s">
        <v>77</v>
      </c>
      <c r="C13" s="20">
        <f>'[1]T-Bond Yields'!$C$12</f>
        <v>4.3299999999999998E-2</v>
      </c>
      <c r="D13" s="17" t="s">
        <v>78</v>
      </c>
    </row>
    <row r="14" spans="2:4" x14ac:dyDescent="0.3">
      <c r="B14" s="17" t="s">
        <v>79</v>
      </c>
      <c r="C14" s="17">
        <v>1.04</v>
      </c>
      <c r="D14" s="17" t="s">
        <v>84</v>
      </c>
    </row>
    <row r="15" spans="2:4" x14ac:dyDescent="0.3">
      <c r="B15" s="17" t="s">
        <v>80</v>
      </c>
      <c r="C15" s="15">
        <v>0.08</v>
      </c>
      <c r="D15" s="17" t="s">
        <v>81</v>
      </c>
    </row>
    <row r="16" spans="2:4" x14ac:dyDescent="0.3">
      <c r="B16" s="18" t="s">
        <v>82</v>
      </c>
      <c r="C16" s="19">
        <f>(C13+C14*(C15-C13))</f>
        <v>8.1468000000000013E-2</v>
      </c>
      <c r="D16" s="17"/>
    </row>
    <row r="17" spans="2:4" x14ac:dyDescent="0.3">
      <c r="B17" s="17"/>
      <c r="C17" s="17"/>
      <c r="D17" s="17"/>
    </row>
    <row r="18" spans="2:4" x14ac:dyDescent="0.3">
      <c r="B18" s="21" t="s">
        <v>83</v>
      </c>
      <c r="C18" s="22">
        <f>(C7*C16)+((C6*C11)*(1-C9))</f>
        <v>8.100938506308529E-2</v>
      </c>
      <c r="D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2024-03-13T03:58:55Z</dcterms:created>
  <dcterms:modified xsi:type="dcterms:W3CDTF">2024-03-30T21:49:36Z</dcterms:modified>
</cp:coreProperties>
</file>