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F75DFBC8-C197-4DA6-9DE9-7A21B51344D3}" xr6:coauthVersionLast="47" xr6:coauthVersionMax="47" xr10:uidLastSave="{00000000-0000-0000-0000-000000000000}"/>
  <bookViews>
    <workbookView xWindow="-28920" yWindow="-120" windowWidth="29040" windowHeight="15720" activeTab="1" xr2:uid="{7EC169C9-317E-43F0-A9FE-A2A5C4455016}"/>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W5" i="2" l="1"/>
  <c r="AX5" i="2" s="1"/>
  <c r="AV5" i="2"/>
  <c r="AV4" i="2"/>
  <c r="AW4" i="2" s="1"/>
  <c r="AX4" i="2" s="1"/>
  <c r="AW3" i="2"/>
  <c r="AX3" i="2" s="1"/>
  <c r="C13" i="3"/>
  <c r="C10" i="3"/>
  <c r="C9" i="3"/>
  <c r="C8" i="1"/>
  <c r="C7" i="1"/>
  <c r="AU68" i="2"/>
  <c r="AT68" i="2"/>
  <c r="AS68" i="2"/>
  <c r="AR68" i="2"/>
  <c r="AQ68" i="2"/>
  <c r="AP68" i="2"/>
  <c r="AO68" i="2"/>
  <c r="AN68" i="2"/>
  <c r="AH68" i="2"/>
  <c r="AG68" i="2"/>
  <c r="AA68" i="2"/>
  <c r="AH51" i="2"/>
  <c r="AU51" i="2"/>
  <c r="AG51" i="2"/>
  <c r="AH53" i="2"/>
  <c r="AU53" i="2" s="1"/>
  <c r="AH64" i="2"/>
  <c r="AG53" i="2"/>
  <c r="AU48" i="2"/>
  <c r="AH45" i="2"/>
  <c r="AH44" i="2"/>
  <c r="AG45" i="2"/>
  <c r="AG46" i="2" s="1"/>
  <c r="AG61" i="2" s="1"/>
  <c r="AG44" i="2"/>
  <c r="AH42" i="2"/>
  <c r="AH60" i="2" s="1"/>
  <c r="AG42" i="2"/>
  <c r="AG60" i="2" s="1"/>
  <c r="AH36" i="2"/>
  <c r="AH35" i="2"/>
  <c r="AH38" i="2" s="1"/>
  <c r="AH31" i="2"/>
  <c r="AH33" i="2" s="1"/>
  <c r="AH26" i="2"/>
  <c r="AH27" i="2" s="1"/>
  <c r="AH29" i="2" s="1"/>
  <c r="AH25" i="2"/>
  <c r="AH24" i="2"/>
  <c r="AH19" i="2"/>
  <c r="AU19" i="2" s="1"/>
  <c r="AH18" i="2"/>
  <c r="AU18" i="2" s="1"/>
  <c r="AH17" i="2"/>
  <c r="AU17" i="2" s="1"/>
  <c r="AH12" i="2"/>
  <c r="AH11" i="2"/>
  <c r="AU11" i="2" s="1"/>
  <c r="AH10" i="2"/>
  <c r="AU10" i="2" s="1"/>
  <c r="AH5" i="2"/>
  <c r="AU5" i="2" s="1"/>
  <c r="AH4" i="2"/>
  <c r="AH6" i="2" s="1"/>
  <c r="AH8" i="2" s="1"/>
  <c r="AH3" i="2"/>
  <c r="AG36" i="2"/>
  <c r="AG35" i="2"/>
  <c r="AG38" i="2" s="1"/>
  <c r="AG31" i="2"/>
  <c r="AG26" i="2"/>
  <c r="AG25" i="2"/>
  <c r="AU25" i="2" s="1"/>
  <c r="AG24" i="2"/>
  <c r="AG27" i="2" s="1"/>
  <c r="AG19" i="2"/>
  <c r="AG18" i="2"/>
  <c r="AG17" i="2"/>
  <c r="AG12" i="2"/>
  <c r="AG13" i="2" s="1"/>
  <c r="AG11" i="2"/>
  <c r="AG10" i="2"/>
  <c r="AG5" i="2"/>
  <c r="AG4" i="2"/>
  <c r="AG3" i="2"/>
  <c r="AH20" i="2"/>
  <c r="AH22" i="2" s="1"/>
  <c r="AG20" i="2"/>
  <c r="AG6" i="2"/>
  <c r="AU45" i="2"/>
  <c r="AT54" i="2"/>
  <c r="AT53" i="2"/>
  <c r="AT52" i="2"/>
  <c r="AT51" i="2"/>
  <c r="AT50" i="2"/>
  <c r="AT49" i="2"/>
  <c r="AT48" i="2"/>
  <c r="AT47" i="2"/>
  <c r="AT46" i="2"/>
  <c r="AT45" i="2"/>
  <c r="AT44" i="2"/>
  <c r="AT43" i="2"/>
  <c r="AT42" i="2"/>
  <c r="AT41" i="2"/>
  <c r="AT36" i="2"/>
  <c r="AT35" i="2"/>
  <c r="AT31" i="2"/>
  <c r="AT26" i="2"/>
  <c r="AT25" i="2"/>
  <c r="AT24" i="2"/>
  <c r="AT19" i="2"/>
  <c r="AT18" i="2"/>
  <c r="AT17" i="2"/>
  <c r="AT12" i="2"/>
  <c r="AT11" i="2"/>
  <c r="AT10" i="2"/>
  <c r="AT5" i="2"/>
  <c r="AT4" i="2"/>
  <c r="AT3" i="2"/>
  <c r="AG64" i="2"/>
  <c r="AH39" i="2"/>
  <c r="AG22" i="2"/>
  <c r="AF64" i="2"/>
  <c r="AE64" i="2"/>
  <c r="AF60" i="2"/>
  <c r="AE60" i="2"/>
  <c r="AF46" i="2"/>
  <c r="AF61" i="2" s="1"/>
  <c r="AE46" i="2"/>
  <c r="AE61" i="2" s="1"/>
  <c r="AF39" i="2"/>
  <c r="AE39" i="2"/>
  <c r="AF38" i="2"/>
  <c r="AE38" i="2"/>
  <c r="AF33" i="2"/>
  <c r="AE33" i="2"/>
  <c r="AF27" i="2"/>
  <c r="AF29" i="2" s="1"/>
  <c r="AE27" i="2"/>
  <c r="AE29" i="2" s="1"/>
  <c r="AF20" i="2"/>
  <c r="AF22" i="2" s="1"/>
  <c r="AE20" i="2"/>
  <c r="AE22" i="2" s="1"/>
  <c r="AF13" i="2"/>
  <c r="AF15" i="2" s="1"/>
  <c r="AE13" i="2"/>
  <c r="AE15" i="2" s="1"/>
  <c r="AF6" i="2"/>
  <c r="AF8" i="2" s="1"/>
  <c r="AE6" i="2"/>
  <c r="AU49" i="2" l="1"/>
  <c r="AH46" i="2"/>
  <c r="AH61" i="2" s="1"/>
  <c r="AU44" i="2"/>
  <c r="AU42" i="2"/>
  <c r="AU36" i="2"/>
  <c r="AU31" i="2"/>
  <c r="AV31" i="2" s="1"/>
  <c r="AU26" i="2"/>
  <c r="AH13" i="2"/>
  <c r="AH15" i="2" s="1"/>
  <c r="AU4" i="2"/>
  <c r="AU3" i="2"/>
  <c r="AV3" i="2" s="1"/>
  <c r="AU35" i="2"/>
  <c r="AU12" i="2"/>
  <c r="AG39" i="2"/>
  <c r="AG33" i="2"/>
  <c r="AG29" i="2"/>
  <c r="AU24" i="2"/>
  <c r="AG15" i="2"/>
  <c r="AG8" i="2"/>
  <c r="AG41" i="2"/>
  <c r="AE41" i="2"/>
  <c r="AE43" i="2" s="1"/>
  <c r="AE66" i="2" s="1"/>
  <c r="AE8" i="2"/>
  <c r="AF41" i="2"/>
  <c r="AB60" i="2"/>
  <c r="AD38" i="2"/>
  <c r="AD27" i="2"/>
  <c r="AD29" i="2" s="1"/>
  <c r="AV18" i="2"/>
  <c r="AW18" i="2" s="1"/>
  <c r="AX18" i="2" s="1"/>
  <c r="AD20" i="2"/>
  <c r="AD22" i="2" s="1"/>
  <c r="AV12" i="2"/>
  <c r="AW12" i="2" s="1"/>
  <c r="AX12" i="2" s="1"/>
  <c r="AV11" i="2"/>
  <c r="AW11" i="2" s="1"/>
  <c r="AX11" i="2" s="1"/>
  <c r="AD6" i="2"/>
  <c r="AC60" i="2"/>
  <c r="AB64" i="2"/>
  <c r="AC64" i="2"/>
  <c r="AC46" i="2"/>
  <c r="AC61" i="2" s="1"/>
  <c r="AD60" i="2"/>
  <c r="AB39" i="2"/>
  <c r="AC27" i="2"/>
  <c r="AC29" i="2" s="1"/>
  <c r="AV19" i="2"/>
  <c r="AW19" i="2" s="1"/>
  <c r="AX19" i="2" s="1"/>
  <c r="AC20" i="2"/>
  <c r="AB13" i="2"/>
  <c r="AD39" i="2"/>
  <c r="AC39" i="2"/>
  <c r="AC38" i="2"/>
  <c r="AB38" i="2"/>
  <c r="AA38" i="2"/>
  <c r="AA39" i="2"/>
  <c r="AD33" i="2"/>
  <c r="AC33" i="2"/>
  <c r="AB33" i="2"/>
  <c r="AA27" i="2"/>
  <c r="AA20" i="2"/>
  <c r="AA22" i="2" s="1"/>
  <c r="AB27" i="2"/>
  <c r="AC13" i="2"/>
  <c r="AA13" i="2"/>
  <c r="AB6" i="2"/>
  <c r="AT39" i="2"/>
  <c r="AV25" i="2"/>
  <c r="AW25" i="2" s="1"/>
  <c r="AX25" i="2" s="1"/>
  <c r="AA64" i="2"/>
  <c r="AA60" i="2"/>
  <c r="AA46" i="2"/>
  <c r="AA33" i="2"/>
  <c r="AA6" i="2"/>
  <c r="AA41" i="2" s="1"/>
  <c r="Z39" i="2"/>
  <c r="Y39" i="2"/>
  <c r="X39" i="2"/>
  <c r="W39" i="2"/>
  <c r="V39" i="2"/>
  <c r="U39" i="2"/>
  <c r="T39" i="2"/>
  <c r="S39" i="2"/>
  <c r="R39" i="2"/>
  <c r="Q39" i="2"/>
  <c r="P39" i="2"/>
  <c r="O39" i="2"/>
  <c r="N39" i="2"/>
  <c r="M39" i="2"/>
  <c r="L39" i="2"/>
  <c r="K39" i="2"/>
  <c r="J39" i="2"/>
  <c r="I39" i="2"/>
  <c r="H39" i="2"/>
  <c r="Z38" i="2"/>
  <c r="Y38" i="2"/>
  <c r="X38" i="2"/>
  <c r="W38" i="2"/>
  <c r="V38" i="2"/>
  <c r="U38" i="2"/>
  <c r="T38" i="2"/>
  <c r="S38" i="2"/>
  <c r="R38" i="2"/>
  <c r="Q38" i="2"/>
  <c r="P38" i="2"/>
  <c r="O38" i="2"/>
  <c r="N38" i="2"/>
  <c r="M38" i="2"/>
  <c r="L38" i="2"/>
  <c r="K38" i="2"/>
  <c r="J38" i="2"/>
  <c r="I38" i="2"/>
  <c r="H38" i="2"/>
  <c r="G39" i="2"/>
  <c r="G38" i="2"/>
  <c r="Z33" i="2"/>
  <c r="Y33" i="2"/>
  <c r="X33" i="2"/>
  <c r="W33" i="2"/>
  <c r="V33" i="2"/>
  <c r="U33" i="2"/>
  <c r="T33" i="2"/>
  <c r="S33" i="2"/>
  <c r="R33" i="2"/>
  <c r="Q33" i="2"/>
  <c r="P33" i="2"/>
  <c r="O33" i="2"/>
  <c r="N33" i="2"/>
  <c r="M33" i="2"/>
  <c r="L33" i="2"/>
  <c r="K33" i="2"/>
  <c r="J33" i="2"/>
  <c r="I33" i="2"/>
  <c r="H33" i="2"/>
  <c r="G33" i="2"/>
  <c r="AS36" i="2"/>
  <c r="AS35" i="2"/>
  <c r="AS31" i="2"/>
  <c r="AS26" i="2"/>
  <c r="AS25" i="2"/>
  <c r="AS24" i="2"/>
  <c r="AS19" i="2"/>
  <c r="AS18" i="2"/>
  <c r="AS17" i="2"/>
  <c r="AS12" i="2"/>
  <c r="AS11" i="2"/>
  <c r="AS10" i="2"/>
  <c r="AS5" i="2"/>
  <c r="AS4" i="2"/>
  <c r="AS3" i="2"/>
  <c r="AR36" i="2"/>
  <c r="AR35" i="2"/>
  <c r="AR31" i="2"/>
  <c r="AR26" i="2"/>
  <c r="AR25" i="2"/>
  <c r="AR24" i="2"/>
  <c r="AR19" i="2"/>
  <c r="AR18" i="2"/>
  <c r="AR17" i="2"/>
  <c r="AR12" i="2"/>
  <c r="AR11" i="2"/>
  <c r="AR10" i="2"/>
  <c r="AR5" i="2"/>
  <c r="AR4" i="2"/>
  <c r="AR3" i="2"/>
  <c r="AQ36" i="2"/>
  <c r="AQ35" i="2"/>
  <c r="AQ31" i="2"/>
  <c r="AQ26" i="2"/>
  <c r="AQ25" i="2"/>
  <c r="AQ24" i="2"/>
  <c r="AQ19" i="2"/>
  <c r="AQ18" i="2"/>
  <c r="AQ17" i="2"/>
  <c r="AQ12" i="2"/>
  <c r="AQ11" i="2"/>
  <c r="AQ10" i="2"/>
  <c r="AQ5" i="2"/>
  <c r="AQ4" i="2"/>
  <c r="AQ3" i="2"/>
  <c r="AP36" i="2"/>
  <c r="AP35" i="2"/>
  <c r="AP31" i="2"/>
  <c r="AP26" i="2"/>
  <c r="AP25" i="2"/>
  <c r="AP24" i="2"/>
  <c r="AP19" i="2"/>
  <c r="AP18" i="2"/>
  <c r="AP17" i="2"/>
  <c r="AP12" i="2"/>
  <c r="AP11" i="2"/>
  <c r="AP10" i="2"/>
  <c r="AP5" i="2"/>
  <c r="AP4" i="2"/>
  <c r="AP3" i="2"/>
  <c r="AO36" i="2"/>
  <c r="AO35" i="2"/>
  <c r="AO31" i="2"/>
  <c r="AO26" i="2"/>
  <c r="AO25" i="2"/>
  <c r="AO24" i="2"/>
  <c r="AO19" i="2"/>
  <c r="AO18" i="2"/>
  <c r="AO17" i="2"/>
  <c r="AO12" i="2"/>
  <c r="AO11" i="2"/>
  <c r="AO10" i="2"/>
  <c r="AO5" i="2"/>
  <c r="AO4" i="2"/>
  <c r="AO3" i="2"/>
  <c r="AN36" i="2"/>
  <c r="AN35" i="2"/>
  <c r="AN31" i="2"/>
  <c r="AN26" i="2"/>
  <c r="AN25" i="2"/>
  <c r="AN24" i="2"/>
  <c r="AN19" i="2"/>
  <c r="AN18" i="2"/>
  <c r="AN17" i="2"/>
  <c r="AN12" i="2"/>
  <c r="AN11" i="2"/>
  <c r="AN10" i="2"/>
  <c r="AN5" i="2"/>
  <c r="AN4" i="2"/>
  <c r="AN3" i="2"/>
  <c r="Y27" i="2"/>
  <c r="X27" i="2"/>
  <c r="W27" i="2"/>
  <c r="V27" i="2"/>
  <c r="U27" i="2"/>
  <c r="T27" i="2"/>
  <c r="S27" i="2"/>
  <c r="R27" i="2"/>
  <c r="Q27" i="2"/>
  <c r="P27" i="2"/>
  <c r="O27" i="2"/>
  <c r="N27" i="2"/>
  <c r="M27" i="2"/>
  <c r="L27" i="2"/>
  <c r="K27" i="2"/>
  <c r="J27" i="2"/>
  <c r="I27" i="2"/>
  <c r="H27" i="2"/>
  <c r="G27" i="2"/>
  <c r="F27" i="2"/>
  <c r="E27" i="2"/>
  <c r="D27" i="2"/>
  <c r="C27" i="2"/>
  <c r="Y20" i="2"/>
  <c r="X20" i="2"/>
  <c r="W20" i="2"/>
  <c r="V20" i="2"/>
  <c r="U20" i="2"/>
  <c r="T20" i="2"/>
  <c r="S20" i="2"/>
  <c r="R20" i="2"/>
  <c r="Q20" i="2"/>
  <c r="P20" i="2"/>
  <c r="O20" i="2"/>
  <c r="N20" i="2"/>
  <c r="M20" i="2"/>
  <c r="L20" i="2"/>
  <c r="K20" i="2"/>
  <c r="J20" i="2"/>
  <c r="I20" i="2"/>
  <c r="H20" i="2"/>
  <c r="G20" i="2"/>
  <c r="F20" i="2"/>
  <c r="E20" i="2"/>
  <c r="D20" i="2"/>
  <c r="C20" i="2"/>
  <c r="Y13" i="2"/>
  <c r="X13" i="2"/>
  <c r="W13" i="2"/>
  <c r="V13" i="2"/>
  <c r="U13" i="2"/>
  <c r="T13" i="2"/>
  <c r="S13" i="2"/>
  <c r="R13" i="2"/>
  <c r="Q13" i="2"/>
  <c r="P13" i="2"/>
  <c r="O13" i="2"/>
  <c r="N13" i="2"/>
  <c r="M13" i="2"/>
  <c r="L13" i="2"/>
  <c r="K13" i="2"/>
  <c r="J13" i="2"/>
  <c r="I13" i="2"/>
  <c r="H13" i="2"/>
  <c r="G13" i="2"/>
  <c r="F13" i="2"/>
  <c r="E13" i="2"/>
  <c r="D13" i="2"/>
  <c r="C13" i="2"/>
  <c r="Y6" i="2"/>
  <c r="X6" i="2"/>
  <c r="W6" i="2"/>
  <c r="V6" i="2"/>
  <c r="U6" i="2"/>
  <c r="T6" i="2"/>
  <c r="S6" i="2"/>
  <c r="R6" i="2"/>
  <c r="Q6" i="2"/>
  <c r="P6" i="2"/>
  <c r="O6" i="2"/>
  <c r="N6" i="2"/>
  <c r="M6" i="2"/>
  <c r="L6" i="2"/>
  <c r="K6" i="2"/>
  <c r="J6" i="2"/>
  <c r="I6" i="2"/>
  <c r="H6" i="2"/>
  <c r="G6" i="2"/>
  <c r="F6" i="2"/>
  <c r="E6" i="2"/>
  <c r="D6" i="2"/>
  <c r="C6" i="2"/>
  <c r="Z27" i="2"/>
  <c r="Z20" i="2"/>
  <c r="Z13" i="2"/>
  <c r="Z6" i="2"/>
  <c r="AS49" i="2"/>
  <c r="AR49" i="2"/>
  <c r="AQ49" i="2"/>
  <c r="AP49" i="2"/>
  <c r="AO49" i="2"/>
  <c r="AN49" i="2"/>
  <c r="Y48" i="2"/>
  <c r="X48" i="2"/>
  <c r="W48" i="2"/>
  <c r="U48" i="2"/>
  <c r="T48" i="2"/>
  <c r="S48" i="2"/>
  <c r="R48" i="2"/>
  <c r="Q48" i="2"/>
  <c r="P48" i="2"/>
  <c r="O48" i="2"/>
  <c r="N48" i="2"/>
  <c r="M48" i="2"/>
  <c r="L48" i="2"/>
  <c r="K48" i="2"/>
  <c r="J48" i="2"/>
  <c r="I48" i="2"/>
  <c r="H48" i="2"/>
  <c r="G48" i="2"/>
  <c r="F48" i="2"/>
  <c r="E48" i="2"/>
  <c r="D48" i="2"/>
  <c r="C48" i="2"/>
  <c r="AN42" i="2"/>
  <c r="W60" i="2"/>
  <c r="X60" i="2"/>
  <c r="Y60" i="2"/>
  <c r="W64" i="2"/>
  <c r="X64" i="2"/>
  <c r="Y64" i="2"/>
  <c r="Y46" i="2"/>
  <c r="X46" i="2"/>
  <c r="W46" i="2"/>
  <c r="AH41" i="2" l="1"/>
  <c r="AG43" i="2"/>
  <c r="AG59" i="2"/>
  <c r="AE59" i="2"/>
  <c r="AE47" i="2"/>
  <c r="AE67" i="2" s="1"/>
  <c r="AF43" i="2"/>
  <c r="AF59" i="2"/>
  <c r="AD46" i="2"/>
  <c r="AD64" i="2"/>
  <c r="AB8" i="2"/>
  <c r="Z29" i="2"/>
  <c r="AA15" i="2"/>
  <c r="AB15" i="2"/>
  <c r="AC15" i="2"/>
  <c r="AC22" i="2"/>
  <c r="AB29" i="2"/>
  <c r="AB41" i="2"/>
  <c r="AV24" i="2"/>
  <c r="AV17" i="2"/>
  <c r="AV20" i="2" s="1"/>
  <c r="AV36" i="2"/>
  <c r="AW36" i="2" s="1"/>
  <c r="AT13" i="2"/>
  <c r="AT15" i="2" s="1"/>
  <c r="AU13" i="2"/>
  <c r="BB63" i="2"/>
  <c r="AW31" i="2"/>
  <c r="AV33" i="2"/>
  <c r="AU33" i="2"/>
  <c r="AV49" i="2"/>
  <c r="AW49" i="2" s="1"/>
  <c r="AX49" i="2" s="1"/>
  <c r="AB46" i="2"/>
  <c r="AB61" i="2" s="1"/>
  <c r="AV35" i="2"/>
  <c r="AV38" i="2" s="1"/>
  <c r="AT33" i="2"/>
  <c r="AV26" i="2"/>
  <c r="AW26" i="2" s="1"/>
  <c r="AX26" i="2" s="1"/>
  <c r="AB20" i="2"/>
  <c r="AB22" i="2" s="1"/>
  <c r="AD13" i="2"/>
  <c r="AD15" i="2" s="1"/>
  <c r="AD8" i="2"/>
  <c r="AC6" i="2"/>
  <c r="AC41" i="2" s="1"/>
  <c r="AS38" i="2"/>
  <c r="AO33" i="2"/>
  <c r="AP38" i="2"/>
  <c r="AQ39" i="2"/>
  <c r="AS33" i="2"/>
  <c r="AO39" i="2"/>
  <c r="AQ38" i="2"/>
  <c r="AS39" i="2"/>
  <c r="AO38" i="2"/>
  <c r="AP39" i="2"/>
  <c r="AR38" i="2"/>
  <c r="AR39" i="2"/>
  <c r="AA29" i="2"/>
  <c r="AA61" i="2"/>
  <c r="AA8" i="2"/>
  <c r="AQ33" i="2"/>
  <c r="AR33" i="2"/>
  <c r="AP33" i="2"/>
  <c r="H29" i="2"/>
  <c r="L29" i="2"/>
  <c r="P29" i="2"/>
  <c r="T29" i="2"/>
  <c r="X29" i="2"/>
  <c r="P22" i="2"/>
  <c r="X22" i="2"/>
  <c r="I29" i="2"/>
  <c r="M29" i="2"/>
  <c r="Q29" i="2"/>
  <c r="U29" i="2"/>
  <c r="Y29" i="2"/>
  <c r="J29" i="2"/>
  <c r="N29" i="2"/>
  <c r="R29" i="2"/>
  <c r="V29" i="2"/>
  <c r="G29" i="2"/>
  <c r="K29" i="2"/>
  <c r="O29" i="2"/>
  <c r="S29" i="2"/>
  <c r="W29" i="2"/>
  <c r="AN13" i="2"/>
  <c r="Z15" i="2"/>
  <c r="R22" i="2"/>
  <c r="L22" i="2"/>
  <c r="Z8" i="2"/>
  <c r="I22" i="2"/>
  <c r="M22" i="2"/>
  <c r="Q22" i="2"/>
  <c r="U22" i="2"/>
  <c r="Y22" i="2"/>
  <c r="H22" i="2"/>
  <c r="T22" i="2"/>
  <c r="J22" i="2"/>
  <c r="N22" i="2"/>
  <c r="V22" i="2"/>
  <c r="Z22" i="2"/>
  <c r="G22" i="2"/>
  <c r="K22" i="2"/>
  <c r="O22" i="2"/>
  <c r="S22" i="2"/>
  <c r="W22" i="2"/>
  <c r="K8" i="2"/>
  <c r="S8" i="2"/>
  <c r="W8" i="2"/>
  <c r="H15" i="2"/>
  <c r="L15" i="2"/>
  <c r="P15" i="2"/>
  <c r="T15" i="2"/>
  <c r="X15" i="2"/>
  <c r="I15" i="2"/>
  <c r="M15" i="2"/>
  <c r="Q15" i="2"/>
  <c r="U15" i="2"/>
  <c r="Y15" i="2"/>
  <c r="J15" i="2"/>
  <c r="N15" i="2"/>
  <c r="R15" i="2"/>
  <c r="V15" i="2"/>
  <c r="G15" i="2"/>
  <c r="K15" i="2"/>
  <c r="O15" i="2"/>
  <c r="S15" i="2"/>
  <c r="W15" i="2"/>
  <c r="O8" i="2"/>
  <c r="G8" i="2"/>
  <c r="H8" i="2"/>
  <c r="L8" i="2"/>
  <c r="P8" i="2"/>
  <c r="T8" i="2"/>
  <c r="X8" i="2"/>
  <c r="I8" i="2"/>
  <c r="M8" i="2"/>
  <c r="Q8" i="2"/>
  <c r="U8" i="2"/>
  <c r="Y8" i="2"/>
  <c r="J8" i="2"/>
  <c r="N8" i="2"/>
  <c r="R8" i="2"/>
  <c r="V8" i="2"/>
  <c r="AP6" i="2"/>
  <c r="AQ27" i="2"/>
  <c r="AR20" i="2"/>
  <c r="AS20" i="2"/>
  <c r="AN6" i="2"/>
  <c r="AN27" i="2"/>
  <c r="AO6" i="2"/>
  <c r="AO20" i="2"/>
  <c r="AO27" i="2"/>
  <c r="AP13" i="2"/>
  <c r="AP20" i="2"/>
  <c r="AQ6" i="2"/>
  <c r="AQ13" i="2"/>
  <c r="AQ20" i="2"/>
  <c r="AR13" i="2"/>
  <c r="AS6" i="2"/>
  <c r="AS13" i="2"/>
  <c r="Z41" i="2"/>
  <c r="Z43" i="2" s="1"/>
  <c r="AR6" i="2"/>
  <c r="AO13" i="2"/>
  <c r="AR27" i="2"/>
  <c r="AS27" i="2"/>
  <c r="AN20" i="2"/>
  <c r="AP27" i="2"/>
  <c r="C41" i="2"/>
  <c r="G41" i="2"/>
  <c r="D41" i="2"/>
  <c r="H41" i="2"/>
  <c r="E41" i="2"/>
  <c r="I41" i="2"/>
  <c r="K41" i="2"/>
  <c r="O41" i="2"/>
  <c r="L41" i="2"/>
  <c r="P41" i="2"/>
  <c r="M41" i="2"/>
  <c r="Q41" i="2"/>
  <c r="T41" i="2"/>
  <c r="X41" i="2"/>
  <c r="U41" i="2"/>
  <c r="Y41" i="2"/>
  <c r="Y43" i="2" s="1"/>
  <c r="Y66" i="2" s="1"/>
  <c r="S41" i="2"/>
  <c r="F41" i="2"/>
  <c r="N41" i="2"/>
  <c r="R41" i="2"/>
  <c r="V41" i="2"/>
  <c r="W41" i="2"/>
  <c r="W43" i="2" s="1"/>
  <c r="W66" i="2" s="1"/>
  <c r="J41" i="2"/>
  <c r="AH43" i="2" l="1"/>
  <c r="AH59" i="2"/>
  <c r="AG47" i="2"/>
  <c r="AG66" i="2"/>
  <c r="AT6" i="2"/>
  <c r="AT8" i="2" s="1"/>
  <c r="AE50" i="2"/>
  <c r="AE68" i="2" s="1"/>
  <c r="AE62" i="2"/>
  <c r="AF66" i="2"/>
  <c r="AF47" i="2"/>
  <c r="AS41" i="2"/>
  <c r="AU6" i="2"/>
  <c r="AD41" i="2"/>
  <c r="AD43" i="2" s="1"/>
  <c r="AU39" i="2"/>
  <c r="AT20" i="2"/>
  <c r="AT22" i="2" s="1"/>
  <c r="AV6" i="2"/>
  <c r="AU20" i="2"/>
  <c r="AW17" i="2"/>
  <c r="AW20" i="2" s="1"/>
  <c r="AW22" i="2" s="1"/>
  <c r="AU15" i="2"/>
  <c r="AV39" i="2"/>
  <c r="AT27" i="2"/>
  <c r="AT29" i="2" s="1"/>
  <c r="AW35" i="2"/>
  <c r="AX35" i="2" s="1"/>
  <c r="AX38" i="2" s="1"/>
  <c r="AU27" i="2"/>
  <c r="AV10" i="2"/>
  <c r="AW6" i="2"/>
  <c r="AX36" i="2"/>
  <c r="AX39" i="2" s="1"/>
  <c r="AW39" i="2"/>
  <c r="AX31" i="2"/>
  <c r="AX33" i="2" s="1"/>
  <c r="AW33" i="2"/>
  <c r="AV27" i="2"/>
  <c r="AW24" i="2"/>
  <c r="AX6" i="2"/>
  <c r="AU38" i="2"/>
  <c r="AT38" i="2"/>
  <c r="AC8" i="2"/>
  <c r="AA59" i="2"/>
  <c r="AA43" i="2"/>
  <c r="AA66" i="2" s="1"/>
  <c r="AR29" i="2"/>
  <c r="AO29" i="2"/>
  <c r="AO15" i="2"/>
  <c r="AS22" i="2"/>
  <c r="AP29" i="2"/>
  <c r="AS29" i="2"/>
  <c r="AQ29" i="2"/>
  <c r="AP22" i="2"/>
  <c r="AQ22" i="2"/>
  <c r="AS15" i="2"/>
  <c r="AO22" i="2"/>
  <c r="AN41" i="2"/>
  <c r="AR15" i="2"/>
  <c r="AR22" i="2"/>
  <c r="AQ41" i="2"/>
  <c r="AP15" i="2"/>
  <c r="AQ15" i="2"/>
  <c r="AQ8" i="2"/>
  <c r="AO8" i="2"/>
  <c r="AO41" i="2"/>
  <c r="AR41" i="2"/>
  <c r="AR8" i="2"/>
  <c r="AP41" i="2"/>
  <c r="AS8" i="2"/>
  <c r="AP8" i="2"/>
  <c r="W59" i="2"/>
  <c r="X59" i="2"/>
  <c r="X43" i="2"/>
  <c r="X66" i="2" s="1"/>
  <c r="Y47" i="2"/>
  <c r="Y50" i="2" s="1"/>
  <c r="Y59" i="2"/>
  <c r="W47" i="2"/>
  <c r="W50" i="2" s="1"/>
  <c r="AH66" i="2" l="1"/>
  <c r="AH47" i="2"/>
  <c r="AU41" i="2"/>
  <c r="AU43" i="2" s="1"/>
  <c r="AG62" i="2"/>
  <c r="AG50" i="2"/>
  <c r="AG67" i="2"/>
  <c r="AV8" i="2"/>
  <c r="AU8" i="2"/>
  <c r="AE52" i="2"/>
  <c r="AE63" i="2" s="1"/>
  <c r="AF50" i="2"/>
  <c r="AF62" i="2"/>
  <c r="AF67" i="2"/>
  <c r="AT59" i="2"/>
  <c r="AU22" i="2"/>
  <c r="AW8" i="2"/>
  <c r="AD59" i="2"/>
  <c r="AX17" i="2"/>
  <c r="AX20" i="2" s="1"/>
  <c r="AX22" i="2" s="1"/>
  <c r="AD47" i="2"/>
  <c r="AD66" i="2"/>
  <c r="AV22" i="2"/>
  <c r="AW38" i="2"/>
  <c r="AV29" i="2"/>
  <c r="AU29" i="2"/>
  <c r="AC43" i="2"/>
  <c r="AC59" i="2"/>
  <c r="AW10" i="2"/>
  <c r="AW13" i="2" s="1"/>
  <c r="AV13" i="2"/>
  <c r="AB43" i="2"/>
  <c r="AB59" i="2"/>
  <c r="AX24" i="2"/>
  <c r="AX27" i="2" s="1"/>
  <c r="AW27" i="2"/>
  <c r="AX8" i="2"/>
  <c r="AA47" i="2"/>
  <c r="AA67" i="2" s="1"/>
  <c r="AA50" i="2"/>
  <c r="AA62" i="2"/>
  <c r="X47" i="2"/>
  <c r="X50" i="2" s="1"/>
  <c r="Y67" i="2"/>
  <c r="W67" i="2"/>
  <c r="X52" i="2"/>
  <c r="X56" i="2" s="1"/>
  <c r="X68" i="2"/>
  <c r="W52" i="2"/>
  <c r="W56" i="2" s="1"/>
  <c r="W68" i="2"/>
  <c r="Y52" i="2"/>
  <c r="Y56" i="2" s="1"/>
  <c r="Y68" i="2"/>
  <c r="V46" i="2"/>
  <c r="U46" i="2"/>
  <c r="Y61" i="2" s="1"/>
  <c r="T64" i="2"/>
  <c r="M64" i="2"/>
  <c r="K64" i="2"/>
  <c r="J64" i="2"/>
  <c r="I64" i="2"/>
  <c r="H64" i="2"/>
  <c r="G64" i="2"/>
  <c r="U64" i="2"/>
  <c r="S64" i="2"/>
  <c r="R64" i="2"/>
  <c r="Q64" i="2"/>
  <c r="P64" i="2"/>
  <c r="O64" i="2"/>
  <c r="N64" i="2"/>
  <c r="L64" i="2"/>
  <c r="U60" i="2"/>
  <c r="T60" i="2"/>
  <c r="U59" i="2"/>
  <c r="T59" i="2"/>
  <c r="T46" i="2"/>
  <c r="X61" i="2" s="1"/>
  <c r="T43" i="2"/>
  <c r="T66" i="2" s="1"/>
  <c r="E46" i="2"/>
  <c r="E43" i="2"/>
  <c r="F46" i="2"/>
  <c r="F43" i="2"/>
  <c r="D46" i="2"/>
  <c r="D43" i="2"/>
  <c r="H46" i="2"/>
  <c r="H43" i="2"/>
  <c r="AN48" i="2"/>
  <c r="C46" i="2"/>
  <c r="C43" i="2"/>
  <c r="G46" i="2"/>
  <c r="G43" i="2"/>
  <c r="I46" i="2"/>
  <c r="I43" i="2"/>
  <c r="J46" i="2"/>
  <c r="J43" i="2"/>
  <c r="K46" i="2"/>
  <c r="K43" i="2"/>
  <c r="L46" i="2"/>
  <c r="L43" i="2"/>
  <c r="P46" i="2"/>
  <c r="P43" i="2"/>
  <c r="M46" i="2"/>
  <c r="M43" i="2"/>
  <c r="Q46" i="2"/>
  <c r="Q43" i="2"/>
  <c r="Q66" i="2" s="1"/>
  <c r="N46" i="2"/>
  <c r="N43" i="2"/>
  <c r="R46" i="2"/>
  <c r="R43" i="2"/>
  <c r="AQ51" i="2"/>
  <c r="AQ45" i="2"/>
  <c r="AQ44" i="2"/>
  <c r="AQ42" i="2"/>
  <c r="AP51" i="2"/>
  <c r="AP45" i="2"/>
  <c r="AP44" i="2"/>
  <c r="AP42" i="2"/>
  <c r="AO51" i="2"/>
  <c r="AO45" i="2"/>
  <c r="AO44" i="2"/>
  <c r="AO42" i="2"/>
  <c r="AQ53" i="2"/>
  <c r="AP53" i="2"/>
  <c r="AO53" i="2"/>
  <c r="AN53" i="2"/>
  <c r="AN51" i="2"/>
  <c r="AN45" i="2"/>
  <c r="AN44" i="2"/>
  <c r="AN43" i="2"/>
  <c r="O46" i="2"/>
  <c r="O43" i="2"/>
  <c r="O66" i="2" s="1"/>
  <c r="R60" i="2"/>
  <c r="Q60" i="2"/>
  <c r="P60" i="2"/>
  <c r="O60" i="2"/>
  <c r="N60" i="2"/>
  <c r="M60" i="2"/>
  <c r="L60" i="2"/>
  <c r="K60" i="2"/>
  <c r="J60" i="2"/>
  <c r="I60" i="2"/>
  <c r="H60" i="2"/>
  <c r="G60" i="2"/>
  <c r="R59" i="2"/>
  <c r="Q59" i="2"/>
  <c r="P59" i="2"/>
  <c r="O59" i="2"/>
  <c r="N59" i="2"/>
  <c r="M59" i="2"/>
  <c r="L59" i="2"/>
  <c r="K59" i="2"/>
  <c r="J59" i="2"/>
  <c r="I59" i="2"/>
  <c r="H59" i="2"/>
  <c r="G59" i="2"/>
  <c r="S60" i="2"/>
  <c r="S59" i="2"/>
  <c r="S46" i="2"/>
  <c r="S43" i="2"/>
  <c r="S66" i="2" s="1"/>
  <c r="C3" i="3"/>
  <c r="C16" i="3"/>
  <c r="C4" i="1" a="1"/>
  <c r="C4" i="1" s="1"/>
  <c r="AH67" i="2" l="1"/>
  <c r="AH62" i="2"/>
  <c r="AH50" i="2"/>
  <c r="AG52" i="2"/>
  <c r="AE56" i="2"/>
  <c r="AE57" i="2" s="1"/>
  <c r="AE54" i="2"/>
  <c r="AE65" i="2" s="1"/>
  <c r="AF68" i="2"/>
  <c r="AF52" i="2"/>
  <c r="AU59" i="2"/>
  <c r="AT66" i="2"/>
  <c r="AD50" i="2"/>
  <c r="AD67" i="2"/>
  <c r="AC47" i="2"/>
  <c r="AC66" i="2"/>
  <c r="AX29" i="2"/>
  <c r="AW15" i="2"/>
  <c r="AV15" i="2"/>
  <c r="AV41" i="2"/>
  <c r="AV59" i="2" s="1"/>
  <c r="AX10" i="2"/>
  <c r="AX13" i="2" s="1"/>
  <c r="AB47" i="2"/>
  <c r="AB66" i="2"/>
  <c r="AW29" i="2"/>
  <c r="AW41" i="2"/>
  <c r="AA52" i="2"/>
  <c r="X67" i="2"/>
  <c r="R47" i="2"/>
  <c r="R50" i="2" s="1"/>
  <c r="R52" i="2" s="1"/>
  <c r="R56" i="2" s="1"/>
  <c r="I47" i="2"/>
  <c r="I50" i="2" s="1"/>
  <c r="I61" i="2"/>
  <c r="M61" i="2"/>
  <c r="AS48" i="2"/>
  <c r="AV48" i="2" s="1"/>
  <c r="AW48" i="2" s="1"/>
  <c r="AX48" i="2" s="1"/>
  <c r="AR48" i="2"/>
  <c r="V60" i="2"/>
  <c r="AR42" i="2"/>
  <c r="AR60" i="2" s="1"/>
  <c r="S61" i="2"/>
  <c r="W61" i="2"/>
  <c r="W54" i="2"/>
  <c r="AP60" i="2"/>
  <c r="AR44" i="2"/>
  <c r="AO59" i="2"/>
  <c r="AO43" i="2"/>
  <c r="AO66" i="2" s="1"/>
  <c r="V64" i="2"/>
  <c r="AR53" i="2"/>
  <c r="I66" i="2"/>
  <c r="Q61" i="2"/>
  <c r="K61" i="2"/>
  <c r="G47" i="2"/>
  <c r="D47" i="2"/>
  <c r="D67" i="2" s="1"/>
  <c r="V59" i="2"/>
  <c r="AR45" i="2"/>
  <c r="AS45" i="2"/>
  <c r="AV45" i="2" s="1"/>
  <c r="AW45" i="2" s="1"/>
  <c r="AX45" i="2" s="1"/>
  <c r="Y54" i="2"/>
  <c r="X54" i="2"/>
  <c r="P61" i="2"/>
  <c r="O61" i="2"/>
  <c r="AQ60" i="2"/>
  <c r="J61" i="2"/>
  <c r="L61" i="2"/>
  <c r="AQ48" i="2"/>
  <c r="AO60" i="2"/>
  <c r="AP59" i="2"/>
  <c r="G61" i="2"/>
  <c r="N61" i="2"/>
  <c r="AQ59" i="2"/>
  <c r="R61" i="2"/>
  <c r="U43" i="2"/>
  <c r="U66" i="2" s="1"/>
  <c r="H61" i="2"/>
  <c r="R66" i="2"/>
  <c r="V43" i="2"/>
  <c r="V66" i="2" s="1"/>
  <c r="C6" i="1"/>
  <c r="C4" i="3" s="1"/>
  <c r="C5" i="3" s="1"/>
  <c r="C6" i="3" s="1"/>
  <c r="BB66" i="2"/>
  <c r="AQ64" i="2"/>
  <c r="AP64" i="2"/>
  <c r="AO64" i="2"/>
  <c r="T47" i="2"/>
  <c r="V61" i="2"/>
  <c r="T61" i="2"/>
  <c r="U61" i="2"/>
  <c r="E47" i="2"/>
  <c r="E66" i="2"/>
  <c r="F47" i="2"/>
  <c r="F66" i="2"/>
  <c r="H47" i="2"/>
  <c r="D66" i="2"/>
  <c r="H66" i="2"/>
  <c r="C47" i="2"/>
  <c r="C66" i="2"/>
  <c r="AN46" i="2"/>
  <c r="G66" i="2"/>
  <c r="AO48" i="2"/>
  <c r="AN66" i="2"/>
  <c r="AO46" i="2"/>
  <c r="J47" i="2"/>
  <c r="J50" i="2" s="1"/>
  <c r="J66" i="2"/>
  <c r="K47" i="2"/>
  <c r="K66" i="2"/>
  <c r="L47" i="2"/>
  <c r="L50" i="2" s="1"/>
  <c r="L66" i="2"/>
  <c r="P47" i="2"/>
  <c r="P50" i="2" s="1"/>
  <c r="P66" i="2"/>
  <c r="M47" i="2"/>
  <c r="M50" i="2" s="1"/>
  <c r="Q47" i="2"/>
  <c r="M66" i="2"/>
  <c r="AP48" i="2"/>
  <c r="N47" i="2"/>
  <c r="N50" i="2" s="1"/>
  <c r="N66" i="2"/>
  <c r="AP46" i="2"/>
  <c r="AP43" i="2"/>
  <c r="AP66" i="2" s="1"/>
  <c r="AQ43" i="2"/>
  <c r="AQ66" i="2" s="1"/>
  <c r="AQ46" i="2"/>
  <c r="O47" i="2"/>
  <c r="O50" i="2" s="1"/>
  <c r="S47" i="2"/>
  <c r="AH52" i="2" l="1"/>
  <c r="AG56" i="2"/>
  <c r="AG57" i="2" s="1"/>
  <c r="AG54" i="2"/>
  <c r="AG65" i="2" s="1"/>
  <c r="AG63" i="2"/>
  <c r="AF63" i="2"/>
  <c r="AF56" i="2"/>
  <c r="AF57" i="2" s="1"/>
  <c r="AF54" i="2"/>
  <c r="AF65" i="2" s="1"/>
  <c r="AR43" i="2"/>
  <c r="AT67" i="2"/>
  <c r="AD52" i="2"/>
  <c r="AD68" i="2"/>
  <c r="AC50" i="2"/>
  <c r="AC67" i="2"/>
  <c r="AC62" i="2"/>
  <c r="AX15" i="2"/>
  <c r="AX41" i="2"/>
  <c r="AB50" i="2"/>
  <c r="AB62" i="2"/>
  <c r="AB67" i="2"/>
  <c r="AW59" i="2"/>
  <c r="AA63" i="2"/>
  <c r="AA56" i="2"/>
  <c r="AA54" i="2"/>
  <c r="AA65" i="2" s="1"/>
  <c r="I67" i="2"/>
  <c r="R67" i="2"/>
  <c r="G50" i="2"/>
  <c r="G52" i="2" s="1"/>
  <c r="K67" i="2"/>
  <c r="K50" i="2"/>
  <c r="K52" i="2" s="1"/>
  <c r="K56" i="2" s="1"/>
  <c r="F50" i="2"/>
  <c r="F52" i="2" s="1"/>
  <c r="AQ61" i="2"/>
  <c r="W62" i="2"/>
  <c r="S50" i="2"/>
  <c r="Q67" i="2"/>
  <c r="Q50" i="2"/>
  <c r="Q68" i="2" s="1"/>
  <c r="C67" i="2"/>
  <c r="C50" i="2"/>
  <c r="C52" i="2" s="1"/>
  <c r="C56" i="2" s="1"/>
  <c r="H67" i="2"/>
  <c r="H50" i="2"/>
  <c r="H52" i="2" s="1"/>
  <c r="H56" i="2" s="1"/>
  <c r="I62" i="2"/>
  <c r="E50" i="2"/>
  <c r="E52" i="2" s="1"/>
  <c r="X62" i="2"/>
  <c r="T50" i="2"/>
  <c r="D50" i="2"/>
  <c r="D52" i="2" s="1"/>
  <c r="G67" i="2"/>
  <c r="AR59" i="2"/>
  <c r="Z59" i="2"/>
  <c r="AS59" i="2"/>
  <c r="Z64" i="2"/>
  <c r="AS53" i="2"/>
  <c r="AR46" i="2"/>
  <c r="AR47" i="2" s="1"/>
  <c r="AR50" i="2" s="1"/>
  <c r="AS42" i="2"/>
  <c r="Z60" i="2"/>
  <c r="AS44" i="2"/>
  <c r="Z46" i="2"/>
  <c r="AR64" i="2"/>
  <c r="AR66" i="2"/>
  <c r="AP61" i="2"/>
  <c r="V47" i="2"/>
  <c r="U47" i="2"/>
  <c r="U50" i="2" s="1"/>
  <c r="N62" i="2"/>
  <c r="AO61" i="2"/>
  <c r="F67" i="2"/>
  <c r="T62" i="2"/>
  <c r="N67" i="2"/>
  <c r="S62" i="2"/>
  <c r="S67" i="2"/>
  <c r="P52" i="2"/>
  <c r="P56" i="2" s="1"/>
  <c r="P62" i="2"/>
  <c r="R54" i="2"/>
  <c r="M52" i="2"/>
  <c r="M56" i="2" s="1"/>
  <c r="M62" i="2"/>
  <c r="K62" i="2"/>
  <c r="J52" i="2"/>
  <c r="J56" i="2" s="1"/>
  <c r="J62" i="2"/>
  <c r="E67" i="2"/>
  <c r="G62" i="2"/>
  <c r="N52" i="2"/>
  <c r="Q62" i="2"/>
  <c r="O67" i="2"/>
  <c r="O62" i="2"/>
  <c r="M67" i="2"/>
  <c r="P67" i="2"/>
  <c r="L52" i="2"/>
  <c r="L56" i="2" s="1"/>
  <c r="L62" i="2"/>
  <c r="J67" i="2"/>
  <c r="H62" i="2"/>
  <c r="R62" i="2"/>
  <c r="C9" i="1"/>
  <c r="T67" i="2"/>
  <c r="AN47" i="2"/>
  <c r="AN50" i="2" s="1"/>
  <c r="AO47" i="2"/>
  <c r="AO50" i="2" s="1"/>
  <c r="I52" i="2"/>
  <c r="I56" i="2" s="1"/>
  <c r="I68" i="2"/>
  <c r="L67" i="2"/>
  <c r="AP47" i="2"/>
  <c r="AP50" i="2" s="1"/>
  <c r="AQ47" i="2"/>
  <c r="AQ50" i="2" s="1"/>
  <c r="R68" i="2"/>
  <c r="C7" i="3"/>
  <c r="AH63" i="2" l="1"/>
  <c r="AH54" i="2"/>
  <c r="AH65" i="2" s="1"/>
  <c r="AH56" i="2"/>
  <c r="AH57" i="2" s="1"/>
  <c r="Z61" i="2"/>
  <c r="AD61" i="2"/>
  <c r="AU60" i="2"/>
  <c r="AT60" i="2"/>
  <c r="AU64" i="2"/>
  <c r="AT64" i="2"/>
  <c r="AT62" i="2"/>
  <c r="AD54" i="2"/>
  <c r="AD56" i="2"/>
  <c r="AC52" i="2"/>
  <c r="AC56" i="2" s="1"/>
  <c r="AC68" i="2"/>
  <c r="AX59" i="2"/>
  <c r="AB52" i="2"/>
  <c r="AB68" i="2"/>
  <c r="AA57" i="2"/>
  <c r="AV42" i="2"/>
  <c r="AW42" i="2" s="1"/>
  <c r="AU66" i="2"/>
  <c r="D68" i="2"/>
  <c r="G68" i="2"/>
  <c r="L57" i="2"/>
  <c r="P57" i="2"/>
  <c r="M57" i="2"/>
  <c r="E54" i="2"/>
  <c r="E56" i="2"/>
  <c r="I57" i="2" s="1"/>
  <c r="D54" i="2"/>
  <c r="D56" i="2"/>
  <c r="F54" i="2"/>
  <c r="F56" i="2"/>
  <c r="J57" i="2" s="1"/>
  <c r="F68" i="2"/>
  <c r="R63" i="2"/>
  <c r="N56" i="2"/>
  <c r="AS60" i="2"/>
  <c r="G54" i="2"/>
  <c r="G56" i="2"/>
  <c r="K57" i="2" s="1"/>
  <c r="V50" i="2"/>
  <c r="P68" i="2"/>
  <c r="AS64" i="2"/>
  <c r="AR61" i="2"/>
  <c r="AS46" i="2"/>
  <c r="Z66" i="2"/>
  <c r="Z47" i="2"/>
  <c r="H68" i="2"/>
  <c r="U67" i="2"/>
  <c r="Y62" i="2"/>
  <c r="AS43" i="2"/>
  <c r="AS47" i="2" s="1"/>
  <c r="AR62" i="2"/>
  <c r="U68" i="2"/>
  <c r="V62" i="2"/>
  <c r="V67" i="2"/>
  <c r="J68" i="2"/>
  <c r="E68" i="2"/>
  <c r="M68" i="2"/>
  <c r="U62" i="2"/>
  <c r="Q52" i="2"/>
  <c r="K68" i="2"/>
  <c r="C68" i="2"/>
  <c r="O52" i="2"/>
  <c r="O56" i="2" s="1"/>
  <c r="O68" i="2"/>
  <c r="S68" i="2"/>
  <c r="S52" i="2"/>
  <c r="AQ52" i="2"/>
  <c r="AQ62" i="2"/>
  <c r="AQ67" i="2"/>
  <c r="I54" i="2"/>
  <c r="I65" i="2" s="1"/>
  <c r="I63" i="2"/>
  <c r="C54" i="2"/>
  <c r="G63" i="2"/>
  <c r="AP52" i="2"/>
  <c r="AP62" i="2"/>
  <c r="AP67" i="2"/>
  <c r="AO52" i="2"/>
  <c r="AO54" i="2" s="1"/>
  <c r="AO62" i="2"/>
  <c r="AO67" i="2"/>
  <c r="AN67" i="2"/>
  <c r="AN52" i="2"/>
  <c r="L54" i="2"/>
  <c r="L63" i="2"/>
  <c r="N54" i="2"/>
  <c r="N63" i="2"/>
  <c r="K54" i="2"/>
  <c r="K63" i="2"/>
  <c r="N68" i="2"/>
  <c r="L68" i="2"/>
  <c r="H54" i="2"/>
  <c r="H63" i="2"/>
  <c r="J54" i="2"/>
  <c r="J63" i="2"/>
  <c r="M54" i="2"/>
  <c r="M63" i="2"/>
  <c r="P54" i="2"/>
  <c r="P63" i="2"/>
  <c r="AV53" i="2"/>
  <c r="AW53" i="2" s="1"/>
  <c r="AX53" i="2" s="1"/>
  <c r="AX64" i="2" s="1"/>
  <c r="T68" i="2"/>
  <c r="T52" i="2"/>
  <c r="G65" i="2" l="1"/>
  <c r="Z50" i="2"/>
  <c r="AD62" i="2"/>
  <c r="AS61" i="2"/>
  <c r="AT61" i="2"/>
  <c r="AX42" i="2"/>
  <c r="AW43" i="2"/>
  <c r="AC54" i="2"/>
  <c r="AC65" i="2" s="1"/>
  <c r="AC63" i="2"/>
  <c r="AC57" i="2"/>
  <c r="AB54" i="2"/>
  <c r="AB65" i="2" s="1"/>
  <c r="AB56" i="2"/>
  <c r="AB63" i="2"/>
  <c r="AW64" i="2"/>
  <c r="AV64" i="2"/>
  <c r="AV43" i="2"/>
  <c r="AV66" i="2" s="1"/>
  <c r="AV60" i="2"/>
  <c r="AW60" i="2"/>
  <c r="AN56" i="2"/>
  <c r="N57" i="2"/>
  <c r="R57" i="2"/>
  <c r="G57" i="2"/>
  <c r="AO56" i="2"/>
  <c r="H57" i="2"/>
  <c r="J65" i="2"/>
  <c r="O57" i="2"/>
  <c r="AP56" i="2"/>
  <c r="AP57" i="2" s="1"/>
  <c r="X63" i="2"/>
  <c r="T56" i="2"/>
  <c r="Q54" i="2"/>
  <c r="Q65" i="2" s="1"/>
  <c r="Q56" i="2"/>
  <c r="Q57" i="2" s="1"/>
  <c r="H65" i="2"/>
  <c r="K65" i="2"/>
  <c r="W63" i="2"/>
  <c r="S56" i="2"/>
  <c r="AR51" i="2"/>
  <c r="AR52" i="2" s="1"/>
  <c r="AR54" i="2" s="1"/>
  <c r="V68" i="2"/>
  <c r="V52" i="2"/>
  <c r="V63" i="2" s="1"/>
  <c r="AU46" i="2"/>
  <c r="AS50" i="2"/>
  <c r="AS66" i="2"/>
  <c r="Z62" i="2"/>
  <c r="Z67" i="2"/>
  <c r="U52" i="2"/>
  <c r="U56" i="2" s="1"/>
  <c r="AR67" i="2"/>
  <c r="Q63" i="2"/>
  <c r="L65" i="2"/>
  <c r="AO63" i="2"/>
  <c r="AN54" i="2"/>
  <c r="AO65" i="2" s="1"/>
  <c r="AP54" i="2"/>
  <c r="AP65" i="2" s="1"/>
  <c r="AP63" i="2"/>
  <c r="M65" i="2"/>
  <c r="P65" i="2"/>
  <c r="N65" i="2"/>
  <c r="AQ54" i="2"/>
  <c r="AQ63" i="2"/>
  <c r="O54" i="2"/>
  <c r="O65" i="2" s="1"/>
  <c r="O63" i="2"/>
  <c r="S54" i="2"/>
  <c r="W65" i="2" s="1"/>
  <c r="S63" i="2"/>
  <c r="R65" i="2"/>
  <c r="T63" i="2"/>
  <c r="T54" i="2"/>
  <c r="AW66" i="2" l="1"/>
  <c r="AX60" i="2"/>
  <c r="AX43" i="2"/>
  <c r="AB57" i="2"/>
  <c r="AX56" i="2"/>
  <c r="AW56" i="2"/>
  <c r="AU47" i="2"/>
  <c r="AU67" i="2" s="1"/>
  <c r="AU61" i="2"/>
  <c r="AO57" i="2"/>
  <c r="AS62" i="2"/>
  <c r="AQ56" i="2"/>
  <c r="AQ57" i="2" s="1"/>
  <c r="U57" i="2"/>
  <c r="Y57" i="2"/>
  <c r="T57" i="2"/>
  <c r="X57" i="2"/>
  <c r="S57" i="2"/>
  <c r="W57" i="2"/>
  <c r="V54" i="2"/>
  <c r="V65" i="2" s="1"/>
  <c r="V56" i="2"/>
  <c r="V57" i="2" s="1"/>
  <c r="AS67" i="2"/>
  <c r="U63" i="2"/>
  <c r="Y63" i="2"/>
  <c r="T65" i="2"/>
  <c r="X65" i="2"/>
  <c r="Z52" i="2"/>
  <c r="AV44" i="2"/>
  <c r="U54" i="2"/>
  <c r="AR65" i="2"/>
  <c r="AQ65" i="2"/>
  <c r="S65" i="2"/>
  <c r="Z56" i="2" l="1"/>
  <c r="AD57" i="2" s="1"/>
  <c r="AD63" i="2"/>
  <c r="AV46" i="2"/>
  <c r="AV47" i="2" s="1"/>
  <c r="AW44" i="2"/>
  <c r="AX66" i="2"/>
  <c r="AU50" i="2"/>
  <c r="AU62" i="2"/>
  <c r="AX57" i="2"/>
  <c r="AU56" i="2"/>
  <c r="AU57" i="2" s="1"/>
  <c r="AT56" i="2"/>
  <c r="AV56" i="2"/>
  <c r="Z57" i="2"/>
  <c r="AS56" i="2"/>
  <c r="AR56" i="2"/>
  <c r="AR57" i="2" s="1"/>
  <c r="Z63" i="2"/>
  <c r="Z54" i="2"/>
  <c r="U65" i="2"/>
  <c r="Y65" i="2"/>
  <c r="AS51" i="2"/>
  <c r="AS52" i="2" s="1"/>
  <c r="Z68" i="2"/>
  <c r="AR63" i="2"/>
  <c r="AT57" i="2" l="1"/>
  <c r="Z65" i="2"/>
  <c r="AD65" i="2"/>
  <c r="AV61" i="2"/>
  <c r="AX44" i="2"/>
  <c r="AX46" i="2" s="1"/>
  <c r="AW46" i="2"/>
  <c r="AV57" i="2"/>
  <c r="AV62" i="2"/>
  <c r="AV50" i="2"/>
  <c r="AV67" i="2"/>
  <c r="AW57" i="2"/>
  <c r="AS57" i="2"/>
  <c r="C11" i="3"/>
  <c r="C18" i="3" s="1"/>
  <c r="BB61" i="2" s="1"/>
  <c r="AW47" i="2" l="1"/>
  <c r="AW61" i="2"/>
  <c r="AX61" i="2"/>
  <c r="AX47" i="2"/>
  <c r="AT63" i="2"/>
  <c r="AS54" i="2"/>
  <c r="AS65" i="2" s="1"/>
  <c r="AS63" i="2"/>
  <c r="AV51" i="2"/>
  <c r="AV68" i="2" s="1"/>
  <c r="AX67" i="2" l="1"/>
  <c r="AX50" i="2"/>
  <c r="AX62" i="2"/>
  <c r="AW67" i="2"/>
  <c r="AW50" i="2"/>
  <c r="AW62" i="2"/>
  <c r="AW51" i="2"/>
  <c r="AW68" i="2" s="1"/>
  <c r="AT65" i="2"/>
  <c r="AV52" i="2"/>
  <c r="AU52" i="2"/>
  <c r="AX51" i="2" l="1"/>
  <c r="AX68" i="2" s="1"/>
  <c r="AW52" i="2"/>
  <c r="AW54" i="2" s="1"/>
  <c r="AV54" i="2"/>
  <c r="AV63" i="2"/>
  <c r="AU54" i="2"/>
  <c r="AU65" i="2" s="1"/>
  <c r="AU63" i="2"/>
  <c r="AW63" i="2" l="1"/>
  <c r="AX52" i="2"/>
  <c r="AV65" i="2"/>
  <c r="AW65" i="2"/>
  <c r="AX54" i="2" l="1"/>
  <c r="AX65" i="2" s="1"/>
  <c r="AX63" i="2"/>
  <c r="AY52" i="2"/>
  <c r="AZ52" i="2" s="1"/>
  <c r="BA52" i="2" s="1"/>
  <c r="BB52" i="2" s="1"/>
  <c r="BC52" i="2" s="1"/>
  <c r="BD52" i="2" s="1"/>
  <c r="BE52" i="2" s="1"/>
  <c r="BF52" i="2" s="1"/>
  <c r="BG52" i="2" s="1"/>
  <c r="BH52" i="2" s="1"/>
  <c r="BI52" i="2" s="1"/>
  <c r="BJ52" i="2" s="1"/>
  <c r="BK52" i="2" s="1"/>
  <c r="BL52" i="2" s="1"/>
  <c r="BM52" i="2" s="1"/>
  <c r="BN52" i="2" s="1"/>
  <c r="BO52" i="2" s="1"/>
  <c r="BP52" i="2" s="1"/>
  <c r="BQ52" i="2" s="1"/>
  <c r="BR52" i="2" s="1"/>
  <c r="BS52" i="2" s="1"/>
  <c r="BT52" i="2" s="1"/>
  <c r="BU52" i="2" s="1"/>
  <c r="BV52" i="2" s="1"/>
  <c r="BW52" i="2" s="1"/>
  <c r="BX52" i="2" s="1"/>
  <c r="BY52" i="2" s="1"/>
  <c r="BZ52" i="2" s="1"/>
  <c r="CA52" i="2" s="1"/>
  <c r="CB52" i="2" s="1"/>
  <c r="CC52" i="2" s="1"/>
  <c r="CD52" i="2" s="1"/>
  <c r="CE52" i="2" s="1"/>
  <c r="CF52" i="2" s="1"/>
  <c r="CG52" i="2" s="1"/>
  <c r="CH52" i="2" s="1"/>
  <c r="CI52" i="2" s="1"/>
  <c r="CJ52" i="2" s="1"/>
  <c r="CK52" i="2" s="1"/>
  <c r="CL52" i="2" s="1"/>
  <c r="CM52" i="2" s="1"/>
  <c r="CN52" i="2" s="1"/>
  <c r="CO52" i="2" s="1"/>
  <c r="CP52" i="2" s="1"/>
  <c r="CQ52" i="2" s="1"/>
  <c r="CR52" i="2" s="1"/>
  <c r="CS52" i="2" s="1"/>
  <c r="CT52" i="2" s="1"/>
  <c r="CU52" i="2" s="1"/>
  <c r="CV52" i="2" s="1"/>
  <c r="CW52" i="2" s="1"/>
  <c r="CX52" i="2" s="1"/>
  <c r="CY52" i="2" s="1"/>
  <c r="CZ52" i="2" s="1"/>
  <c r="DA52" i="2" s="1"/>
  <c r="DB52" i="2" s="1"/>
  <c r="DC52" i="2" s="1"/>
  <c r="DD52" i="2" s="1"/>
  <c r="DE52" i="2" s="1"/>
  <c r="DF52" i="2" s="1"/>
  <c r="DG52" i="2" s="1"/>
  <c r="DH52" i="2" s="1"/>
  <c r="DI52" i="2" s="1"/>
  <c r="DJ52" i="2" s="1"/>
  <c r="DK52" i="2" s="1"/>
  <c r="DL52" i="2" s="1"/>
  <c r="DM52" i="2" s="1"/>
  <c r="DN52" i="2" s="1"/>
  <c r="DO52" i="2" s="1"/>
  <c r="DP52" i="2" s="1"/>
  <c r="DQ52" i="2" s="1"/>
  <c r="DR52" i="2" s="1"/>
  <c r="DS52" i="2" s="1"/>
  <c r="DT52" i="2" s="1"/>
  <c r="DU52" i="2" s="1"/>
  <c r="DV52" i="2" s="1"/>
  <c r="DW52" i="2" s="1"/>
  <c r="DX52" i="2" s="1"/>
  <c r="DY52" i="2" s="1"/>
  <c r="DZ52" i="2" s="1"/>
  <c r="EA52" i="2" s="1"/>
  <c r="EB52" i="2" s="1"/>
  <c r="EC52" i="2" s="1"/>
  <c r="ED52" i="2" s="1"/>
  <c r="EE52" i="2" s="1"/>
  <c r="EF52" i="2" s="1"/>
  <c r="EG52" i="2" s="1"/>
  <c r="EH52" i="2" s="1"/>
  <c r="EI52" i="2" s="1"/>
  <c r="EJ52" i="2" s="1"/>
  <c r="EK52" i="2" s="1"/>
  <c r="EL52" i="2" s="1"/>
  <c r="EM52" i="2" s="1"/>
  <c r="EN52" i="2" s="1"/>
  <c r="EO52" i="2" s="1"/>
  <c r="EP52" i="2" s="1"/>
  <c r="EQ52" i="2" s="1"/>
  <c r="ER52" i="2" s="1"/>
  <c r="ES52" i="2" s="1"/>
  <c r="ET52" i="2" s="1"/>
  <c r="EU52" i="2" s="1"/>
  <c r="EV52" i="2" s="1"/>
  <c r="EW52" i="2" s="1"/>
  <c r="EX52" i="2" s="1"/>
  <c r="EY52" i="2" s="1"/>
  <c r="EZ52" i="2" s="1"/>
  <c r="FA52" i="2" s="1"/>
  <c r="FB52" i="2" s="1"/>
  <c r="FC52" i="2" s="1"/>
  <c r="FD52" i="2" s="1"/>
  <c r="FE52" i="2" s="1"/>
  <c r="FF52" i="2" s="1"/>
  <c r="FG52" i="2" s="1"/>
  <c r="FH52" i="2" s="1"/>
  <c r="FI52" i="2" s="1"/>
  <c r="FJ52" i="2" s="1"/>
  <c r="FK52" i="2" s="1"/>
  <c r="FL52" i="2" s="1"/>
  <c r="FM52" i="2" s="1"/>
  <c r="FN52" i="2" s="1"/>
  <c r="FO52" i="2" s="1"/>
  <c r="FP52" i="2" s="1"/>
  <c r="FQ52" i="2" s="1"/>
  <c r="FR52" i="2" s="1"/>
  <c r="FS52" i="2" s="1"/>
  <c r="FT52" i="2" s="1"/>
  <c r="FU52" i="2" s="1"/>
  <c r="FV52" i="2" s="1"/>
  <c r="FW52" i="2" s="1"/>
  <c r="FX52" i="2" s="1"/>
  <c r="FY52" i="2" s="1"/>
  <c r="FZ52" i="2" s="1"/>
  <c r="GA52" i="2" s="1"/>
  <c r="GB52" i="2" s="1"/>
  <c r="GC52" i="2" s="1"/>
  <c r="GD52" i="2" s="1"/>
  <c r="GE52" i="2" s="1"/>
  <c r="GF52" i="2" s="1"/>
  <c r="GG52" i="2" s="1"/>
  <c r="GH52" i="2" s="1"/>
  <c r="GI52" i="2" s="1"/>
  <c r="GJ52" i="2" s="1"/>
  <c r="GK52" i="2" s="1"/>
  <c r="GL52" i="2" s="1"/>
  <c r="GM52" i="2" s="1"/>
  <c r="GN52" i="2" s="1"/>
  <c r="GO52" i="2" s="1"/>
  <c r="GP52" i="2" s="1"/>
  <c r="GQ52" i="2" s="1"/>
  <c r="GR52" i="2" s="1"/>
  <c r="GS52" i="2" s="1"/>
  <c r="GT52" i="2" s="1"/>
  <c r="GU52" i="2" s="1"/>
  <c r="GV52" i="2" s="1"/>
  <c r="GW52" i="2" s="1"/>
  <c r="GX52" i="2" s="1"/>
  <c r="GY52" i="2" s="1"/>
  <c r="GZ52" i="2" s="1"/>
  <c r="HA52" i="2" s="1"/>
  <c r="HB52" i="2" s="1"/>
  <c r="HC52" i="2" s="1"/>
  <c r="HD52" i="2" s="1"/>
  <c r="HE52" i="2" s="1"/>
  <c r="HF52" i="2" s="1"/>
  <c r="HG52" i="2" s="1"/>
  <c r="HH52" i="2" s="1"/>
  <c r="HI52" i="2" s="1"/>
  <c r="HJ52" i="2" s="1"/>
  <c r="HK52" i="2" s="1"/>
  <c r="HL52" i="2" s="1"/>
  <c r="HM52" i="2" s="1"/>
  <c r="HN52" i="2" s="1"/>
  <c r="HO52" i="2" s="1"/>
  <c r="HP52" i="2" s="1"/>
  <c r="HQ52" i="2" s="1"/>
  <c r="HR52" i="2" s="1"/>
  <c r="HS52" i="2" s="1"/>
  <c r="HT52" i="2" s="1"/>
  <c r="HU52" i="2" s="1"/>
  <c r="HV52" i="2" s="1"/>
  <c r="HW52" i="2" s="1"/>
  <c r="HX52" i="2" s="1"/>
  <c r="HY52" i="2" s="1"/>
  <c r="HZ52" i="2" s="1"/>
  <c r="IA52" i="2" s="1"/>
  <c r="IB52" i="2" s="1"/>
  <c r="IC52" i="2" s="1"/>
  <c r="ID52" i="2" s="1"/>
  <c r="IE52" i="2" s="1"/>
  <c r="IF52" i="2" s="1"/>
  <c r="IG52" i="2" s="1"/>
  <c r="IH52" i="2" s="1"/>
  <c r="II52" i="2" s="1"/>
  <c r="IJ52" i="2" s="1"/>
  <c r="IK52" i="2" s="1"/>
  <c r="IL52" i="2" s="1"/>
  <c r="IM52" i="2" s="1"/>
  <c r="IN52" i="2" s="1"/>
  <c r="IO52" i="2" s="1"/>
  <c r="IP52" i="2" s="1"/>
  <c r="IQ52" i="2" s="1"/>
  <c r="IR52" i="2" s="1"/>
  <c r="IS52" i="2" s="1"/>
  <c r="IT52" i="2" s="1"/>
  <c r="IU52" i="2" s="1"/>
  <c r="IV52" i="2" s="1"/>
  <c r="IW52" i="2" s="1"/>
  <c r="IX52" i="2" s="1"/>
  <c r="IY52" i="2" s="1"/>
  <c r="IZ52" i="2" s="1"/>
  <c r="JA52" i="2" s="1"/>
  <c r="JB52" i="2" s="1"/>
  <c r="JC52" i="2" s="1"/>
  <c r="JD52" i="2" s="1"/>
  <c r="JE52" i="2" s="1"/>
  <c r="JF52" i="2" s="1"/>
  <c r="JG52" i="2" s="1"/>
  <c r="JH52" i="2" s="1"/>
  <c r="JI52" i="2" s="1"/>
  <c r="JJ52" i="2" s="1"/>
  <c r="JK52" i="2" s="1"/>
  <c r="JL52" i="2" s="1"/>
  <c r="JM52" i="2" s="1"/>
  <c r="JN52" i="2" s="1"/>
  <c r="JO52" i="2" s="1"/>
  <c r="JP52" i="2" s="1"/>
  <c r="JQ52" i="2" s="1"/>
  <c r="JR52" i="2" s="1"/>
  <c r="JS52" i="2" s="1"/>
  <c r="JT52" i="2" s="1"/>
  <c r="JU52" i="2" s="1"/>
  <c r="JV52" i="2" s="1"/>
  <c r="JW52" i="2" s="1"/>
  <c r="JX52" i="2" s="1"/>
  <c r="JY52" i="2" s="1"/>
  <c r="JZ52" i="2" s="1"/>
  <c r="KA52" i="2" s="1"/>
  <c r="KB52" i="2" s="1"/>
  <c r="KC52" i="2" s="1"/>
  <c r="KD52" i="2" s="1"/>
  <c r="KE52" i="2" s="1"/>
  <c r="KF52" i="2" s="1"/>
  <c r="KG52" i="2" s="1"/>
  <c r="KH52" i="2" s="1"/>
  <c r="KI52" i="2" s="1"/>
  <c r="KJ52" i="2" s="1"/>
  <c r="KK52" i="2" s="1"/>
  <c r="KL52" i="2" s="1"/>
  <c r="KM52" i="2" s="1"/>
  <c r="KN52" i="2" s="1"/>
  <c r="KO52" i="2" s="1"/>
  <c r="KP52" i="2" s="1"/>
  <c r="KQ52" i="2" s="1"/>
  <c r="KR52" i="2" s="1"/>
  <c r="KS52" i="2" s="1"/>
  <c r="KT52" i="2" s="1"/>
  <c r="KU52" i="2" s="1"/>
  <c r="KV52" i="2" s="1"/>
  <c r="KW52" i="2" s="1"/>
  <c r="KX52" i="2" s="1"/>
  <c r="KY52" i="2" s="1"/>
  <c r="KZ52" i="2" s="1"/>
  <c r="LA52" i="2" s="1"/>
  <c r="LB52" i="2" s="1"/>
  <c r="LC52" i="2" s="1"/>
  <c r="LD52" i="2" s="1"/>
  <c r="LE52" i="2" s="1"/>
  <c r="LF52" i="2" s="1"/>
  <c r="LG52" i="2" s="1"/>
  <c r="LH52" i="2" s="1"/>
  <c r="LI52" i="2" s="1"/>
  <c r="LJ52" i="2" s="1"/>
  <c r="LK52" i="2" s="1"/>
  <c r="LL52" i="2" s="1"/>
  <c r="LM52" i="2" s="1"/>
  <c r="LN52" i="2" s="1"/>
  <c r="LO52" i="2" s="1"/>
  <c r="LP52" i="2" s="1"/>
  <c r="LQ52" i="2" s="1"/>
  <c r="LR52" i="2" s="1"/>
  <c r="LS52" i="2" s="1"/>
  <c r="LT52" i="2" s="1"/>
  <c r="LU52" i="2" s="1"/>
  <c r="LV52" i="2" s="1"/>
  <c r="LW52" i="2" s="1"/>
  <c r="LX52" i="2" s="1"/>
  <c r="LY52" i="2" s="1"/>
  <c r="LZ52" i="2" s="1"/>
  <c r="MA52" i="2" s="1"/>
  <c r="MB52" i="2" s="1"/>
  <c r="MC52" i="2" s="1"/>
  <c r="MD52" i="2" s="1"/>
  <c r="ME52" i="2" s="1"/>
  <c r="MF52" i="2" s="1"/>
  <c r="MG52" i="2" s="1"/>
  <c r="MH52" i="2" s="1"/>
  <c r="MI52" i="2" s="1"/>
  <c r="MJ52" i="2" s="1"/>
  <c r="MK52" i="2" s="1"/>
  <c r="ML52" i="2" s="1"/>
  <c r="MM52" i="2" s="1"/>
  <c r="MN52" i="2" s="1"/>
  <c r="MO52" i="2" s="1"/>
  <c r="MP52" i="2" s="1"/>
  <c r="MQ52" i="2" s="1"/>
  <c r="MR52" i="2" s="1"/>
  <c r="MS52" i="2" s="1"/>
  <c r="MT52" i="2" s="1"/>
  <c r="MU52" i="2" s="1"/>
  <c r="MV52" i="2" s="1"/>
  <c r="MW52" i="2" s="1"/>
  <c r="MX52" i="2" s="1"/>
  <c r="MY52" i="2" s="1"/>
  <c r="MZ52" i="2" s="1"/>
  <c r="NA52" i="2" s="1"/>
  <c r="NB52" i="2" s="1"/>
  <c r="NC52" i="2" s="1"/>
  <c r="ND52" i="2" s="1"/>
  <c r="NE52" i="2" s="1"/>
  <c r="NF52" i="2" s="1"/>
  <c r="NG52" i="2" s="1"/>
  <c r="NH52" i="2" s="1"/>
  <c r="NI52" i="2" s="1"/>
  <c r="NJ52" i="2" s="1"/>
  <c r="NK52" i="2" s="1"/>
  <c r="NL52" i="2" s="1"/>
  <c r="NM52" i="2" s="1"/>
  <c r="NN52" i="2" s="1"/>
  <c r="NO52" i="2" s="1"/>
  <c r="NP52" i="2" s="1"/>
  <c r="NQ52" i="2" s="1"/>
  <c r="NR52" i="2" s="1"/>
  <c r="NS52" i="2" s="1"/>
  <c r="NT52" i="2" s="1"/>
  <c r="NU52" i="2" s="1"/>
  <c r="NV52" i="2" s="1"/>
  <c r="NW52" i="2" s="1"/>
  <c r="NX52" i="2" s="1"/>
  <c r="NY52" i="2" s="1"/>
  <c r="NZ52" i="2" s="1"/>
  <c r="OA52" i="2" s="1"/>
  <c r="OB52" i="2" s="1"/>
  <c r="OC52" i="2" s="1"/>
  <c r="OD52" i="2" s="1"/>
  <c r="BB62" i="2" s="1"/>
  <c r="BB64" i="2" s="1"/>
  <c r="BB65" i="2" s="1"/>
  <c r="BB6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<sst xmlns="http://schemas.openxmlformats.org/spreadsheetml/2006/main" count="121" uniqueCount="114">
  <si>
    <t>Company</t>
  </si>
  <si>
    <t>Source</t>
  </si>
  <si>
    <t>Price</t>
  </si>
  <si>
    <t>Shares</t>
  </si>
  <si>
    <t>1Q21</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</si>
  <si>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</si>
  <si>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</si>
  <si>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</si>
  <si>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</si>
  <si>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</si>
  <si>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</si>
  <si>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</si>
  <si>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</si>
  <si>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</si>
  <si>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</si>
  <si>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</si>
  <si>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</si>
  <si>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</si>
  <si>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</si>
  <si>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</si>
  <si>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</si>
  <si>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</si>
  <si>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COGS</t>
  </si>
  <si>
    <t>Gross Profit</t>
  </si>
  <si>
    <t>Operating Overhead</t>
  </si>
  <si>
    <t>Demand Creation</t>
  </si>
  <si>
    <t>Opex</t>
  </si>
  <si>
    <t>Operating Income</t>
  </si>
  <si>
    <t>Pretax Income</t>
  </si>
  <si>
    <t>Taxes</t>
  </si>
  <si>
    <t>Net Income</t>
  </si>
  <si>
    <t>EPS</t>
  </si>
  <si>
    <t>Revenue Y/Y</t>
  </si>
  <si>
    <t>COGS Y/Y</t>
  </si>
  <si>
    <t>Opex Y/Y</t>
  </si>
  <si>
    <t>OI Y/Y</t>
  </si>
  <si>
    <t>NI Y/Y</t>
  </si>
  <si>
    <t>Shares Y/Y</t>
  </si>
  <si>
    <t>EPS Y/Y</t>
  </si>
  <si>
    <t>GM</t>
  </si>
  <si>
    <t>OM</t>
  </si>
  <si>
    <t>1Q17</t>
  </si>
  <si>
    <t>2Q17</t>
  </si>
  <si>
    <t>3Q17</t>
  </si>
  <si>
    <t>4Q17</t>
  </si>
  <si>
    <t>1Q18</t>
  </si>
  <si>
    <t>2Q18</t>
  </si>
  <si>
    <t>3Q19</t>
  </si>
  <si>
    <t>4Q18</t>
  </si>
  <si>
    <t>1Q19</t>
  </si>
  <si>
    <t>2Q19</t>
  </si>
  <si>
    <t>4Q19</t>
  </si>
  <si>
    <t>1Q20</t>
  </si>
  <si>
    <t>2Q20</t>
  </si>
  <si>
    <t>3Q20</t>
  </si>
  <si>
    <t>4Q20</t>
  </si>
  <si>
    <t>2Q21</t>
  </si>
  <si>
    <t>3Q21</t>
  </si>
  <si>
    <t>4Q21</t>
  </si>
  <si>
    <t>Maturity</t>
  </si>
  <si>
    <t>NPV</t>
  </si>
  <si>
    <t>Net Cash</t>
  </si>
  <si>
    <t>Total Value</t>
  </si>
  <si>
    <t>Model Price</t>
  </si>
  <si>
    <t>Current Price</t>
  </si>
  <si>
    <t>Difference</t>
  </si>
  <si>
    <t>average</t>
  </si>
  <si>
    <t>1Q22</t>
  </si>
  <si>
    <t>2Q22</t>
  </si>
  <si>
    <t>3Q22</t>
  </si>
  <si>
    <t>4Q22</t>
  </si>
  <si>
    <t>1Q23</t>
  </si>
  <si>
    <t>Other Expense/(Income)</t>
  </si>
  <si>
    <t>Interest Expense/(Income)</t>
  </si>
  <si>
    <t>EBITDA</t>
  </si>
  <si>
    <t>EBITDA Y/Y</t>
  </si>
  <si>
    <t>Total North America Revenue</t>
  </si>
  <si>
    <t>EMEA Footwear</t>
  </si>
  <si>
    <t>EMEA Apparel</t>
  </si>
  <si>
    <t>EMEA Equipment</t>
  </si>
  <si>
    <t>Total Europe, Middle East, Africa Revenue</t>
  </si>
  <si>
    <t>Greater China Footwear</t>
  </si>
  <si>
    <t>Greater China Apparel</t>
  </si>
  <si>
    <t>Greater China Equipment</t>
  </si>
  <si>
    <t>Total Greater China Revenue</t>
  </si>
  <si>
    <t>Asia Pacific &amp; Latin America Footwear</t>
  </si>
  <si>
    <t>Asia Pacific &amp; Latin America Apparel</t>
  </si>
  <si>
    <t>Asia Pacific &amp; Latin America Equipment</t>
  </si>
  <si>
    <t>Total Asia Pacific &amp; Latin America Revenue</t>
  </si>
  <si>
    <t>Global Brand Divisions Revenue</t>
  </si>
  <si>
    <t>Converse Revenue</t>
  </si>
  <si>
    <t>Corporate Revenue</t>
  </si>
  <si>
    <t>Total NKE Revenue</t>
  </si>
  <si>
    <t>North America Revenue Y/Y</t>
  </si>
  <si>
    <t>Europe, Middle East, Africa Revenue Y/Y</t>
  </si>
  <si>
    <t>Greater China Revenue Y/Y</t>
  </si>
  <si>
    <t>Asia Pacific &amp; Latin America Revenue Y/Y</t>
  </si>
  <si>
    <t>Global Brand Divisions Revenue Y/Y</t>
  </si>
  <si>
    <t>Converse Revenue Y/Y</t>
  </si>
  <si>
    <t>Corporate Revenue Y/Y</t>
  </si>
  <si>
    <t>2Q23</t>
  </si>
  <si>
    <t>3Q23</t>
  </si>
  <si>
    <t>4Q23</t>
  </si>
  <si>
    <t>NA Footwear</t>
  </si>
  <si>
    <t>NA Apparel</t>
  </si>
  <si>
    <t>NA Equipment</t>
  </si>
  <si>
    <t>1Q24</t>
  </si>
  <si>
    <t>2Q24</t>
  </si>
  <si>
    <t>3Q24</t>
  </si>
  <si>
    <t>4Q24</t>
  </si>
  <si>
    <t>2023 annual</t>
  </si>
  <si>
    <t>5yr t-bond 2/21/24</t>
  </si>
  <si>
    <t>koyfin 2/21/24</t>
  </si>
  <si>
    <t>Discount (WACC)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</si>
</sst>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0"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sz val="8"/>
      <name val="Calibri"/>
      <family val="2"/>
      <scheme val="minor"/>
    </font>
    <font>
      <i/>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39">
    <xf numFmtId="0" fontId="0" fillId="0" borderId="0" xfId="0"/>
    <xf numFmtId="0" fontId="5" fillId="0" borderId="0" xfId="0" applyFont="1"/>
    <xf numFmtId="3" fontId="5" fillId="0" borderId="0" xfId="0" applyNumberFormat="1" applyFont="1"/>
    <xf numFmtId="10" fontId="5" fillId="0" borderId="0" xfId="0" applyNumberFormat="1" applyFont="1"/>
    <xf numFmtId="9" fontId="5" fillId="0" borderId="0" xfId="0" applyNumberFormat="1" applyFont="1"/>
    <xf numFmtId="0" fontId="7" fillId="0" borderId="0" xfId="0" applyFont="1"/>
    <xf numFmtId="9" fontId="7" fillId="0" borderId="0" xfId="0" applyNumberFormat="1" applyFont="1"/>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164" fontId="5" fillId="0" borderId="0" xfId="0" applyNumberFormat="1" applyFont="1" applyAlignment="1">
      <alignment horizontal="right"/>
    </xf>
    <xf numFmtId="0" fontId="5" fillId="0" borderId="1" xfId="0" applyFont="1" applyBorder="1" applyAlignment="1">
      <alignment horizontal="right"/>
    </xf>
    <xf numFmtId="4" fontId="5" fillId="0" borderId="0" xfId="0" applyNumberFormat="1" applyFont="1"/>
    <xf numFmtId="3" fontId="5" fillId="0" borderId="0" xfId="0" applyNumberFormat="1" applyFont="1" applyAlignment="1">
      <alignment horizontal="right"/>
    </xf>
    <xf numFmtId="0" fontId="5" fillId="0" borderId="4" xfId="0" applyFont="1" applyBorder="1" applyAlignment="1">
      <alignment horizontal="right"/>
    </xf>
    <xf numFmtId="0" fontId="5" fillId="0" borderId="5" xfId="0" applyFont="1" applyBorder="1"/>
    <xf numFmtId="3" fontId="5" fillId="0" borderId="6" xfId="0" applyNumberFormat="1" applyFont="1" applyBorder="1" applyAlignment="1">
      <alignment horizontal="right"/>
    </xf>
    <xf numFmtId="0" fontId="5" fillId="0" borderId="5" xfId="0" applyFont="1" applyBorder="1" applyAlignment="1">
      <alignment horizontal="right"/>
    </xf>
    <xf numFmtId="14" fontId="5" fillId="0" borderId="0" xfId="0" applyNumberFormat="1" applyFont="1"/>
    <xf numFmtId="0" fontId="5" fillId="0" borderId="0" xfId="0" applyFont="1" applyAlignment="1">
      <alignment horizontal="right"/>
    </xf>
    <xf numFmtId="3" fontId="7" fillId="0" borderId="0" xfId="0" applyNumberFormat="1" applyFont="1"/>
    <xf numFmtId="9" fontId="5" fillId="0" borderId="0" xfId="1" applyFont="1"/>
    <xf numFmtId="38" fontId="5" fillId="0" borderId="0" xfId="0" applyNumberFormat="1" applyFont="1"/>
    <xf numFmtId="0" fontId="4" fillId="0" borderId="0" xfId="0" applyFont="1" applyAlignment="1">
      <alignment horizontal="right"/>
    </xf>
    <xf numFmtId="0" fontId="4" fillId="0" borderId="0" xfId="0" applyFont="1"/>
    <xf numFmtId="0" fontId="3" fillId="0" borderId="0" xfId="0" applyFont="1"/>
    <xf numFmtId="0" fontId="9" fillId="0" borderId="0" xfId="0" applyFont="1"/>
    <xf numFmtId="3" fontId="9" fillId="0" borderId="0" xfId="0" applyNumberFormat="1" applyFont="1" applyAlignment="1">
      <alignment horizontal="right"/>
    </xf>
    <xf numFmtId="0" fontId="9" fillId="0" borderId="0" xfId="0" applyFont="1" applyAlignment="1">
      <alignment horizontal="right"/>
    </xf>
    <xf numFmtId="9" fontId="9" fillId="0" borderId="0" xfId="0" applyNumberFormat="1" applyFont="1" applyAlignment="1">
      <alignment horizontal="right"/>
    </xf>
    <xf numFmtId="3" fontId="4" fillId="0" borderId="0" xfId="0" applyNumberFormat="1" applyFont="1" applyAlignment="1">
      <alignment horizontal="right"/>
    </xf>
    <xf numFmtId="0" fontId="2" fillId="0" borderId="0" xfId="0" applyFont="1" applyAlignment="1">
      <alignment horizontal="right"/>
    </xf>
    <xf numFmtId="0" fontId="1" fillId="0" borderId="0" xfId="0" applyFont="1"/>
    <xf numFmtId="0" fontId="1" fillId="0" borderId="4" xfId="0" applyFont="1" applyBorder="1" applyAlignment="1">
      <alignment horizontal="right"/>
    </xf>
    <xf numFmtId="0" fontId="1" fillId="0" borderId="0" xfId="0" applyFont="1" applyAlignment="1">
      <alignment horizontal="right"/>
    </xf>
    <xf numFmtId="9" fontId="5" fillId="0" borderId="0" xfId="0" applyNumberFormat="1" applyFont="1" applyAlignment="1">
      <alignment horizontal="right"/>
    </xf>
    <xf numFmtId="9" fontId="4" fillId="0" borderId="0" xfId="0" applyNumberFormat="1" applyFont="1" applyAlignment="1">
      <alignment horizontal="right"/>
    </xf>
    <xf numFmtId="0" fontId="1" fillId="0" borderId="0" xfId="0" applyFont="1" applyAlignment="1">
      <alignment horizontal="left"/>
    </xf>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46</xdr:col>
      <xdr:colOff>30480</xdr:colOff>
      <xdr:row>0</xdr:row>
      <xdr:rowOff>161925</xdr:rowOff>
    </xdr:from>
    <xdr:to>
      <xdr:col>46</xdr:col>
      <xdr:colOff>30480</xdr:colOff>
      <xdr:row>74</xdr:row>
      <xdr:rowOff>24765</xdr:rowOff>
    </xdr:to>
    <xdr:cxnSp macro="">
      <xdr:nvCxnSpPr>
        <xdr:cNvPr id="3" name="Straight Connector 2">
          <a:extLst>
            <a:ext uri="{FF2B5EF4-FFF2-40B4-BE49-F238E27FC236}">
              <a16:creationId xmlns:a16="http://schemas.microsoft.com/office/drawing/2014/main" id="{3FA47D1E-DE85-4366-AC13-684BC4172594}"/>
            </a:ext>
          </a:extLst>
        </xdr:cNvPr>
        <xdr:cNvCxnSpPr/>
      </xdr:nvCxnSpPr>
      <xdr:spPr>
        <a:xfrm>
          <a:off x="33225105" y="161925"/>
          <a:ext cx="0" cy="126168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76835</xdr:colOff>
      <xdr:row>0</xdr:row>
      <xdr:rowOff>21590</xdr:rowOff>
    </xdr:from>
    <xdr:to>
      <xdr:col>32</xdr:col>
      <xdr:colOff>76835</xdr:colOff>
      <xdr:row>73</xdr:row>
      <xdr:rowOff>73025</xdr:rowOff>
    </xdr:to>
    <xdr:cxnSp macro="">
      <xdr:nvCxnSpPr>
        <xdr:cNvPr id="4" name="Straight Connector 3">
          <a:extLst>
            <a:ext uri="{FF2B5EF4-FFF2-40B4-BE49-F238E27FC236}">
              <a16:creationId xmlns:a16="http://schemas.microsoft.com/office/drawing/2014/main" id="{99E8B9FD-BEA6-40AB-9E07-2C67D2F97A38}"/>
            </a:ext>
          </a:extLst>
        </xdr:cNvPr>
        <xdr:cNvCxnSpPr/>
      </xdr:nvCxnSpPr>
      <xdr:spPr>
        <a:xfrm>
          <a:off x="24470360" y="21590"/>
          <a:ext cx="0" cy="126339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 val="Screens"/>
    </sheetNames>
    <sheetDataSet>
      <sheetData sheetId="0">
        <row r="12">
          <cell r="C12">
            <v>4.2999999999999997E-2</v>
          </cell>
        </row>
      </sheetData>
      <sheetData sheetId="1"/>
      <sheetData sheetId="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en-US</v>
    <v>a1yjxm</v>
    <v>268435456</v>
    <v>1</v>
    <v>Powered by Refinitiv</v>
    <v>0</v>
    <v>NIKE, INC. (XNYS:NKE)</v>
    <v>2</v>
    <v>3</v>
    <v>Finance</v>
    <v>4</v>
    <v>128.68</v>
    <v>88.66</v>
    <v>1.1068</v>
    <v>1.97</v>
    <v>2.8499999999999999E-4</v>
    <v>1.9071000000000001E-2</v>
    <v>0.03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105.52</v>
    <v>Textiles &amp; Apparel</v>
    <v>Stock</v>
    <v>45344.041496122656</v>
    <v>0</v>
    <v>102.93</v>
    <v>159496892940</v>
    <v>NIKE, INC.</v>
    <v>NIKE, INC.</v>
    <v>103.35</v>
    <v>30.160699999999999</v>
    <v>103.3</v>
    <v>105.27</v>
    <v>105.3</v>
    <v>1515122000</v>
    <v>NKE</v>
    <v>NIKE, INC. (XNYS:NKE)</v>
    <v>8893514</v>
    <v>8767487</v>
    <v>1969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B6C1-D0C4-4A77-A0D0-4E8E2424B6C8}">
  <dimension ref="B3:G9"/>
  <sheetViews>
    <sheetView workbookViewId="0">
      <selection activeCell="C8" sqref="C8"/>
    </sheetView>
  </sheetViews>
  <sheetFormatPr defaultColWidth="9.21875" defaultRowHeight="13.8" x14ac:dyDescent="0.25"/>
  <cols>
    <col min="1" max="1" width="9.21875" style="1"/>
    <col min="2" max="2" width="11.5546875" style="1" bestFit="1" customWidth="1"/>
    <col min="3" max="3" width="26" style="1" bestFit="1" customWidth="1"/>
    <col min="4" max="4" width="9.21875" style="1" bestFit="1" customWidth="1"/>
    <col min="5" max="5" width="9.21875" style="1"/>
    <col min="6" max="6" width="14.21875" style="1" bestFit="1" customWidth="1"/>
    <col min="7" max="7" width="7.21875" style="1" bestFit="1" customWidth="1"/>
    <col min="8" max="16384" width="9.21875" style="1"/>
  </cols>
  <sheetData>
    <row r="3" spans="2:7" x14ac:dyDescent="0.25">
      <c r="B3" s="7" t="s">
        <v>0</v>
      </c>
      <c r="C3" s="8" t="e" vm="1">
        <v>#VALUE!</v>
      </c>
      <c r="D3" s="9" t="s">
        <v>1</v>
      </c>
    </row>
    <row r="4" spans="2:7" x14ac:dyDescent="0.25">
      <c r="B4" s="10" t="s">
        <v>2</v>
      </c>
      <c r="C4" s="11" cm="1">
        <f t="array" ref="C4">_FV(C3,"Price")</f>
        <v>105.27</v>
      </c>
      <c r="D4" s="12"/>
      <c r="G4" s="13"/>
    </row>
    <row r="5" spans="2:7" x14ac:dyDescent="0.25">
      <c r="B5" s="10" t="s">
        <v>3</v>
      </c>
      <c r="C5" s="14">
        <v>1532.1</v>
      </c>
      <c r="D5" s="34" t="s">
        <v>107</v>
      </c>
    </row>
    <row r="6" spans="2:7" x14ac:dyDescent="0.25">
      <c r="B6" s="10" t="s">
        <v>5</v>
      </c>
      <c r="C6" s="14">
        <f>C5*C4</f>
        <v>161284.16699999999</v>
      </c>
      <c r="D6" s="15"/>
    </row>
    <row r="7" spans="2:7" x14ac:dyDescent="0.25">
      <c r="B7" s="10" t="s">
        <v>6</v>
      </c>
      <c r="C7" s="14">
        <f>7919+2008</f>
        <v>9927</v>
      </c>
      <c r="D7" s="34" t="s">
        <v>107</v>
      </c>
    </row>
    <row r="8" spans="2:7" x14ac:dyDescent="0.25">
      <c r="B8" s="10" t="s">
        <v>7</v>
      </c>
      <c r="C8" s="14">
        <f>6+8930</f>
        <v>8936</v>
      </c>
      <c r="D8" s="34" t="s">
        <v>107</v>
      </c>
    </row>
    <row r="9" spans="2:7" x14ac:dyDescent="0.25">
      <c r="B9" s="16" t="s">
        <v>8</v>
      </c>
      <c r="C9" s="17">
        <f>C6-C7+C8</f>
        <v>160293.16699999999</v>
      </c>
      <c r="D9"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4E13-EFB0-4F1E-976B-AC98D9E8DF6E}">
  <dimension ref="A1:OD75"/>
  <sheetViews>
    <sheetView tabSelected="1" workbookViewId="0">
      <pane xSplit="2" ySplit="2" topLeftCell="AN38" activePane="bottomRight" state="frozen"/>
      <selection pane="topRight" activeCell="C1" sqref="C1"/>
      <selection pane="bottomLeft" activeCell="A3" sqref="A3"/>
      <selection pane="bottomRight" activeCell="BB67" sqref="BB67"/>
    </sheetView>
  </sheetViews>
  <sheetFormatPr defaultColWidth="9.21875" defaultRowHeight="13.8" x14ac:dyDescent="0.25"/>
  <cols>
    <col min="1" max="1" width="9.21875" style="1"/>
    <col min="2" max="2" width="42.21875" style="1" bestFit="1" customWidth="1"/>
    <col min="3" max="9" width="9.21875" style="2" bestFit="1" customWidth="1"/>
    <col min="10" max="11" width="10.21875" style="2" bestFit="1" customWidth="1"/>
    <col min="12" max="12" width="11.21875" style="2" bestFit="1" customWidth="1"/>
    <col min="13" max="15" width="10.21875" style="2" bestFit="1" customWidth="1"/>
    <col min="16" max="16" width="11.21875" style="2" bestFit="1" customWidth="1"/>
    <col min="17" max="19" width="10.21875" style="2" bestFit="1" customWidth="1"/>
    <col min="20" max="20" width="11.21875" style="2" bestFit="1" customWidth="1"/>
    <col min="21" max="23" width="10.21875" style="2" bestFit="1" customWidth="1"/>
    <col min="24" max="24" width="11.21875" style="2" bestFit="1" customWidth="1"/>
    <col min="25" max="27" width="10.21875" style="2" bestFit="1" customWidth="1"/>
    <col min="28" max="28" width="10.77734375" style="2" bestFit="1" customWidth="1"/>
    <col min="29" max="29" width="9.6640625" style="2" bestFit="1" customWidth="1"/>
    <col min="30" max="31" width="9.88671875" style="2" bestFit="1" customWidth="1"/>
    <col min="32" max="32" width="11" style="2" bestFit="1" customWidth="1"/>
    <col min="33" max="39" width="9.21875" style="2"/>
    <col min="40" max="50" width="9.21875" style="2" bestFit="1" customWidth="1"/>
    <col min="51" max="51" width="13.5546875" style="2" bestFit="1" customWidth="1"/>
    <col min="52" max="52" width="9.21875" style="2" bestFit="1" customWidth="1"/>
    <col min="53" max="53" width="17.6640625" style="2" bestFit="1" customWidth="1"/>
    <col min="54" max="394" width="9.21875" style="2" bestFit="1" customWidth="1"/>
    <col min="395" max="16384" width="9.21875" style="2"/>
  </cols>
  <sheetData>
    <row r="1" spans="1:50" s="1" customFormat="1" x14ac:dyDescent="0.25">
      <c r="J1" s="19">
        <v>43251</v>
      </c>
      <c r="K1" s="19">
        <v>43343</v>
      </c>
      <c r="L1" s="19">
        <v>43434</v>
      </c>
      <c r="M1" s="19">
        <v>43524</v>
      </c>
      <c r="N1" s="19">
        <v>43616</v>
      </c>
      <c r="O1" s="19">
        <v>43708</v>
      </c>
      <c r="P1" s="19">
        <v>43799</v>
      </c>
      <c r="Q1" s="19">
        <v>43890</v>
      </c>
      <c r="R1" s="19">
        <v>43982</v>
      </c>
      <c r="S1" s="19">
        <v>44074</v>
      </c>
      <c r="T1" s="19">
        <v>44165</v>
      </c>
      <c r="U1" s="19">
        <v>44255</v>
      </c>
      <c r="V1" s="19">
        <v>44347</v>
      </c>
      <c r="W1" s="19">
        <v>44439</v>
      </c>
      <c r="X1" s="19">
        <v>44530</v>
      </c>
      <c r="Y1" s="19">
        <v>44620</v>
      </c>
      <c r="Z1" s="19">
        <v>44712</v>
      </c>
      <c r="AA1" s="19">
        <v>44804</v>
      </c>
      <c r="AB1" s="19">
        <v>44895</v>
      </c>
      <c r="AC1" s="19">
        <v>44985</v>
      </c>
      <c r="AD1" s="19">
        <v>45077</v>
      </c>
      <c r="AE1" s="19">
        <v>45169</v>
      </c>
      <c r="AF1" s="19">
        <v>45260</v>
      </c>
    </row>
    <row r="2" spans="1:50" s="20" customFormat="1" x14ac:dyDescent="0.25">
      <c r="A2" s="1"/>
      <c r="B2" s="1"/>
      <c r="C2" s="20" t="s">
        <v>41</v>
      </c>
      <c r="D2" s="20" t="s">
        <v>42</v>
      </c>
      <c r="E2" s="20" t="s">
        <v>43</v>
      </c>
      <c r="F2" s="20" t="s">
        <v>44</v>
      </c>
      <c r="G2" s="20" t="s">
        <v>45</v>
      </c>
      <c r="H2" s="20" t="s">
        <v>46</v>
      </c>
      <c r="I2" s="20" t="s">
        <v>47</v>
      </c>
      <c r="J2" s="20" t="s">
        <v>48</v>
      </c>
      <c r="K2" s="20" t="s">
        <v>49</v>
      </c>
      <c r="L2" s="20" t="s">
        <v>50</v>
      </c>
      <c r="M2" s="20" t="s">
        <v>47</v>
      </c>
      <c r="N2" s="20" t="s">
        <v>51</v>
      </c>
      <c r="O2" s="20" t="s">
        <v>52</v>
      </c>
      <c r="P2" s="20" t="s">
        <v>53</v>
      </c>
      <c r="Q2" s="20" t="s">
        <v>54</v>
      </c>
      <c r="R2" s="20" t="s">
        <v>55</v>
      </c>
      <c r="S2" s="20" t="s">
        <v>4</v>
      </c>
      <c r="T2" s="20" t="s">
        <v>56</v>
      </c>
      <c r="U2" s="20" t="s">
        <v>57</v>
      </c>
      <c r="V2" s="20" t="s">
        <v>58</v>
      </c>
      <c r="W2" s="20" t="s">
        <v>67</v>
      </c>
      <c r="X2" s="20" t="s">
        <v>68</v>
      </c>
      <c r="Y2" s="20" t="s">
        <v>69</v>
      </c>
      <c r="Z2" s="20" t="s">
        <v>70</v>
      </c>
      <c r="AA2" s="24" t="s">
        <v>71</v>
      </c>
      <c r="AB2" s="32" t="s">
        <v>100</v>
      </c>
      <c r="AC2" s="32" t="s">
        <v>101</v>
      </c>
      <c r="AD2" s="32" t="s">
        <v>102</v>
      </c>
      <c r="AE2" s="35" t="s">
        <v>106</v>
      </c>
      <c r="AF2" s="35" t="s">
        <v>107</v>
      </c>
      <c r="AG2" s="35" t="s">
        <v>108</v>
      </c>
      <c r="AH2" s="35" t="s">
        <v>109</v>
      </c>
      <c r="AI2" s="32"/>
      <c r="AJ2" s="32"/>
      <c r="AK2" s="32"/>
      <c r="AN2" s="20">
        <v>2017</v>
      </c>
      <c r="AO2" s="20">
        <v>2018</v>
      </c>
      <c r="AP2" s="20">
        <v>2019</v>
      </c>
      <c r="AQ2" s="20">
        <v>2020</v>
      </c>
      <c r="AR2" s="20">
        <v>2021</v>
      </c>
      <c r="AS2" s="20">
        <v>2022</v>
      </c>
      <c r="AT2" s="20">
        <v>2023</v>
      </c>
      <c r="AU2" s="20">
        <v>2024</v>
      </c>
      <c r="AV2" s="20">
        <v>2025</v>
      </c>
      <c r="AW2" s="20">
        <v>2026</v>
      </c>
      <c r="AX2" s="20">
        <v>2027</v>
      </c>
    </row>
    <row r="3" spans="1:50" s="20" customFormat="1" x14ac:dyDescent="0.25">
      <c r="A3" s="1"/>
      <c r="B3" s="33" t="s">
        <v>103</v>
      </c>
      <c r="C3" s="14">
        <v>2518</v>
      </c>
      <c r="D3" s="14">
        <v>2219</v>
      </c>
      <c r="E3" s="14">
        <v>2490</v>
      </c>
      <c r="F3" s="14">
        <v>2457</v>
      </c>
      <c r="G3" s="14">
        <v>2434</v>
      </c>
      <c r="H3" s="14">
        <v>2070</v>
      </c>
      <c r="I3" s="14">
        <v>2293</v>
      </c>
      <c r="J3" s="14">
        <v>2525</v>
      </c>
      <c r="K3" s="14">
        <v>2555</v>
      </c>
      <c r="L3" s="14">
        <v>2245</v>
      </c>
      <c r="M3" s="14">
        <v>2509</v>
      </c>
      <c r="N3" s="14">
        <v>2736</v>
      </c>
      <c r="O3" s="14">
        <v>2669</v>
      </c>
      <c r="P3" s="14">
        <v>2426</v>
      </c>
      <c r="Q3" s="14">
        <v>2628</v>
      </c>
      <c r="R3" s="14">
        <v>1606</v>
      </c>
      <c r="S3" s="14">
        <v>2957</v>
      </c>
      <c r="T3" s="14">
        <v>2512</v>
      </c>
      <c r="U3" s="14">
        <v>2382</v>
      </c>
      <c r="V3" s="14">
        <v>3793</v>
      </c>
      <c r="W3" s="14">
        <v>3264</v>
      </c>
      <c r="X3" s="14">
        <v>2852</v>
      </c>
      <c r="Y3" s="14">
        <v>2532</v>
      </c>
      <c r="Z3" s="14">
        <v>3580</v>
      </c>
      <c r="AA3" s="31">
        <v>3805</v>
      </c>
      <c r="AB3" s="14">
        <v>3963</v>
      </c>
      <c r="AC3" s="14">
        <v>3322</v>
      </c>
      <c r="AD3" s="14">
        <v>3807</v>
      </c>
      <c r="AE3" s="14">
        <v>3733</v>
      </c>
      <c r="AF3" s="14">
        <v>3757</v>
      </c>
      <c r="AG3" s="14">
        <f>AC3*0.98</f>
        <v>3255.56</v>
      </c>
      <c r="AH3" s="14">
        <f>AD3*1.02</f>
        <v>3883.14</v>
      </c>
      <c r="AN3" s="14">
        <f>SUM(C3:F3)</f>
        <v>9684</v>
      </c>
      <c r="AO3" s="14">
        <f>SUM(G3:J3)</f>
        <v>9322</v>
      </c>
      <c r="AP3" s="14">
        <f>SUM(K3:N3)</f>
        <v>10045</v>
      </c>
      <c r="AQ3" s="14">
        <f>SUM(O3:R3)</f>
        <v>9329</v>
      </c>
      <c r="AR3" s="14">
        <f>SUM(S3:V3)</f>
        <v>11644</v>
      </c>
      <c r="AS3" s="14">
        <f>SUM(W3:Z3)</f>
        <v>12228</v>
      </c>
      <c r="AT3" s="14">
        <f>SUM(AA3:AD3)</f>
        <v>14897</v>
      </c>
      <c r="AU3" s="14">
        <f>SUM(AE3:AH3)</f>
        <v>14628.699999999999</v>
      </c>
      <c r="AV3" s="14">
        <f t="shared" ref="AV3:AV5" si="0">AU3*1.1</f>
        <v>16091.57</v>
      </c>
      <c r="AW3" s="14">
        <f t="shared" ref="AW3:AX5" si="1">AV3*1.1</f>
        <v>17700.727000000003</v>
      </c>
      <c r="AX3" s="14">
        <f t="shared" ref="AX3:AX5" si="2">AW3*1.1</f>
        <v>19470.799700000003</v>
      </c>
    </row>
    <row r="4" spans="1:50" s="20" customFormat="1" x14ac:dyDescent="0.25">
      <c r="A4" s="1"/>
      <c r="B4" s="33" t="s">
        <v>104</v>
      </c>
      <c r="C4" s="14">
        <v>1317</v>
      </c>
      <c r="D4" s="14">
        <v>1273</v>
      </c>
      <c r="E4" s="14">
        <v>1154</v>
      </c>
      <c r="F4" s="14">
        <v>1142</v>
      </c>
      <c r="G4" s="14">
        <v>1299</v>
      </c>
      <c r="H4" s="14">
        <v>1279</v>
      </c>
      <c r="I4" s="14">
        <v>1153</v>
      </c>
      <c r="J4" s="14">
        <v>1207</v>
      </c>
      <c r="K4" s="14">
        <v>1407</v>
      </c>
      <c r="L4" s="14">
        <v>1405</v>
      </c>
      <c r="M4" s="14">
        <v>1173</v>
      </c>
      <c r="N4" s="14">
        <v>1275</v>
      </c>
      <c r="O4" s="14">
        <v>1431</v>
      </c>
      <c r="P4" s="14">
        <v>1417</v>
      </c>
      <c r="Q4" s="14">
        <v>1228</v>
      </c>
      <c r="R4" s="14">
        <v>563</v>
      </c>
      <c r="S4" s="14">
        <v>1125</v>
      </c>
      <c r="T4" s="14">
        <v>1368</v>
      </c>
      <c r="U4" s="14">
        <v>1087</v>
      </c>
      <c r="V4" s="14">
        <v>1448</v>
      </c>
      <c r="W4" s="14">
        <v>1430</v>
      </c>
      <c r="X4" s="14">
        <v>1480</v>
      </c>
      <c r="Y4" s="14">
        <v>1207</v>
      </c>
      <c r="Z4" s="14">
        <v>1375</v>
      </c>
      <c r="AA4" s="31">
        <v>1494</v>
      </c>
      <c r="AB4" s="14">
        <v>1685</v>
      </c>
      <c r="AC4" s="14">
        <v>1419</v>
      </c>
      <c r="AD4" s="14">
        <v>1349</v>
      </c>
      <c r="AE4" s="14">
        <v>1479</v>
      </c>
      <c r="AF4" s="14">
        <v>1668</v>
      </c>
      <c r="AG4" s="14">
        <f t="shared" ref="AG4:AG5" si="3">AC4*0.98</f>
        <v>1390.62</v>
      </c>
      <c r="AH4" s="14">
        <f t="shared" ref="AH4:AH5" si="4">AD4*1.02</f>
        <v>1375.98</v>
      </c>
      <c r="AN4" s="14">
        <f>SUM(C4:F4)</f>
        <v>4886</v>
      </c>
      <c r="AO4" s="14">
        <f t="shared" ref="AO4:AO5" si="5">SUM(G4:J4)</f>
        <v>4938</v>
      </c>
      <c r="AP4" s="14">
        <f t="shared" ref="AP4:AP5" si="6">SUM(K4:N4)</f>
        <v>5260</v>
      </c>
      <c r="AQ4" s="14">
        <f t="shared" ref="AQ4:AQ5" si="7">SUM(O4:R4)</f>
        <v>4639</v>
      </c>
      <c r="AR4" s="14">
        <f t="shared" ref="AR4:AR5" si="8">SUM(S4:V4)</f>
        <v>5028</v>
      </c>
      <c r="AS4" s="14">
        <f t="shared" ref="AS4:AS5" si="9">SUM(W4:Z4)</f>
        <v>5492</v>
      </c>
      <c r="AT4" s="14">
        <f t="shared" ref="AT4:AT5" si="10">SUM(AA4:AD4)</f>
        <v>5947</v>
      </c>
      <c r="AU4" s="14">
        <f t="shared" ref="AU4:AU5" si="11">SUM(AE4:AH4)</f>
        <v>5913.6</v>
      </c>
      <c r="AV4" s="14">
        <f t="shared" ref="AV4:AX5" si="12">AU4*1.1</f>
        <v>6504.9600000000009</v>
      </c>
      <c r="AW4" s="14">
        <f t="shared" si="1"/>
        <v>7155.4560000000019</v>
      </c>
      <c r="AX4" s="14">
        <f t="shared" si="2"/>
        <v>7871.0016000000023</v>
      </c>
    </row>
    <row r="5" spans="1:50" s="20" customFormat="1" x14ac:dyDescent="0.25">
      <c r="A5" s="1"/>
      <c r="B5" s="33" t="s">
        <v>105</v>
      </c>
      <c r="C5" s="14">
        <v>196</v>
      </c>
      <c r="D5" s="14">
        <v>158</v>
      </c>
      <c r="E5" s="14">
        <v>138</v>
      </c>
      <c r="F5" s="14">
        <v>154</v>
      </c>
      <c r="G5" s="14">
        <v>191</v>
      </c>
      <c r="H5" s="14">
        <v>136</v>
      </c>
      <c r="I5" s="14">
        <v>125</v>
      </c>
      <c r="J5" s="14">
        <v>143</v>
      </c>
      <c r="K5" s="14">
        <v>183</v>
      </c>
      <c r="L5" s="14">
        <v>132</v>
      </c>
      <c r="M5" s="14">
        <v>128</v>
      </c>
      <c r="N5" s="14">
        <v>154</v>
      </c>
      <c r="O5" s="14">
        <v>193</v>
      </c>
      <c r="P5" s="14">
        <v>139</v>
      </c>
      <c r="Q5" s="14">
        <v>123</v>
      </c>
      <c r="R5" s="14">
        <v>61</v>
      </c>
      <c r="S5" s="14">
        <v>143</v>
      </c>
      <c r="T5" s="14">
        <v>126</v>
      </c>
      <c r="U5" s="14">
        <v>95</v>
      </c>
      <c r="V5" s="14">
        <v>143</v>
      </c>
      <c r="W5" s="14">
        <v>185</v>
      </c>
      <c r="X5" s="14">
        <v>145</v>
      </c>
      <c r="Y5" s="14">
        <v>143</v>
      </c>
      <c r="Z5" s="14">
        <v>160</v>
      </c>
      <c r="AA5" s="31">
        <v>211</v>
      </c>
      <c r="AB5" s="14">
        <v>182</v>
      </c>
      <c r="AC5" s="14">
        <v>172</v>
      </c>
      <c r="AD5" s="14">
        <v>199</v>
      </c>
      <c r="AE5" s="14">
        <v>211</v>
      </c>
      <c r="AF5" s="14">
        <v>200</v>
      </c>
      <c r="AG5" s="14">
        <f t="shared" si="3"/>
        <v>168.56</v>
      </c>
      <c r="AH5" s="14">
        <f t="shared" si="4"/>
        <v>202.98</v>
      </c>
      <c r="AN5" s="14">
        <f>SUM(C5:F5)</f>
        <v>646</v>
      </c>
      <c r="AO5" s="14">
        <f t="shared" si="5"/>
        <v>595</v>
      </c>
      <c r="AP5" s="14">
        <f t="shared" si="6"/>
        <v>597</v>
      </c>
      <c r="AQ5" s="14">
        <f t="shared" si="7"/>
        <v>516</v>
      </c>
      <c r="AR5" s="14">
        <f t="shared" si="8"/>
        <v>507</v>
      </c>
      <c r="AS5" s="14">
        <f t="shared" si="9"/>
        <v>633</v>
      </c>
      <c r="AT5" s="14">
        <f t="shared" si="10"/>
        <v>764</v>
      </c>
      <c r="AU5" s="14">
        <f t="shared" si="11"/>
        <v>782.54</v>
      </c>
      <c r="AV5" s="14">
        <f t="shared" si="12"/>
        <v>860.79399999999998</v>
      </c>
      <c r="AW5" s="14">
        <f t="shared" si="1"/>
        <v>946.87340000000006</v>
      </c>
      <c r="AX5" s="14">
        <f t="shared" si="2"/>
        <v>1041.5607400000001</v>
      </c>
    </row>
    <row r="6" spans="1:50" s="20" customFormat="1" x14ac:dyDescent="0.25">
      <c r="A6" s="1"/>
      <c r="B6" s="26" t="s">
        <v>76</v>
      </c>
      <c r="C6" s="14">
        <f t="shared" ref="C6:Y6" si="13">SUM(C3:C5)</f>
        <v>4031</v>
      </c>
      <c r="D6" s="14">
        <f t="shared" si="13"/>
        <v>3650</v>
      </c>
      <c r="E6" s="14">
        <f t="shared" si="13"/>
        <v>3782</v>
      </c>
      <c r="F6" s="14">
        <f t="shared" si="13"/>
        <v>3753</v>
      </c>
      <c r="G6" s="14">
        <f t="shared" si="13"/>
        <v>3924</v>
      </c>
      <c r="H6" s="14">
        <f t="shared" si="13"/>
        <v>3485</v>
      </c>
      <c r="I6" s="14">
        <f t="shared" si="13"/>
        <v>3571</v>
      </c>
      <c r="J6" s="14">
        <f t="shared" si="13"/>
        <v>3875</v>
      </c>
      <c r="K6" s="14">
        <f t="shared" si="13"/>
        <v>4145</v>
      </c>
      <c r="L6" s="14">
        <f t="shared" si="13"/>
        <v>3782</v>
      </c>
      <c r="M6" s="14">
        <f t="shared" si="13"/>
        <v>3810</v>
      </c>
      <c r="N6" s="14">
        <f t="shared" si="13"/>
        <v>4165</v>
      </c>
      <c r="O6" s="14">
        <f t="shared" si="13"/>
        <v>4293</v>
      </c>
      <c r="P6" s="14">
        <f t="shared" si="13"/>
        <v>3982</v>
      </c>
      <c r="Q6" s="14">
        <f t="shared" si="13"/>
        <v>3979</v>
      </c>
      <c r="R6" s="14">
        <f t="shared" si="13"/>
        <v>2230</v>
      </c>
      <c r="S6" s="14">
        <f t="shared" si="13"/>
        <v>4225</v>
      </c>
      <c r="T6" s="14">
        <f t="shared" si="13"/>
        <v>4006</v>
      </c>
      <c r="U6" s="14">
        <f t="shared" si="13"/>
        <v>3564</v>
      </c>
      <c r="V6" s="14">
        <f t="shared" si="13"/>
        <v>5384</v>
      </c>
      <c r="W6" s="14">
        <f t="shared" si="13"/>
        <v>4879</v>
      </c>
      <c r="X6" s="14">
        <f t="shared" si="13"/>
        <v>4477</v>
      </c>
      <c r="Y6" s="14">
        <f t="shared" si="13"/>
        <v>3882</v>
      </c>
      <c r="Z6" s="14">
        <f>SUM(Z3:Z5)</f>
        <v>5115</v>
      </c>
      <c r="AA6" s="14">
        <f>SUM(AA3:AA5)</f>
        <v>5510</v>
      </c>
      <c r="AB6" s="14">
        <f t="shared" ref="AB6:AH6" si="14">SUM(AB3:AB5)</f>
        <v>5830</v>
      </c>
      <c r="AC6" s="14">
        <f t="shared" si="14"/>
        <v>4913</v>
      </c>
      <c r="AD6" s="14">
        <f t="shared" si="14"/>
        <v>5355</v>
      </c>
      <c r="AE6" s="14">
        <f t="shared" si="14"/>
        <v>5423</v>
      </c>
      <c r="AF6" s="14">
        <f t="shared" si="14"/>
        <v>5625</v>
      </c>
      <c r="AG6" s="14">
        <f t="shared" si="14"/>
        <v>4814.7400000000007</v>
      </c>
      <c r="AH6" s="14">
        <f t="shared" si="14"/>
        <v>5462.0999999999995</v>
      </c>
      <c r="AN6" s="14">
        <f t="shared" ref="AN6:AX6" si="15">SUM(AN3:AN5)</f>
        <v>15216</v>
      </c>
      <c r="AO6" s="14">
        <f t="shared" si="15"/>
        <v>14855</v>
      </c>
      <c r="AP6" s="14">
        <f t="shared" si="15"/>
        <v>15902</v>
      </c>
      <c r="AQ6" s="14">
        <f t="shared" si="15"/>
        <v>14484</v>
      </c>
      <c r="AR6" s="14">
        <f t="shared" si="15"/>
        <v>17179</v>
      </c>
      <c r="AS6" s="14">
        <f t="shared" si="15"/>
        <v>18353</v>
      </c>
      <c r="AT6" s="14">
        <f t="shared" si="15"/>
        <v>21608</v>
      </c>
      <c r="AU6" s="14">
        <f t="shared" si="15"/>
        <v>21324.84</v>
      </c>
      <c r="AV6" s="14">
        <f t="shared" si="15"/>
        <v>23457.324000000001</v>
      </c>
      <c r="AW6" s="14">
        <f t="shared" si="15"/>
        <v>25803.056400000005</v>
      </c>
      <c r="AX6" s="14">
        <f t="shared" si="15"/>
        <v>28383.362040000007</v>
      </c>
    </row>
    <row r="7" spans="1:50" s="20" customFormat="1" x14ac:dyDescent="0.25">
      <c r="A7" s="1"/>
      <c r="B7" s="1"/>
      <c r="C7" s="14"/>
      <c r="D7" s="14"/>
      <c r="E7" s="14"/>
      <c r="F7" s="14"/>
      <c r="G7" s="14"/>
      <c r="H7" s="14"/>
      <c r="I7" s="14"/>
      <c r="J7" s="14"/>
      <c r="K7" s="14"/>
      <c r="L7" s="14"/>
      <c r="M7" s="14"/>
      <c r="N7" s="14"/>
      <c r="O7" s="14"/>
      <c r="P7" s="14"/>
      <c r="Q7" s="14"/>
      <c r="R7" s="14"/>
      <c r="S7" s="14"/>
      <c r="T7" s="14"/>
      <c r="U7" s="14"/>
      <c r="V7" s="14"/>
      <c r="W7" s="14"/>
      <c r="X7" s="14"/>
      <c r="Y7" s="14"/>
      <c r="Z7" s="14"/>
      <c r="AA7" s="31"/>
      <c r="AB7" s="31"/>
      <c r="AC7" s="31"/>
      <c r="AD7" s="31"/>
      <c r="AE7" s="14"/>
      <c r="AF7" s="14"/>
      <c r="AG7" s="14"/>
      <c r="AH7" s="14"/>
    </row>
    <row r="8" spans="1:50" s="29" customFormat="1" ht="14.4" x14ac:dyDescent="0.3">
      <c r="A8" s="27"/>
      <c r="B8" s="27" t="s">
        <v>93</v>
      </c>
      <c r="C8" s="28"/>
      <c r="D8" s="28"/>
      <c r="E8" s="28"/>
      <c r="F8" s="28"/>
      <c r="G8" s="30">
        <f>G6/C6-1</f>
        <v>-2.6544281815926607E-2</v>
      </c>
      <c r="H8" s="30">
        <f t="shared" ref="H8:AA8" si="16">H6/D6-1</f>
        <v>-4.5205479452054775E-2</v>
      </c>
      <c r="I8" s="30">
        <f t="shared" si="16"/>
        <v>-5.5790586991010027E-2</v>
      </c>
      <c r="J8" s="30">
        <f t="shared" si="16"/>
        <v>3.2507327471356318E-2</v>
      </c>
      <c r="K8" s="30">
        <f t="shared" si="16"/>
        <v>5.6320081549439349E-2</v>
      </c>
      <c r="L8" s="30">
        <f t="shared" si="16"/>
        <v>8.5222381635581046E-2</v>
      </c>
      <c r="M8" s="30">
        <f t="shared" si="16"/>
        <v>6.6928031363763685E-2</v>
      </c>
      <c r="N8" s="30">
        <f t="shared" si="16"/>
        <v>7.4838709677419457E-2</v>
      </c>
      <c r="O8" s="30">
        <f t="shared" si="16"/>
        <v>3.5705669481302715E-2</v>
      </c>
      <c r="P8" s="30">
        <f t="shared" si="16"/>
        <v>5.2882072977260774E-2</v>
      </c>
      <c r="Q8" s="30">
        <f t="shared" si="16"/>
        <v>4.4356955380577379E-2</v>
      </c>
      <c r="R8" s="30">
        <f t="shared" si="16"/>
        <v>-0.46458583433373346</v>
      </c>
      <c r="S8" s="30">
        <f t="shared" si="16"/>
        <v>-1.5839739110179329E-2</v>
      </c>
      <c r="T8" s="30">
        <f t="shared" si="16"/>
        <v>6.0271220492214006E-3</v>
      </c>
      <c r="U8" s="30">
        <f t="shared" si="16"/>
        <v>-0.10429756220155817</v>
      </c>
      <c r="V8" s="30">
        <f t="shared" si="16"/>
        <v>1.4143497757847534</v>
      </c>
      <c r="W8" s="30">
        <f t="shared" si="16"/>
        <v>0.15479289940828411</v>
      </c>
      <c r="X8" s="30">
        <f t="shared" si="16"/>
        <v>0.117573639540689</v>
      </c>
      <c r="Y8" s="30">
        <f t="shared" si="16"/>
        <v>8.9225589225589319E-2</v>
      </c>
      <c r="Z8" s="30">
        <f t="shared" si="16"/>
        <v>-4.9962852897474042E-2</v>
      </c>
      <c r="AA8" s="30">
        <f t="shared" si="16"/>
        <v>0.12932978069276491</v>
      </c>
      <c r="AB8" s="30">
        <f t="shared" ref="AB8" si="17">AB6/X6-1</f>
        <v>0.30221130221130221</v>
      </c>
      <c r="AC8" s="30">
        <f t="shared" ref="AC8" si="18">AC6/Y6-1</f>
        <v>0.26558475012879956</v>
      </c>
      <c r="AD8" s="30">
        <f t="shared" ref="AD8" si="19">AD6/Z6-1</f>
        <v>4.692082111436946E-2</v>
      </c>
      <c r="AE8" s="30">
        <f t="shared" ref="AE8" si="20">AE6/AA6-1</f>
        <v>-1.5789473684210575E-2</v>
      </c>
      <c r="AF8" s="30">
        <f t="shared" ref="AF8" si="21">AF6/AB6-1</f>
        <v>-3.5162950257289882E-2</v>
      </c>
      <c r="AG8" s="30">
        <f t="shared" ref="AG8" si="22">AG6/AC6-1</f>
        <v>-1.9999999999999907E-2</v>
      </c>
      <c r="AH8" s="30">
        <f t="shared" ref="AH8" si="23">AH6/AD6-1</f>
        <v>1.9999999999999796E-2</v>
      </c>
      <c r="AO8" s="30">
        <f>AO6/AN6-1</f>
        <v>-2.372502628811779E-2</v>
      </c>
      <c r="AP8" s="30">
        <f t="shared" ref="AP8:AS8" si="24">AP6/AO6-1</f>
        <v>7.0481319421070276E-2</v>
      </c>
      <c r="AQ8" s="30">
        <f t="shared" si="24"/>
        <v>-8.9171173437303519E-2</v>
      </c>
      <c r="AR8" s="30">
        <f t="shared" si="24"/>
        <v>0.18606738470035911</v>
      </c>
      <c r="AS8" s="30">
        <f t="shared" si="24"/>
        <v>6.8339251411607238E-2</v>
      </c>
      <c r="AT8" s="30">
        <f t="shared" ref="AT8" si="25">AT6/AS6-1</f>
        <v>0.17735520078461287</v>
      </c>
      <c r="AU8" s="30">
        <f t="shared" ref="AU8" si="26">AU6/AT6-1</f>
        <v>-1.310440577563865E-2</v>
      </c>
      <c r="AV8" s="30">
        <f t="shared" ref="AV8" si="27">AV6/AU6-1</f>
        <v>0.10000000000000009</v>
      </c>
      <c r="AW8" s="30">
        <f t="shared" ref="AW8" si="28">AW6/AV6-1</f>
        <v>0.10000000000000009</v>
      </c>
      <c r="AX8" s="30">
        <f t="shared" ref="AX8" si="29">AX6/AW6-1</f>
        <v>0.10000000000000009</v>
      </c>
    </row>
    <row r="9" spans="1:50" s="20" customFormat="1" x14ac:dyDescent="0.25">
      <c r="A9" s="1"/>
      <c r="B9" s="1"/>
      <c r="C9" s="14"/>
      <c r="D9" s="14"/>
      <c r="E9" s="14"/>
      <c r="F9" s="14"/>
      <c r="G9" s="14"/>
      <c r="H9" s="14"/>
      <c r="I9" s="14"/>
      <c r="J9" s="14"/>
      <c r="K9" s="14"/>
      <c r="L9" s="14"/>
      <c r="M9" s="14"/>
      <c r="N9" s="14"/>
      <c r="O9" s="14"/>
      <c r="P9" s="14"/>
      <c r="Q9" s="14"/>
      <c r="R9" s="14"/>
      <c r="S9" s="14"/>
      <c r="T9" s="14"/>
      <c r="U9" s="14"/>
      <c r="V9" s="14"/>
      <c r="W9" s="14"/>
      <c r="X9" s="14"/>
      <c r="Y9" s="14"/>
      <c r="Z9" s="14"/>
      <c r="AA9" s="31"/>
      <c r="AD9" s="14"/>
      <c r="AE9" s="14"/>
      <c r="AF9" s="14"/>
      <c r="AG9" s="36"/>
      <c r="AH9" s="36"/>
    </row>
    <row r="10" spans="1:50" s="20" customFormat="1" x14ac:dyDescent="0.25">
      <c r="A10" s="1"/>
      <c r="B10" s="26" t="s">
        <v>77</v>
      </c>
      <c r="C10" s="14">
        <v>1457</v>
      </c>
      <c r="D10" s="14">
        <v>1116</v>
      </c>
      <c r="E10" s="14">
        <v>1271</v>
      </c>
      <c r="F10" s="14">
        <v>1348</v>
      </c>
      <c r="G10" s="14">
        <v>1471</v>
      </c>
      <c r="H10" s="14">
        <v>1290</v>
      </c>
      <c r="I10" s="14">
        <v>1489</v>
      </c>
      <c r="J10" s="14">
        <v>1625</v>
      </c>
      <c r="K10" s="14">
        <v>1642</v>
      </c>
      <c r="L10" s="14">
        <v>1419</v>
      </c>
      <c r="M10" s="14">
        <v>1589</v>
      </c>
      <c r="N10" s="14">
        <v>1643</v>
      </c>
      <c r="O10" s="14">
        <v>1758</v>
      </c>
      <c r="P10" s="14">
        <v>1536</v>
      </c>
      <c r="Q10" s="14">
        <v>1711</v>
      </c>
      <c r="R10" s="14">
        <v>887</v>
      </c>
      <c r="S10" s="14">
        <v>1802</v>
      </c>
      <c r="T10" s="14">
        <v>1731</v>
      </c>
      <c r="U10" s="14">
        <v>1606</v>
      </c>
      <c r="V10" s="14">
        <v>1831</v>
      </c>
      <c r="W10" s="14">
        <v>1983</v>
      </c>
      <c r="X10" s="14">
        <v>1806</v>
      </c>
      <c r="Y10" s="14">
        <v>1569</v>
      </c>
      <c r="Z10" s="14">
        <v>2030</v>
      </c>
      <c r="AA10" s="31">
        <v>2012</v>
      </c>
      <c r="AB10" s="14">
        <v>2063</v>
      </c>
      <c r="AC10" s="14">
        <v>2011</v>
      </c>
      <c r="AD10" s="14">
        <v>2174</v>
      </c>
      <c r="AE10" s="14">
        <v>2260</v>
      </c>
      <c r="AF10" s="14">
        <v>2186</v>
      </c>
      <c r="AG10" s="14">
        <f t="shared" ref="AG10:AG12" si="30">AC10*0.98</f>
        <v>1970.78</v>
      </c>
      <c r="AH10" s="14">
        <f t="shared" ref="AH10:AH12" si="31">AD10*1.02</f>
        <v>2217.48</v>
      </c>
      <c r="AN10" s="14">
        <f t="shared" ref="AN10:AN12" si="32">SUM(C10:F10)</f>
        <v>5192</v>
      </c>
      <c r="AO10" s="14">
        <f t="shared" ref="AO10:AO12" si="33">SUM(G10:J10)</f>
        <v>5875</v>
      </c>
      <c r="AP10" s="14">
        <f t="shared" ref="AP10:AP12" si="34">SUM(K10:N10)</f>
        <v>6293</v>
      </c>
      <c r="AQ10" s="14">
        <f t="shared" ref="AQ10:AQ12" si="35">SUM(O10:R10)</f>
        <v>5892</v>
      </c>
      <c r="AR10" s="14">
        <f t="shared" ref="AR10:AR12" si="36">SUM(S10:V10)</f>
        <v>6970</v>
      </c>
      <c r="AS10" s="14">
        <f t="shared" ref="AS10:AS12" si="37">SUM(W10:Z10)</f>
        <v>7388</v>
      </c>
      <c r="AT10" s="14">
        <f t="shared" ref="AT10:AT12" si="38">SUM(AA10:AD10)</f>
        <v>8260</v>
      </c>
      <c r="AU10" s="14">
        <f t="shared" ref="AU10:AU12" si="39">SUM(AE10:AH10)</f>
        <v>8634.26</v>
      </c>
      <c r="AV10" s="14">
        <f t="shared" ref="AV10:AX10" si="40">AU10*1.05</f>
        <v>9065.973</v>
      </c>
      <c r="AW10" s="14">
        <f>AV10*1.05</f>
        <v>9519.2716500000006</v>
      </c>
      <c r="AX10" s="14">
        <f t="shared" si="40"/>
        <v>9995.2352325000011</v>
      </c>
    </row>
    <row r="11" spans="1:50" s="20" customFormat="1" x14ac:dyDescent="0.25">
      <c r="A11" s="1"/>
      <c r="B11" s="26" t="s">
        <v>78</v>
      </c>
      <c r="C11" s="14">
        <v>684</v>
      </c>
      <c r="D11" s="14">
        <v>588</v>
      </c>
      <c r="E11" s="14">
        <v>566</v>
      </c>
      <c r="F11" s="14">
        <v>557</v>
      </c>
      <c r="G11" s="14">
        <v>743</v>
      </c>
      <c r="H11" s="14">
        <v>743</v>
      </c>
      <c r="I11" s="14">
        <v>713</v>
      </c>
      <c r="J11" s="14">
        <v>741</v>
      </c>
      <c r="K11" s="14">
        <v>830</v>
      </c>
      <c r="L11" s="14">
        <v>794</v>
      </c>
      <c r="M11" s="14">
        <v>750</v>
      </c>
      <c r="N11" s="14">
        <v>713</v>
      </c>
      <c r="O11" s="14">
        <v>869</v>
      </c>
      <c r="P11" s="14">
        <v>897</v>
      </c>
      <c r="Q11" s="14">
        <v>889</v>
      </c>
      <c r="R11" s="14">
        <v>398</v>
      </c>
      <c r="S11" s="14">
        <v>971</v>
      </c>
      <c r="T11" s="14">
        <v>1104</v>
      </c>
      <c r="U11" s="14">
        <v>898</v>
      </c>
      <c r="V11" s="14">
        <v>1023</v>
      </c>
      <c r="W11" s="14">
        <v>1159</v>
      </c>
      <c r="X11" s="14">
        <v>1202</v>
      </c>
      <c r="Y11" s="14">
        <v>1083</v>
      </c>
      <c r="Z11" s="14">
        <v>1083</v>
      </c>
      <c r="AA11" s="31">
        <v>1153</v>
      </c>
      <c r="AB11" s="14">
        <v>1281</v>
      </c>
      <c r="AC11" s="14">
        <v>1094</v>
      </c>
      <c r="AD11" s="14">
        <v>1038</v>
      </c>
      <c r="AE11" s="14">
        <v>1137</v>
      </c>
      <c r="AF11" s="14">
        <v>1200</v>
      </c>
      <c r="AG11" s="14">
        <f t="shared" si="30"/>
        <v>1072.1199999999999</v>
      </c>
      <c r="AH11" s="14">
        <f t="shared" si="31"/>
        <v>1058.76</v>
      </c>
      <c r="AN11" s="14">
        <f t="shared" si="32"/>
        <v>2395</v>
      </c>
      <c r="AO11" s="14">
        <f t="shared" si="33"/>
        <v>2940</v>
      </c>
      <c r="AP11" s="14">
        <f t="shared" si="34"/>
        <v>3087</v>
      </c>
      <c r="AQ11" s="14">
        <f t="shared" si="35"/>
        <v>3053</v>
      </c>
      <c r="AR11" s="14">
        <f t="shared" si="36"/>
        <v>3996</v>
      </c>
      <c r="AS11" s="14">
        <f t="shared" si="37"/>
        <v>4527</v>
      </c>
      <c r="AT11" s="14">
        <f t="shared" si="38"/>
        <v>4566</v>
      </c>
      <c r="AU11" s="14">
        <f t="shared" si="39"/>
        <v>4467.88</v>
      </c>
      <c r="AV11" s="14">
        <f t="shared" ref="AV11:AX11" si="41">AU11*1.05</f>
        <v>4691.2740000000003</v>
      </c>
      <c r="AW11" s="14">
        <f t="shared" si="41"/>
        <v>4925.837700000001</v>
      </c>
      <c r="AX11" s="14">
        <f t="shared" si="41"/>
        <v>5172.1295850000015</v>
      </c>
    </row>
    <row r="12" spans="1:50" s="20" customFormat="1" x14ac:dyDescent="0.25">
      <c r="A12" s="1"/>
      <c r="B12" s="26" t="s">
        <v>79</v>
      </c>
      <c r="C12" s="14">
        <v>121</v>
      </c>
      <c r="D12" s="14">
        <v>88</v>
      </c>
      <c r="E12" s="14">
        <v>88</v>
      </c>
      <c r="F12" s="14">
        <v>86</v>
      </c>
      <c r="G12" s="14">
        <v>130</v>
      </c>
      <c r="H12" s="14">
        <v>100</v>
      </c>
      <c r="I12" s="14">
        <v>97</v>
      </c>
      <c r="J12" s="14">
        <v>100</v>
      </c>
      <c r="K12" s="14">
        <v>135</v>
      </c>
      <c r="L12" s="14">
        <v>100</v>
      </c>
      <c r="M12" s="14">
        <v>96</v>
      </c>
      <c r="N12" s="14">
        <v>101</v>
      </c>
      <c r="O12" s="14">
        <v>146</v>
      </c>
      <c r="P12" s="14">
        <v>104</v>
      </c>
      <c r="Q12" s="14">
        <v>109</v>
      </c>
      <c r="R12" s="14">
        <v>43</v>
      </c>
      <c r="S12" s="14">
        <v>137</v>
      </c>
      <c r="T12" s="14">
        <v>123</v>
      </c>
      <c r="U12" s="14">
        <v>105</v>
      </c>
      <c r="V12" s="14">
        <v>125</v>
      </c>
      <c r="W12" s="14">
        <v>165</v>
      </c>
      <c r="X12" s="14">
        <v>134</v>
      </c>
      <c r="Y12" s="14">
        <v>127</v>
      </c>
      <c r="Z12" s="14">
        <v>138</v>
      </c>
      <c r="AA12" s="31">
        <v>168</v>
      </c>
      <c r="AB12" s="14">
        <v>145</v>
      </c>
      <c r="AC12" s="14">
        <v>141</v>
      </c>
      <c r="AD12" s="14">
        <v>138</v>
      </c>
      <c r="AE12" s="14">
        <v>213</v>
      </c>
      <c r="AF12" s="14">
        <v>181</v>
      </c>
      <c r="AG12" s="14">
        <f t="shared" si="30"/>
        <v>138.18</v>
      </c>
      <c r="AH12" s="14">
        <f t="shared" si="31"/>
        <v>140.76</v>
      </c>
      <c r="AN12" s="14">
        <f t="shared" si="32"/>
        <v>383</v>
      </c>
      <c r="AO12" s="14">
        <f t="shared" si="33"/>
        <v>427</v>
      </c>
      <c r="AP12" s="14">
        <f t="shared" si="34"/>
        <v>432</v>
      </c>
      <c r="AQ12" s="14">
        <f t="shared" si="35"/>
        <v>402</v>
      </c>
      <c r="AR12" s="14">
        <f t="shared" si="36"/>
        <v>490</v>
      </c>
      <c r="AS12" s="14">
        <f t="shared" si="37"/>
        <v>564</v>
      </c>
      <c r="AT12" s="14">
        <f t="shared" si="38"/>
        <v>592</v>
      </c>
      <c r="AU12" s="14">
        <f t="shared" si="39"/>
        <v>672.94</v>
      </c>
      <c r="AV12" s="14">
        <f t="shared" ref="AV12:AX12" si="42">AU12*1.05</f>
        <v>706.5870000000001</v>
      </c>
      <c r="AW12" s="14">
        <f t="shared" si="42"/>
        <v>741.91635000000019</v>
      </c>
      <c r="AX12" s="14">
        <f t="shared" si="42"/>
        <v>779.01216750000026</v>
      </c>
    </row>
    <row r="13" spans="1:50" s="20" customFormat="1" x14ac:dyDescent="0.25">
      <c r="A13" s="1"/>
      <c r="B13" s="26" t="s">
        <v>80</v>
      </c>
      <c r="C13" s="14">
        <f t="shared" ref="C13:Y13" si="43">SUM(C10:C12)</f>
        <v>2262</v>
      </c>
      <c r="D13" s="14">
        <f t="shared" si="43"/>
        <v>1792</v>
      </c>
      <c r="E13" s="14">
        <f t="shared" si="43"/>
        <v>1925</v>
      </c>
      <c r="F13" s="14">
        <f t="shared" si="43"/>
        <v>1991</v>
      </c>
      <c r="G13" s="14">
        <f t="shared" si="43"/>
        <v>2344</v>
      </c>
      <c r="H13" s="14">
        <f t="shared" si="43"/>
        <v>2133</v>
      </c>
      <c r="I13" s="14">
        <f t="shared" si="43"/>
        <v>2299</v>
      </c>
      <c r="J13" s="14">
        <f t="shared" si="43"/>
        <v>2466</v>
      </c>
      <c r="K13" s="14">
        <f t="shared" si="43"/>
        <v>2607</v>
      </c>
      <c r="L13" s="14">
        <f t="shared" si="43"/>
        <v>2313</v>
      </c>
      <c r="M13" s="14">
        <f t="shared" si="43"/>
        <v>2435</v>
      </c>
      <c r="N13" s="14">
        <f t="shared" si="43"/>
        <v>2457</v>
      </c>
      <c r="O13" s="14">
        <f t="shared" si="43"/>
        <v>2773</v>
      </c>
      <c r="P13" s="14">
        <f t="shared" si="43"/>
        <v>2537</v>
      </c>
      <c r="Q13" s="14">
        <f t="shared" si="43"/>
        <v>2709</v>
      </c>
      <c r="R13" s="14">
        <f t="shared" si="43"/>
        <v>1328</v>
      </c>
      <c r="S13" s="14">
        <f t="shared" si="43"/>
        <v>2910</v>
      </c>
      <c r="T13" s="14">
        <f t="shared" si="43"/>
        <v>2958</v>
      </c>
      <c r="U13" s="14">
        <f t="shared" si="43"/>
        <v>2609</v>
      </c>
      <c r="V13" s="14">
        <f t="shared" si="43"/>
        <v>2979</v>
      </c>
      <c r="W13" s="14">
        <f t="shared" si="43"/>
        <v>3307</v>
      </c>
      <c r="X13" s="14">
        <f t="shared" si="43"/>
        <v>3142</v>
      </c>
      <c r="Y13" s="14">
        <f t="shared" si="43"/>
        <v>2779</v>
      </c>
      <c r="Z13" s="14">
        <f>SUM(Z10:Z12)</f>
        <v>3251</v>
      </c>
      <c r="AA13" s="14">
        <f t="shared" ref="AA13:AD13" si="44">SUM(AA10:AA12)</f>
        <v>3333</v>
      </c>
      <c r="AB13" s="14">
        <f t="shared" si="44"/>
        <v>3489</v>
      </c>
      <c r="AC13" s="14">
        <f t="shared" si="44"/>
        <v>3246</v>
      </c>
      <c r="AD13" s="14">
        <f t="shared" si="44"/>
        <v>3350</v>
      </c>
      <c r="AE13" s="14">
        <f t="shared" ref="AE13:AH13" si="45">SUM(AE10:AE12)</f>
        <v>3610</v>
      </c>
      <c r="AF13" s="14">
        <f t="shared" si="45"/>
        <v>3567</v>
      </c>
      <c r="AG13" s="14">
        <f t="shared" si="45"/>
        <v>3181.0799999999995</v>
      </c>
      <c r="AH13" s="14">
        <f t="shared" si="45"/>
        <v>3417</v>
      </c>
      <c r="AN13" s="14">
        <f t="shared" ref="AN13:AX13" si="46">SUM(AN10:AN12)</f>
        <v>7970</v>
      </c>
      <c r="AO13" s="14">
        <f t="shared" si="46"/>
        <v>9242</v>
      </c>
      <c r="AP13" s="14">
        <f t="shared" si="46"/>
        <v>9812</v>
      </c>
      <c r="AQ13" s="14">
        <f t="shared" si="46"/>
        <v>9347</v>
      </c>
      <c r="AR13" s="14">
        <f t="shared" si="46"/>
        <v>11456</v>
      </c>
      <c r="AS13" s="14">
        <f t="shared" si="46"/>
        <v>12479</v>
      </c>
      <c r="AT13" s="14">
        <f t="shared" si="46"/>
        <v>13418</v>
      </c>
      <c r="AU13" s="14">
        <f t="shared" si="46"/>
        <v>13775.08</v>
      </c>
      <c r="AV13" s="14">
        <f t="shared" si="46"/>
        <v>14463.833999999999</v>
      </c>
      <c r="AW13" s="14">
        <f t="shared" si="46"/>
        <v>15187.025700000002</v>
      </c>
      <c r="AX13" s="14">
        <f t="shared" si="46"/>
        <v>15946.376985000003</v>
      </c>
    </row>
    <row r="14" spans="1:50" s="20" customFormat="1" x14ac:dyDescent="0.25">
      <c r="A14" s="1"/>
      <c r="B14" s="26"/>
      <c r="C14" s="14"/>
      <c r="D14" s="14"/>
      <c r="E14" s="14"/>
      <c r="F14" s="14"/>
      <c r="G14" s="14"/>
      <c r="H14" s="14"/>
      <c r="I14" s="14"/>
      <c r="J14" s="14"/>
      <c r="K14" s="14"/>
      <c r="L14" s="14"/>
      <c r="M14" s="14"/>
      <c r="N14" s="14"/>
      <c r="O14" s="14"/>
      <c r="P14" s="14"/>
      <c r="Q14" s="14"/>
      <c r="R14" s="14"/>
      <c r="S14" s="14"/>
      <c r="T14" s="14"/>
      <c r="U14" s="14"/>
      <c r="V14" s="14"/>
      <c r="W14" s="14"/>
      <c r="X14" s="14"/>
      <c r="Y14" s="14"/>
      <c r="Z14" s="14"/>
      <c r="AA14" s="31"/>
      <c r="AB14" s="31"/>
      <c r="AC14" s="31"/>
      <c r="AD14" s="31"/>
      <c r="AE14" s="31"/>
      <c r="AF14" s="31"/>
      <c r="AG14" s="37"/>
      <c r="AH14" s="37"/>
      <c r="AN14" s="14"/>
      <c r="AO14" s="14"/>
      <c r="AP14" s="14"/>
      <c r="AQ14" s="14"/>
      <c r="AR14" s="14"/>
      <c r="AS14" s="14"/>
    </row>
    <row r="15" spans="1:50" s="29" customFormat="1" ht="14.4" x14ac:dyDescent="0.3">
      <c r="A15" s="27"/>
      <c r="B15" s="27" t="s">
        <v>94</v>
      </c>
      <c r="C15" s="28"/>
      <c r="D15" s="28"/>
      <c r="E15" s="28"/>
      <c r="F15" s="28"/>
      <c r="G15" s="30">
        <f>G13/C13-1</f>
        <v>3.6251105216622559E-2</v>
      </c>
      <c r="H15" s="30">
        <f t="shared" ref="H15:W15" si="47">H13/D13-1</f>
        <v>0.1902901785714286</v>
      </c>
      <c r="I15" s="30">
        <f t="shared" si="47"/>
        <v>0.19428571428571439</v>
      </c>
      <c r="J15" s="30">
        <f t="shared" si="47"/>
        <v>0.23857358111501759</v>
      </c>
      <c r="K15" s="30">
        <f t="shared" si="47"/>
        <v>0.1122013651877134</v>
      </c>
      <c r="L15" s="30">
        <f t="shared" si="47"/>
        <v>8.4388185654008518E-2</v>
      </c>
      <c r="M15" s="30">
        <f t="shared" si="47"/>
        <v>5.9156154849934861E-2</v>
      </c>
      <c r="N15" s="30">
        <f t="shared" si="47"/>
        <v>-3.6496350364964014E-3</v>
      </c>
      <c r="O15" s="30">
        <f t="shared" si="47"/>
        <v>6.3674721902569953E-2</v>
      </c>
      <c r="P15" s="30">
        <f t="shared" si="47"/>
        <v>9.6843925637700057E-2</v>
      </c>
      <c r="Q15" s="30">
        <f t="shared" si="47"/>
        <v>0.11252566735112945</v>
      </c>
      <c r="R15" s="30">
        <f t="shared" si="47"/>
        <v>-0.4595034595034595</v>
      </c>
      <c r="S15" s="30">
        <f t="shared" si="47"/>
        <v>4.9404976559682678E-2</v>
      </c>
      <c r="T15" s="30">
        <f t="shared" si="47"/>
        <v>0.16594402837997646</v>
      </c>
      <c r="U15" s="30">
        <f t="shared" si="47"/>
        <v>-3.691399040236254E-2</v>
      </c>
      <c r="V15" s="30">
        <f t="shared" si="47"/>
        <v>1.2432228915662651</v>
      </c>
      <c r="W15" s="30">
        <f t="shared" si="47"/>
        <v>0.13642611683848793</v>
      </c>
      <c r="X15" s="30">
        <f t="shared" ref="X15" si="48">X13/T13-1</f>
        <v>6.2204192021636295E-2</v>
      </c>
      <c r="Y15" s="30">
        <f t="shared" ref="Y15" si="49">Y13/U13-1</f>
        <v>6.5159064775776265E-2</v>
      </c>
      <c r="Z15" s="30">
        <f t="shared" ref="Z15" si="50">Z13/V13-1</f>
        <v>9.1305807317891841E-2</v>
      </c>
      <c r="AA15" s="30">
        <f t="shared" ref="AA15" si="51">AA13/W13-1</f>
        <v>7.8621106743272939E-3</v>
      </c>
      <c r="AB15" s="30">
        <f t="shared" ref="AB15" si="52">AB13/X13-1</f>
        <v>0.11043921069382567</v>
      </c>
      <c r="AC15" s="30">
        <f t="shared" ref="AC15" si="53">AC13/Y13-1</f>
        <v>0.16804605973371722</v>
      </c>
      <c r="AD15" s="30">
        <f t="shared" ref="AD15" si="54">AD13/Z13-1</f>
        <v>3.0452168563518844E-2</v>
      </c>
      <c r="AE15" s="30">
        <f t="shared" ref="AE15" si="55">AE13/AA13-1</f>
        <v>8.3108310831083054E-2</v>
      </c>
      <c r="AF15" s="30">
        <f t="shared" ref="AF15" si="56">AF13/AB13-1</f>
        <v>2.2355975924333693E-2</v>
      </c>
      <c r="AG15" s="30">
        <f t="shared" ref="AG15" si="57">AG13/AC13-1</f>
        <v>-2.0000000000000129E-2</v>
      </c>
      <c r="AH15" s="30">
        <f t="shared" ref="AH15" si="58">AH13/AD13-1</f>
        <v>2.0000000000000018E-2</v>
      </c>
      <c r="AN15" s="28"/>
      <c r="AO15" s="30">
        <f>AO13/AN13-1</f>
        <v>0.15959849435382689</v>
      </c>
      <c r="AP15" s="30">
        <f t="shared" ref="AP15:AS15" si="59">AP13/AO13-1</f>
        <v>6.1674962129409261E-2</v>
      </c>
      <c r="AQ15" s="30">
        <f t="shared" si="59"/>
        <v>-4.7390949857317621E-2</v>
      </c>
      <c r="AR15" s="30">
        <f t="shared" si="59"/>
        <v>0.22563389322777372</v>
      </c>
      <c r="AS15" s="30">
        <f t="shared" si="59"/>
        <v>8.9298184357541999E-2</v>
      </c>
      <c r="AT15" s="30">
        <f t="shared" ref="AT15" si="60">AT13/AS13-1</f>
        <v>7.524641397547871E-2</v>
      </c>
      <c r="AU15" s="30">
        <f t="shared" ref="AU15" si="61">AU13/AT13-1</f>
        <v>2.6612013712922877E-2</v>
      </c>
      <c r="AV15" s="30">
        <f t="shared" ref="AV15" si="62">AV13/AU13-1</f>
        <v>4.9999999999999822E-2</v>
      </c>
      <c r="AW15" s="30">
        <f t="shared" ref="AW15" si="63">AW13/AV13-1</f>
        <v>5.0000000000000266E-2</v>
      </c>
      <c r="AX15" s="30">
        <f t="shared" ref="AX15" si="64">AX13/AW13-1</f>
        <v>5.0000000000000044E-2</v>
      </c>
    </row>
    <row r="16" spans="1:50" s="20" customFormat="1" x14ac:dyDescent="0.25">
      <c r="A16" s="1"/>
      <c r="B16" s="26"/>
      <c r="C16" s="14"/>
      <c r="D16" s="14"/>
      <c r="E16" s="14"/>
      <c r="F16" s="14"/>
      <c r="G16" s="14"/>
      <c r="H16" s="14"/>
      <c r="I16" s="14"/>
      <c r="J16" s="14"/>
      <c r="K16" s="14"/>
      <c r="L16" s="14"/>
      <c r="M16" s="14"/>
      <c r="N16" s="14"/>
      <c r="O16" s="14"/>
      <c r="P16" s="14"/>
      <c r="Q16" s="14"/>
      <c r="R16" s="14"/>
      <c r="S16" s="14"/>
      <c r="T16" s="14"/>
      <c r="U16" s="14"/>
      <c r="V16" s="14"/>
      <c r="W16" s="14"/>
      <c r="X16" s="14"/>
      <c r="Y16" s="14"/>
      <c r="Z16" s="14"/>
      <c r="AA16" s="31"/>
      <c r="AD16" s="14"/>
      <c r="AE16" s="14"/>
      <c r="AF16" s="14"/>
      <c r="AG16" s="36"/>
      <c r="AH16" s="36"/>
    </row>
    <row r="17" spans="1:50" s="20" customFormat="1" x14ac:dyDescent="0.25">
      <c r="A17" s="1"/>
      <c r="B17" s="26" t="s">
        <v>81</v>
      </c>
      <c r="C17" s="14">
        <v>710</v>
      </c>
      <c r="D17" s="14">
        <v>669</v>
      </c>
      <c r="E17" s="14">
        <v>776</v>
      </c>
      <c r="F17" s="14">
        <v>765</v>
      </c>
      <c r="G17" s="14">
        <v>761</v>
      </c>
      <c r="H17" s="14">
        <v>793</v>
      </c>
      <c r="I17" s="14">
        <v>939</v>
      </c>
      <c r="J17" s="14">
        <v>1003</v>
      </c>
      <c r="K17" s="14">
        <v>958</v>
      </c>
      <c r="L17" s="14">
        <v>1022</v>
      </c>
      <c r="M17" s="14">
        <v>1115</v>
      </c>
      <c r="N17" s="14">
        <v>1167</v>
      </c>
      <c r="O17" s="14">
        <v>1164</v>
      </c>
      <c r="P17" s="14">
        <v>1247</v>
      </c>
      <c r="Q17" s="14">
        <v>1075</v>
      </c>
      <c r="R17" s="14">
        <v>1149</v>
      </c>
      <c r="S17" s="14">
        <v>1251</v>
      </c>
      <c r="T17" s="14">
        <v>1567</v>
      </c>
      <c r="U17" s="14">
        <v>1614</v>
      </c>
      <c r="V17" s="14">
        <v>1316</v>
      </c>
      <c r="W17" s="14">
        <v>1449</v>
      </c>
      <c r="X17" s="14">
        <v>1235</v>
      </c>
      <c r="Y17" s="14">
        <v>1554</v>
      </c>
      <c r="Z17" s="14">
        <v>1178</v>
      </c>
      <c r="AA17" s="31">
        <v>1233</v>
      </c>
      <c r="AB17" s="14">
        <v>1370</v>
      </c>
      <c r="AC17" s="14">
        <v>1496</v>
      </c>
      <c r="AD17" s="14">
        <v>1336</v>
      </c>
      <c r="AE17" s="14">
        <v>1287</v>
      </c>
      <c r="AF17" s="14">
        <v>1361</v>
      </c>
      <c r="AG17" s="14">
        <f t="shared" ref="AG17:AG19" si="65">AC17*0.98</f>
        <v>1466.08</v>
      </c>
      <c r="AH17" s="14">
        <f t="shared" ref="AH17:AH19" si="66">AD17*1.02</f>
        <v>1362.72</v>
      </c>
      <c r="AN17" s="14">
        <f t="shared" ref="AN17:AN19" si="67">SUM(C17:F17)</f>
        <v>2920</v>
      </c>
      <c r="AO17" s="14">
        <f t="shared" ref="AO17:AO19" si="68">SUM(G17:J17)</f>
        <v>3496</v>
      </c>
      <c r="AP17" s="14">
        <f t="shared" ref="AP17:AP19" si="69">SUM(K17:N17)</f>
        <v>4262</v>
      </c>
      <c r="AQ17" s="14">
        <f t="shared" ref="AQ17:AQ19" si="70">SUM(O17:R17)</f>
        <v>4635</v>
      </c>
      <c r="AR17" s="14">
        <f t="shared" ref="AR17:AR19" si="71">SUM(S17:V17)</f>
        <v>5748</v>
      </c>
      <c r="AS17" s="14">
        <f t="shared" ref="AS17:AS19" si="72">SUM(W17:Z17)</f>
        <v>5416</v>
      </c>
      <c r="AT17" s="14">
        <f t="shared" ref="AT17:AT19" si="73">SUM(AA17:AD17)</f>
        <v>5435</v>
      </c>
      <c r="AU17" s="14">
        <f t="shared" ref="AU17:AU19" si="74">SUM(AE17:AH17)</f>
        <v>5476.8</v>
      </c>
      <c r="AV17" s="14">
        <f t="shared" ref="AV17:AX17" si="75">AU17*1.05</f>
        <v>5750.64</v>
      </c>
      <c r="AW17" s="14">
        <f t="shared" si="75"/>
        <v>6038.1720000000005</v>
      </c>
      <c r="AX17" s="14">
        <f t="shared" si="75"/>
        <v>6340.0806000000011</v>
      </c>
    </row>
    <row r="18" spans="1:50" s="20" customFormat="1" x14ac:dyDescent="0.25">
      <c r="A18" s="1"/>
      <c r="B18" s="26" t="s">
        <v>82</v>
      </c>
      <c r="C18" s="14">
        <v>269</v>
      </c>
      <c r="D18" s="14">
        <v>355</v>
      </c>
      <c r="E18" s="14">
        <v>271</v>
      </c>
      <c r="F18" s="14">
        <v>293</v>
      </c>
      <c r="G18" s="14">
        <v>309</v>
      </c>
      <c r="H18" s="14">
        <v>397</v>
      </c>
      <c r="I18" s="14">
        <v>368</v>
      </c>
      <c r="J18" s="14">
        <v>434</v>
      </c>
      <c r="K18" s="14">
        <v>380</v>
      </c>
      <c r="L18" s="14">
        <v>490</v>
      </c>
      <c r="M18" s="14">
        <v>444</v>
      </c>
      <c r="N18" s="14">
        <v>494</v>
      </c>
      <c r="O18" s="14">
        <v>465</v>
      </c>
      <c r="P18" s="14">
        <v>563</v>
      </c>
      <c r="Q18" s="14">
        <v>400</v>
      </c>
      <c r="R18" s="14">
        <v>468</v>
      </c>
      <c r="S18" s="14">
        <v>478</v>
      </c>
      <c r="T18" s="14">
        <v>681</v>
      </c>
      <c r="U18" s="14">
        <v>616</v>
      </c>
      <c r="V18" s="14">
        <v>572</v>
      </c>
      <c r="W18" s="14">
        <v>476</v>
      </c>
      <c r="X18" s="14">
        <v>564</v>
      </c>
      <c r="Y18" s="14">
        <v>548</v>
      </c>
      <c r="Z18" s="14">
        <v>350</v>
      </c>
      <c r="AA18" s="31">
        <v>374</v>
      </c>
      <c r="AB18" s="14">
        <v>393</v>
      </c>
      <c r="AC18" s="14">
        <v>461</v>
      </c>
      <c r="AD18" s="14">
        <v>438</v>
      </c>
      <c r="AE18" s="14">
        <v>401</v>
      </c>
      <c r="AF18" s="14">
        <v>469</v>
      </c>
      <c r="AG18" s="14">
        <f t="shared" si="65"/>
        <v>451.78</v>
      </c>
      <c r="AH18" s="14">
        <f t="shared" si="66"/>
        <v>446.76</v>
      </c>
      <c r="AN18" s="14">
        <f t="shared" si="67"/>
        <v>1188</v>
      </c>
      <c r="AO18" s="14">
        <f t="shared" si="68"/>
        <v>1508</v>
      </c>
      <c r="AP18" s="14">
        <f t="shared" si="69"/>
        <v>1808</v>
      </c>
      <c r="AQ18" s="14">
        <f t="shared" si="70"/>
        <v>1896</v>
      </c>
      <c r="AR18" s="14">
        <f t="shared" si="71"/>
        <v>2347</v>
      </c>
      <c r="AS18" s="14">
        <f t="shared" si="72"/>
        <v>1938</v>
      </c>
      <c r="AT18" s="14">
        <f t="shared" si="73"/>
        <v>1666</v>
      </c>
      <c r="AU18" s="14">
        <f t="shared" si="74"/>
        <v>1768.54</v>
      </c>
      <c r="AV18" s="14">
        <f t="shared" ref="AV18:AX18" si="76">AU18*1.05</f>
        <v>1856.9670000000001</v>
      </c>
      <c r="AW18" s="14">
        <f t="shared" si="76"/>
        <v>1949.8153500000001</v>
      </c>
      <c r="AX18" s="14">
        <f t="shared" si="76"/>
        <v>2047.3061175000003</v>
      </c>
    </row>
    <row r="19" spans="1:50" s="20" customFormat="1" x14ac:dyDescent="0.25">
      <c r="A19" s="1"/>
      <c r="B19" s="26" t="s">
        <v>83</v>
      </c>
      <c r="C19" s="14">
        <v>41</v>
      </c>
      <c r="D19" s="14">
        <v>31</v>
      </c>
      <c r="E19" s="14">
        <v>28</v>
      </c>
      <c r="F19" s="14">
        <v>29</v>
      </c>
      <c r="G19" s="14">
        <v>38</v>
      </c>
      <c r="H19" s="14">
        <v>32</v>
      </c>
      <c r="I19" s="14">
        <v>29</v>
      </c>
      <c r="J19" s="14">
        <v>31</v>
      </c>
      <c r="K19" s="14">
        <v>41</v>
      </c>
      <c r="L19" s="14">
        <v>32</v>
      </c>
      <c r="M19" s="14">
        <v>29</v>
      </c>
      <c r="N19" s="14">
        <v>36</v>
      </c>
      <c r="O19" s="14">
        <v>50</v>
      </c>
      <c r="P19" s="14">
        <v>37</v>
      </c>
      <c r="Q19" s="14">
        <v>31</v>
      </c>
      <c r="R19" s="14">
        <v>30</v>
      </c>
      <c r="S19" s="14">
        <v>51</v>
      </c>
      <c r="T19" s="14">
        <v>50</v>
      </c>
      <c r="U19" s="14">
        <v>49</v>
      </c>
      <c r="V19" s="14">
        <v>45</v>
      </c>
      <c r="W19" s="14">
        <v>57</v>
      </c>
      <c r="X19" s="14">
        <v>45</v>
      </c>
      <c r="Y19" s="14">
        <v>58</v>
      </c>
      <c r="Z19" s="14">
        <v>33</v>
      </c>
      <c r="AA19" s="31">
        <v>49</v>
      </c>
      <c r="AB19" s="14">
        <v>25</v>
      </c>
      <c r="AC19" s="14">
        <v>37</v>
      </c>
      <c r="AD19" s="14">
        <v>36</v>
      </c>
      <c r="AE19" s="14">
        <v>47</v>
      </c>
      <c r="AF19" s="14">
        <v>33</v>
      </c>
      <c r="AG19" s="14">
        <f t="shared" si="65"/>
        <v>36.26</v>
      </c>
      <c r="AH19" s="14">
        <f t="shared" si="66"/>
        <v>36.72</v>
      </c>
      <c r="AN19" s="14">
        <f t="shared" si="67"/>
        <v>129</v>
      </c>
      <c r="AO19" s="14">
        <f t="shared" si="68"/>
        <v>130</v>
      </c>
      <c r="AP19" s="14">
        <f t="shared" si="69"/>
        <v>138</v>
      </c>
      <c r="AQ19" s="14">
        <f t="shared" si="70"/>
        <v>148</v>
      </c>
      <c r="AR19" s="14">
        <f t="shared" si="71"/>
        <v>195</v>
      </c>
      <c r="AS19" s="14">
        <f t="shared" si="72"/>
        <v>193</v>
      </c>
      <c r="AT19" s="14">
        <f t="shared" si="73"/>
        <v>147</v>
      </c>
      <c r="AU19" s="14">
        <f t="shared" si="74"/>
        <v>152.97999999999999</v>
      </c>
      <c r="AV19" s="14">
        <f t="shared" ref="AV19:AX19" si="77">AU19*1.05</f>
        <v>160.62899999999999</v>
      </c>
      <c r="AW19" s="14">
        <f t="shared" si="77"/>
        <v>168.66045</v>
      </c>
      <c r="AX19" s="14">
        <f t="shared" si="77"/>
        <v>177.09347250000002</v>
      </c>
    </row>
    <row r="20" spans="1:50" s="20" customFormat="1" x14ac:dyDescent="0.25">
      <c r="A20" s="1"/>
      <c r="B20" s="26" t="s">
        <v>84</v>
      </c>
      <c r="C20" s="14">
        <f t="shared" ref="C20:Y20" si="78">SUM(C17:C19)</f>
        <v>1020</v>
      </c>
      <c r="D20" s="14">
        <f t="shared" si="78"/>
        <v>1055</v>
      </c>
      <c r="E20" s="14">
        <f t="shared" si="78"/>
        <v>1075</v>
      </c>
      <c r="F20" s="14">
        <f t="shared" si="78"/>
        <v>1087</v>
      </c>
      <c r="G20" s="14">
        <f t="shared" si="78"/>
        <v>1108</v>
      </c>
      <c r="H20" s="14">
        <f t="shared" si="78"/>
        <v>1222</v>
      </c>
      <c r="I20" s="14">
        <f t="shared" si="78"/>
        <v>1336</v>
      </c>
      <c r="J20" s="14">
        <f t="shared" si="78"/>
        <v>1468</v>
      </c>
      <c r="K20" s="14">
        <f t="shared" si="78"/>
        <v>1379</v>
      </c>
      <c r="L20" s="14">
        <f t="shared" si="78"/>
        <v>1544</v>
      </c>
      <c r="M20" s="14">
        <f t="shared" si="78"/>
        <v>1588</v>
      </c>
      <c r="N20" s="14">
        <f t="shared" si="78"/>
        <v>1697</v>
      </c>
      <c r="O20" s="14">
        <f t="shared" si="78"/>
        <v>1679</v>
      </c>
      <c r="P20" s="14">
        <f t="shared" si="78"/>
        <v>1847</v>
      </c>
      <c r="Q20" s="14">
        <f t="shared" si="78"/>
        <v>1506</v>
      </c>
      <c r="R20" s="14">
        <f t="shared" si="78"/>
        <v>1647</v>
      </c>
      <c r="S20" s="14">
        <f t="shared" si="78"/>
        <v>1780</v>
      </c>
      <c r="T20" s="14">
        <f t="shared" si="78"/>
        <v>2298</v>
      </c>
      <c r="U20" s="14">
        <f t="shared" si="78"/>
        <v>2279</v>
      </c>
      <c r="V20" s="14">
        <f t="shared" si="78"/>
        <v>1933</v>
      </c>
      <c r="W20" s="14">
        <f t="shared" si="78"/>
        <v>1982</v>
      </c>
      <c r="X20" s="14">
        <f t="shared" si="78"/>
        <v>1844</v>
      </c>
      <c r="Y20" s="14">
        <f t="shared" si="78"/>
        <v>2160</v>
      </c>
      <c r="Z20" s="14">
        <f>SUM(Z17:Z19)</f>
        <v>1561</v>
      </c>
      <c r="AA20" s="14">
        <f>SUM(AA17:AA19)</f>
        <v>1656</v>
      </c>
      <c r="AB20" s="14">
        <f t="shared" ref="AB20:AD20" si="79">SUM(AB17:AB19)</f>
        <v>1788</v>
      </c>
      <c r="AC20" s="14">
        <f t="shared" si="79"/>
        <v>1994</v>
      </c>
      <c r="AD20" s="14">
        <f t="shared" si="79"/>
        <v>1810</v>
      </c>
      <c r="AE20" s="14">
        <f t="shared" ref="AE20:AH20" si="80">SUM(AE17:AE19)</f>
        <v>1735</v>
      </c>
      <c r="AF20" s="14">
        <f t="shared" si="80"/>
        <v>1863</v>
      </c>
      <c r="AG20" s="14">
        <f t="shared" si="80"/>
        <v>1954.12</v>
      </c>
      <c r="AH20" s="14">
        <f t="shared" si="80"/>
        <v>1846.2</v>
      </c>
      <c r="AN20" s="14">
        <f t="shared" ref="AN20:AX20" si="81">SUM(AN17:AN19)</f>
        <v>4237</v>
      </c>
      <c r="AO20" s="14">
        <f t="shared" si="81"/>
        <v>5134</v>
      </c>
      <c r="AP20" s="14">
        <f t="shared" si="81"/>
        <v>6208</v>
      </c>
      <c r="AQ20" s="14">
        <f t="shared" si="81"/>
        <v>6679</v>
      </c>
      <c r="AR20" s="14">
        <f t="shared" si="81"/>
        <v>8290</v>
      </c>
      <c r="AS20" s="14">
        <f t="shared" si="81"/>
        <v>7547</v>
      </c>
      <c r="AT20" s="14">
        <f t="shared" si="81"/>
        <v>7248</v>
      </c>
      <c r="AU20" s="14">
        <f t="shared" si="81"/>
        <v>7398.32</v>
      </c>
      <c r="AV20" s="14">
        <f t="shared" si="81"/>
        <v>7768.2359999999999</v>
      </c>
      <c r="AW20" s="14">
        <f t="shared" si="81"/>
        <v>8156.6478000000006</v>
      </c>
      <c r="AX20" s="14">
        <f t="shared" si="81"/>
        <v>8564.480190000002</v>
      </c>
    </row>
    <row r="21" spans="1:50" s="20" customFormat="1" x14ac:dyDescent="0.25">
      <c r="A21" s="1"/>
      <c r="B21" s="26"/>
      <c r="C21" s="14"/>
      <c r="D21" s="14"/>
      <c r="E21" s="14"/>
      <c r="F21" s="14"/>
      <c r="G21" s="14"/>
      <c r="H21" s="14"/>
      <c r="I21" s="14"/>
      <c r="J21" s="14"/>
      <c r="K21" s="14"/>
      <c r="L21" s="14"/>
      <c r="M21" s="14"/>
      <c r="N21" s="14"/>
      <c r="O21" s="14"/>
      <c r="P21" s="14"/>
      <c r="Q21" s="14"/>
      <c r="R21" s="14"/>
      <c r="S21" s="14"/>
      <c r="T21" s="14"/>
      <c r="U21" s="14"/>
      <c r="V21" s="14"/>
      <c r="W21" s="14"/>
      <c r="X21" s="14"/>
      <c r="Y21" s="14"/>
      <c r="Z21" s="14"/>
      <c r="AA21" s="31"/>
      <c r="AB21" s="31"/>
      <c r="AC21" s="31"/>
      <c r="AD21" s="31"/>
      <c r="AE21" s="31"/>
      <c r="AF21" s="31"/>
      <c r="AG21" s="37"/>
      <c r="AH21" s="37"/>
      <c r="AN21" s="14"/>
      <c r="AO21" s="14"/>
      <c r="AP21" s="14"/>
      <c r="AQ21" s="14"/>
      <c r="AR21" s="14"/>
      <c r="AS21" s="14"/>
    </row>
    <row r="22" spans="1:50" s="29" customFormat="1" ht="14.4" x14ac:dyDescent="0.3">
      <c r="A22" s="27"/>
      <c r="B22" s="27" t="s">
        <v>95</v>
      </c>
      <c r="C22" s="28"/>
      <c r="D22" s="28"/>
      <c r="E22" s="28"/>
      <c r="F22" s="28"/>
      <c r="G22" s="30">
        <f>G20/C20-1</f>
        <v>8.6274509803921484E-2</v>
      </c>
      <c r="H22" s="30">
        <f t="shared" ref="H22:Z22" si="82">H20/D20-1</f>
        <v>0.15829383886255921</v>
      </c>
      <c r="I22" s="30">
        <f t="shared" si="82"/>
        <v>0.24279069767441852</v>
      </c>
      <c r="J22" s="30">
        <f t="shared" si="82"/>
        <v>0.35050597976080966</v>
      </c>
      <c r="K22" s="30">
        <f t="shared" si="82"/>
        <v>0.24458483754512628</v>
      </c>
      <c r="L22" s="30">
        <f t="shared" si="82"/>
        <v>0.26350245499181679</v>
      </c>
      <c r="M22" s="30">
        <f t="shared" si="82"/>
        <v>0.18862275449101795</v>
      </c>
      <c r="N22" s="30">
        <f t="shared" si="82"/>
        <v>0.15599455040871946</v>
      </c>
      <c r="O22" s="30">
        <f t="shared" si="82"/>
        <v>0.21754894851341544</v>
      </c>
      <c r="P22" s="30">
        <f t="shared" si="82"/>
        <v>0.19624352331606221</v>
      </c>
      <c r="Q22" s="30">
        <f t="shared" si="82"/>
        <v>-5.1637279596977281E-2</v>
      </c>
      <c r="R22" s="30">
        <f t="shared" si="82"/>
        <v>-2.9463759575721893E-2</v>
      </c>
      <c r="S22" s="30">
        <f t="shared" si="82"/>
        <v>6.0154854079809361E-2</v>
      </c>
      <c r="T22" s="30">
        <f t="shared" si="82"/>
        <v>0.24417975094748234</v>
      </c>
      <c r="U22" s="30">
        <f t="shared" si="82"/>
        <v>0.51328021248339972</v>
      </c>
      <c r="V22" s="30">
        <f t="shared" si="82"/>
        <v>0.17364905889496063</v>
      </c>
      <c r="W22" s="30">
        <f t="shared" si="82"/>
        <v>0.11348314606741572</v>
      </c>
      <c r="X22" s="30">
        <f t="shared" si="82"/>
        <v>-0.19756309834638819</v>
      </c>
      <c r="Y22" s="30">
        <f t="shared" si="82"/>
        <v>-5.2215884159719228E-2</v>
      </c>
      <c r="Z22" s="30">
        <f t="shared" si="82"/>
        <v>-0.19244697361614072</v>
      </c>
      <c r="AA22" s="30">
        <f>AA20/W20-1</f>
        <v>-0.16448032290615544</v>
      </c>
      <c r="AB22" s="30">
        <f t="shared" ref="AB22" si="83">AB20/X20-1</f>
        <v>-3.0368763557483747E-2</v>
      </c>
      <c r="AC22" s="30">
        <f t="shared" ref="AC22" si="84">AC20/Y20-1</f>
        <v>-7.6851851851851838E-2</v>
      </c>
      <c r="AD22" s="30">
        <f t="shared" ref="AD22" si="85">AD20/Z20-1</f>
        <v>0.15951313260730293</v>
      </c>
      <c r="AE22" s="30">
        <f t="shared" ref="AE22" si="86">AE20/AA20-1</f>
        <v>4.7705314009661937E-2</v>
      </c>
      <c r="AF22" s="30">
        <f t="shared" ref="AF22" si="87">AF20/AB20-1</f>
        <v>4.1946308724832182E-2</v>
      </c>
      <c r="AG22" s="30">
        <f t="shared" ref="AG22" si="88">AG20/AC20-1</f>
        <v>-2.0000000000000018E-2</v>
      </c>
      <c r="AH22" s="30">
        <f t="shared" ref="AH22" si="89">AH20/AD20-1</f>
        <v>2.0000000000000018E-2</v>
      </c>
      <c r="AN22" s="28"/>
      <c r="AO22" s="30">
        <f>AO20/AN20-1</f>
        <v>0.21170639603493036</v>
      </c>
      <c r="AP22" s="30">
        <f t="shared" ref="AP22:AS22" si="90">AP20/AO20-1</f>
        <v>0.20919361121932223</v>
      </c>
      <c r="AQ22" s="30">
        <f t="shared" si="90"/>
        <v>7.5869845360824639E-2</v>
      </c>
      <c r="AR22" s="30">
        <f t="shared" si="90"/>
        <v>0.24120377301991325</v>
      </c>
      <c r="AS22" s="30">
        <f t="shared" si="90"/>
        <v>-8.9626055488540413E-2</v>
      </c>
      <c r="AT22" s="30">
        <f t="shared" ref="AT22" si="91">AT20/AS20-1</f>
        <v>-3.9618391413806853E-2</v>
      </c>
      <c r="AU22" s="30">
        <f t="shared" ref="AU22" si="92">AU20/AT20-1</f>
        <v>2.0739514348785848E-2</v>
      </c>
      <c r="AV22" s="30">
        <f t="shared" ref="AV22" si="93">AV20/AU20-1</f>
        <v>5.0000000000000044E-2</v>
      </c>
      <c r="AW22" s="30">
        <f t="shared" ref="AW22" si="94">AW20/AV20-1</f>
        <v>5.0000000000000044E-2</v>
      </c>
      <c r="AX22" s="30">
        <f t="shared" ref="AX22" si="95">AX20/AW20-1</f>
        <v>5.0000000000000266E-2</v>
      </c>
    </row>
    <row r="23" spans="1:50" s="20" customFormat="1" x14ac:dyDescent="0.25">
      <c r="A23" s="1"/>
      <c r="B23" s="26"/>
      <c r="C23" s="14"/>
      <c r="D23" s="14"/>
      <c r="E23" s="14"/>
      <c r="F23" s="14"/>
      <c r="G23" s="14"/>
      <c r="H23" s="14"/>
      <c r="I23" s="14"/>
      <c r="J23" s="14"/>
      <c r="K23" s="14"/>
      <c r="L23" s="14"/>
      <c r="M23" s="14"/>
      <c r="N23" s="14"/>
      <c r="O23" s="14"/>
      <c r="P23" s="14"/>
      <c r="Q23" s="14"/>
      <c r="R23" s="14"/>
      <c r="S23" s="14"/>
      <c r="T23" s="14"/>
      <c r="U23" s="14"/>
      <c r="V23" s="14"/>
      <c r="W23" s="14"/>
      <c r="X23" s="14"/>
      <c r="Y23" s="14"/>
      <c r="Z23" s="14"/>
      <c r="AA23" s="31"/>
      <c r="AD23" s="14"/>
      <c r="AE23" s="14"/>
      <c r="AF23" s="14"/>
      <c r="AG23" s="36"/>
      <c r="AH23" s="36"/>
    </row>
    <row r="24" spans="1:50" s="20" customFormat="1" x14ac:dyDescent="0.25">
      <c r="A24" s="1"/>
      <c r="B24" s="26" t="s">
        <v>85</v>
      </c>
      <c r="C24" s="14">
        <v>787</v>
      </c>
      <c r="D24" s="14">
        <v>818</v>
      </c>
      <c r="E24" s="14">
        <v>777</v>
      </c>
      <c r="F24" s="14">
        <v>903</v>
      </c>
      <c r="G24" s="14">
        <v>827</v>
      </c>
      <c r="H24" s="14">
        <v>873</v>
      </c>
      <c r="I24" s="14">
        <v>884</v>
      </c>
      <c r="J24" s="14">
        <v>991</v>
      </c>
      <c r="K24" s="14">
        <v>881</v>
      </c>
      <c r="L24" s="14">
        <v>879</v>
      </c>
      <c r="M24" s="14">
        <v>909</v>
      </c>
      <c r="N24" s="14">
        <v>953</v>
      </c>
      <c r="O24" s="14">
        <v>930</v>
      </c>
      <c r="P24" s="14">
        <v>997</v>
      </c>
      <c r="Q24" s="14">
        <v>963</v>
      </c>
      <c r="R24" s="14">
        <v>559</v>
      </c>
      <c r="S24" s="14">
        <v>758</v>
      </c>
      <c r="T24" s="14">
        <v>991</v>
      </c>
      <c r="U24" s="14">
        <v>903</v>
      </c>
      <c r="V24" s="14">
        <v>1007</v>
      </c>
      <c r="W24" s="14">
        <v>1022</v>
      </c>
      <c r="X24" s="14">
        <v>887</v>
      </c>
      <c r="Y24" s="14">
        <v>1005</v>
      </c>
      <c r="Z24" s="14">
        <v>1197</v>
      </c>
      <c r="AA24" s="31">
        <v>1064</v>
      </c>
      <c r="AB24" s="14">
        <v>1108</v>
      </c>
      <c r="AC24" s="14">
        <v>1141</v>
      </c>
      <c r="AD24" s="14">
        <v>1230</v>
      </c>
      <c r="AE24" s="14">
        <v>1141</v>
      </c>
      <c r="AF24" s="14">
        <v>1303</v>
      </c>
      <c r="AG24" s="14">
        <f t="shared" ref="AG24:AG26" si="96">AC24*0.98</f>
        <v>1118.18</v>
      </c>
      <c r="AH24" s="14">
        <f t="shared" ref="AH24:AH26" si="97">AD24*1.02</f>
        <v>1254.5999999999999</v>
      </c>
      <c r="AN24" s="14">
        <f t="shared" ref="AN24:AN26" si="98">SUM(C24:F24)</f>
        <v>3285</v>
      </c>
      <c r="AO24" s="14">
        <f t="shared" ref="AO24:AO26" si="99">SUM(G24:J24)</f>
        <v>3575</v>
      </c>
      <c r="AP24" s="14">
        <f t="shared" ref="AP24:AP26" si="100">SUM(K24:N24)</f>
        <v>3622</v>
      </c>
      <c r="AQ24" s="14">
        <f t="shared" ref="AQ24:AQ26" si="101">SUM(O24:R24)</f>
        <v>3449</v>
      </c>
      <c r="AR24" s="14">
        <f t="shared" ref="AR24:AR26" si="102">SUM(S24:V24)</f>
        <v>3659</v>
      </c>
      <c r="AS24" s="14">
        <f t="shared" ref="AS24:AS26" si="103">SUM(W24:Z24)</f>
        <v>4111</v>
      </c>
      <c r="AT24" s="14">
        <f t="shared" ref="AT24:AT26" si="104">SUM(AA24:AD24)</f>
        <v>4543</v>
      </c>
      <c r="AU24" s="14">
        <f t="shared" ref="AU24:AU26" si="105">SUM(AE24:AH24)</f>
        <v>4816.7800000000007</v>
      </c>
      <c r="AV24" s="14">
        <f t="shared" ref="AV24:AX24" si="106">AU24*1.05</f>
        <v>5057.6190000000006</v>
      </c>
      <c r="AW24" s="14">
        <f t="shared" si="106"/>
        <v>5310.4999500000013</v>
      </c>
      <c r="AX24" s="14">
        <f t="shared" si="106"/>
        <v>5576.0249475000019</v>
      </c>
    </row>
    <row r="25" spans="1:50" s="20" customFormat="1" x14ac:dyDescent="0.25">
      <c r="A25" s="1"/>
      <c r="B25" s="26" t="s">
        <v>86</v>
      </c>
      <c r="C25" s="14">
        <v>279</v>
      </c>
      <c r="D25" s="14">
        <v>319</v>
      </c>
      <c r="E25" s="14">
        <v>278</v>
      </c>
      <c r="F25" s="14">
        <v>309</v>
      </c>
      <c r="G25" s="14">
        <v>301</v>
      </c>
      <c r="H25" s="14">
        <v>342</v>
      </c>
      <c r="I25" s="14">
        <v>321</v>
      </c>
      <c r="J25" s="14">
        <v>383</v>
      </c>
      <c r="K25" s="14">
        <v>332</v>
      </c>
      <c r="L25" s="14">
        <v>360</v>
      </c>
      <c r="M25" s="14">
        <v>340</v>
      </c>
      <c r="N25" s="14">
        <v>363</v>
      </c>
      <c r="O25" s="14">
        <v>356</v>
      </c>
      <c r="P25" s="14">
        <v>410</v>
      </c>
      <c r="Q25" s="14">
        <v>388</v>
      </c>
      <c r="R25" s="14">
        <v>211</v>
      </c>
      <c r="S25" s="14">
        <v>301</v>
      </c>
      <c r="T25" s="14">
        <v>432</v>
      </c>
      <c r="U25" s="14">
        <v>365</v>
      </c>
      <c r="V25" s="14">
        <v>396</v>
      </c>
      <c r="W25" s="14">
        <v>385</v>
      </c>
      <c r="X25" s="14">
        <v>402</v>
      </c>
      <c r="Y25" s="14">
        <v>394</v>
      </c>
      <c r="Z25" s="14">
        <v>429</v>
      </c>
      <c r="AA25" s="31">
        <v>413</v>
      </c>
      <c r="AB25" s="14">
        <v>435</v>
      </c>
      <c r="AC25" s="14">
        <v>407</v>
      </c>
      <c r="AD25" s="14">
        <v>409</v>
      </c>
      <c r="AE25" s="14">
        <v>371</v>
      </c>
      <c r="AF25" s="14">
        <v>437</v>
      </c>
      <c r="AG25" s="14">
        <f t="shared" si="96"/>
        <v>398.86</v>
      </c>
      <c r="AH25" s="14">
        <f t="shared" si="97"/>
        <v>417.18</v>
      </c>
      <c r="AN25" s="14">
        <f t="shared" si="98"/>
        <v>1185</v>
      </c>
      <c r="AO25" s="14">
        <f t="shared" si="99"/>
        <v>1347</v>
      </c>
      <c r="AP25" s="14">
        <f t="shared" si="100"/>
        <v>1395</v>
      </c>
      <c r="AQ25" s="14">
        <f t="shared" si="101"/>
        <v>1365</v>
      </c>
      <c r="AR25" s="14">
        <f t="shared" si="102"/>
        <v>1494</v>
      </c>
      <c r="AS25" s="14">
        <f t="shared" si="103"/>
        <v>1610</v>
      </c>
      <c r="AT25" s="14">
        <f t="shared" si="104"/>
        <v>1664</v>
      </c>
      <c r="AU25" s="14">
        <f t="shared" si="105"/>
        <v>1624.0400000000002</v>
      </c>
      <c r="AV25" s="14">
        <f t="shared" ref="AV25:AX25" si="107">AU25*1.05</f>
        <v>1705.2420000000002</v>
      </c>
      <c r="AW25" s="14">
        <f t="shared" si="107"/>
        <v>1790.5041000000003</v>
      </c>
      <c r="AX25" s="14">
        <f t="shared" si="107"/>
        <v>1880.0293050000005</v>
      </c>
    </row>
    <row r="26" spans="1:50" s="20" customFormat="1" x14ac:dyDescent="0.25">
      <c r="A26" s="1"/>
      <c r="B26" s="26" t="s">
        <v>87</v>
      </c>
      <c r="C26" s="14">
        <v>65</v>
      </c>
      <c r="D26" s="14">
        <v>69</v>
      </c>
      <c r="E26" s="14">
        <v>67</v>
      </c>
      <c r="F26" s="14">
        <v>66</v>
      </c>
      <c r="G26" s="14">
        <v>61</v>
      </c>
      <c r="H26" s="14">
        <v>58</v>
      </c>
      <c r="I26" s="14">
        <v>63</v>
      </c>
      <c r="J26" s="14">
        <v>62</v>
      </c>
      <c r="K26" s="14">
        <v>57</v>
      </c>
      <c r="L26" s="14">
        <v>59</v>
      </c>
      <c r="M26" s="14">
        <v>58</v>
      </c>
      <c r="N26" s="14">
        <v>63</v>
      </c>
      <c r="O26" s="14">
        <v>59</v>
      </c>
      <c r="P26" s="14">
        <v>61</v>
      </c>
      <c r="Q26" s="14">
        <v>63</v>
      </c>
      <c r="R26" s="14">
        <v>31</v>
      </c>
      <c r="S26" s="14">
        <v>40</v>
      </c>
      <c r="T26" s="14">
        <v>48</v>
      </c>
      <c r="U26" s="14">
        <v>47</v>
      </c>
      <c r="V26" s="14">
        <v>55</v>
      </c>
      <c r="W26" s="14">
        <v>58</v>
      </c>
      <c r="X26" s="14">
        <v>58</v>
      </c>
      <c r="Y26" s="14">
        <v>62</v>
      </c>
      <c r="Z26" s="14">
        <v>56</v>
      </c>
      <c r="AA26" s="31">
        <v>58</v>
      </c>
      <c r="AB26" s="14">
        <v>56</v>
      </c>
      <c r="AC26" s="14">
        <v>53</v>
      </c>
      <c r="AD26" s="14">
        <v>57</v>
      </c>
      <c r="AE26" s="14">
        <v>60</v>
      </c>
      <c r="AF26" s="14">
        <v>65</v>
      </c>
      <c r="AG26" s="14">
        <f t="shared" si="96"/>
        <v>51.94</v>
      </c>
      <c r="AH26" s="14">
        <f t="shared" si="97"/>
        <v>58.14</v>
      </c>
      <c r="AN26" s="14">
        <f t="shared" si="98"/>
        <v>267</v>
      </c>
      <c r="AO26" s="14">
        <f t="shared" si="99"/>
        <v>244</v>
      </c>
      <c r="AP26" s="14">
        <f t="shared" si="100"/>
        <v>237</v>
      </c>
      <c r="AQ26" s="14">
        <f t="shared" si="101"/>
        <v>214</v>
      </c>
      <c r="AR26" s="14">
        <f t="shared" si="102"/>
        <v>190</v>
      </c>
      <c r="AS26" s="14">
        <f t="shared" si="103"/>
        <v>234</v>
      </c>
      <c r="AT26" s="14">
        <f t="shared" si="104"/>
        <v>224</v>
      </c>
      <c r="AU26" s="14">
        <f t="shared" si="105"/>
        <v>235.07999999999998</v>
      </c>
      <c r="AV26" s="14">
        <f t="shared" ref="AV26:AX26" si="108">AU26*1.05</f>
        <v>246.834</v>
      </c>
      <c r="AW26" s="14">
        <f t="shared" si="108"/>
        <v>259.17570000000001</v>
      </c>
      <c r="AX26" s="14">
        <f t="shared" si="108"/>
        <v>272.13448500000004</v>
      </c>
    </row>
    <row r="27" spans="1:50" s="20" customFormat="1" x14ac:dyDescent="0.25">
      <c r="A27" s="1"/>
      <c r="B27" s="26" t="s">
        <v>88</v>
      </c>
      <c r="C27" s="14">
        <f t="shared" ref="C27:Y27" si="109">SUM(C24:C26)</f>
        <v>1131</v>
      </c>
      <c r="D27" s="14">
        <f t="shared" si="109"/>
        <v>1206</v>
      </c>
      <c r="E27" s="14">
        <f t="shared" si="109"/>
        <v>1122</v>
      </c>
      <c r="F27" s="14">
        <f t="shared" si="109"/>
        <v>1278</v>
      </c>
      <c r="G27" s="14">
        <f t="shared" si="109"/>
        <v>1189</v>
      </c>
      <c r="H27" s="14">
        <f t="shared" si="109"/>
        <v>1273</v>
      </c>
      <c r="I27" s="14">
        <f t="shared" si="109"/>
        <v>1268</v>
      </c>
      <c r="J27" s="14">
        <f t="shared" si="109"/>
        <v>1436</v>
      </c>
      <c r="K27" s="14">
        <f t="shared" si="109"/>
        <v>1270</v>
      </c>
      <c r="L27" s="14">
        <f t="shared" si="109"/>
        <v>1298</v>
      </c>
      <c r="M27" s="14">
        <f t="shared" si="109"/>
        <v>1307</v>
      </c>
      <c r="N27" s="14">
        <f t="shared" si="109"/>
        <v>1379</v>
      </c>
      <c r="O27" s="14">
        <f t="shared" si="109"/>
        <v>1345</v>
      </c>
      <c r="P27" s="14">
        <f t="shared" si="109"/>
        <v>1468</v>
      </c>
      <c r="Q27" s="14">
        <f t="shared" si="109"/>
        <v>1414</v>
      </c>
      <c r="R27" s="14">
        <f t="shared" si="109"/>
        <v>801</v>
      </c>
      <c r="S27" s="14">
        <f t="shared" si="109"/>
        <v>1099</v>
      </c>
      <c r="T27" s="14">
        <f t="shared" si="109"/>
        <v>1471</v>
      </c>
      <c r="U27" s="14">
        <f t="shared" si="109"/>
        <v>1315</v>
      </c>
      <c r="V27" s="14">
        <f t="shared" si="109"/>
        <v>1458</v>
      </c>
      <c r="W27" s="14">
        <f t="shared" si="109"/>
        <v>1465</v>
      </c>
      <c r="X27" s="14">
        <f t="shared" si="109"/>
        <v>1347</v>
      </c>
      <c r="Y27" s="14">
        <f t="shared" si="109"/>
        <v>1461</v>
      </c>
      <c r="Z27" s="14">
        <f>SUM(Z24:Z26)</f>
        <v>1682</v>
      </c>
      <c r="AA27" s="14">
        <f>SUM(AA24:AA26)</f>
        <v>1535</v>
      </c>
      <c r="AB27" s="14">
        <f t="shared" ref="AB27:AD27" si="110">SUM(AB24:AB26)</f>
        <v>1599</v>
      </c>
      <c r="AC27" s="14">
        <f t="shared" si="110"/>
        <v>1601</v>
      </c>
      <c r="AD27" s="14">
        <f t="shared" si="110"/>
        <v>1696</v>
      </c>
      <c r="AE27" s="14">
        <f t="shared" ref="AE27:AH27" si="111">SUM(AE24:AE26)</f>
        <v>1572</v>
      </c>
      <c r="AF27" s="14">
        <f t="shared" si="111"/>
        <v>1805</v>
      </c>
      <c r="AG27" s="14">
        <f t="shared" si="111"/>
        <v>1568.98</v>
      </c>
      <c r="AH27" s="14">
        <f t="shared" si="111"/>
        <v>1729.92</v>
      </c>
      <c r="AN27" s="14">
        <f t="shared" ref="AN27:AS27" si="112">SUM(AN24:AN26)</f>
        <v>4737</v>
      </c>
      <c r="AO27" s="14">
        <f t="shared" si="112"/>
        <v>5166</v>
      </c>
      <c r="AP27" s="14">
        <f t="shared" si="112"/>
        <v>5254</v>
      </c>
      <c r="AQ27" s="14">
        <f t="shared" si="112"/>
        <v>5028</v>
      </c>
      <c r="AR27" s="14">
        <f t="shared" si="112"/>
        <v>5343</v>
      </c>
      <c r="AS27" s="14">
        <f t="shared" si="112"/>
        <v>5955</v>
      </c>
      <c r="AT27" s="14">
        <f t="shared" ref="AT27:AX27" si="113">SUM(AT24:AT26)</f>
        <v>6431</v>
      </c>
      <c r="AU27" s="14">
        <f t="shared" si="113"/>
        <v>6675.9000000000005</v>
      </c>
      <c r="AV27" s="14">
        <f t="shared" si="113"/>
        <v>7009.6950000000006</v>
      </c>
      <c r="AW27" s="14">
        <f t="shared" si="113"/>
        <v>7360.1797500000011</v>
      </c>
      <c r="AX27" s="14">
        <f t="shared" si="113"/>
        <v>7728.1887375000024</v>
      </c>
    </row>
    <row r="28" spans="1:50" s="20" customFormat="1" x14ac:dyDescent="0.25">
      <c r="A28" s="1"/>
      <c r="B28" s="26"/>
      <c r="C28" s="14"/>
      <c r="D28" s="14"/>
      <c r="E28" s="14"/>
      <c r="F28" s="14"/>
      <c r="G28" s="14"/>
      <c r="H28" s="14"/>
      <c r="I28" s="14"/>
      <c r="J28" s="14"/>
      <c r="K28" s="14"/>
      <c r="L28" s="14"/>
      <c r="M28" s="14"/>
      <c r="N28" s="14"/>
      <c r="O28" s="14"/>
      <c r="P28" s="14"/>
      <c r="Q28" s="14"/>
      <c r="R28" s="14"/>
      <c r="S28" s="14"/>
      <c r="T28" s="14"/>
      <c r="U28" s="14"/>
      <c r="V28" s="14"/>
      <c r="W28" s="14"/>
      <c r="X28" s="14"/>
      <c r="Y28" s="14"/>
      <c r="Z28" s="14"/>
      <c r="AA28" s="31"/>
      <c r="AB28" s="31"/>
      <c r="AC28" s="31"/>
      <c r="AD28" s="31"/>
      <c r="AE28" s="31"/>
      <c r="AF28" s="31"/>
      <c r="AG28" s="37"/>
      <c r="AH28" s="37"/>
      <c r="AN28" s="14"/>
      <c r="AO28" s="14"/>
      <c r="AP28" s="14"/>
      <c r="AQ28" s="14"/>
      <c r="AR28" s="14"/>
      <c r="AS28" s="14"/>
      <c r="AT28" s="14"/>
      <c r="AU28" s="14"/>
      <c r="AV28" s="14"/>
      <c r="AW28" s="14"/>
      <c r="AX28" s="14"/>
    </row>
    <row r="29" spans="1:50" s="29" customFormat="1" ht="14.4" x14ac:dyDescent="0.3">
      <c r="A29" s="27"/>
      <c r="B29" s="27" t="s">
        <v>96</v>
      </c>
      <c r="C29" s="28"/>
      <c r="D29" s="28"/>
      <c r="E29" s="28"/>
      <c r="F29" s="28"/>
      <c r="G29" s="30">
        <f>G27/C27-1</f>
        <v>5.1282051282051322E-2</v>
      </c>
      <c r="H29" s="30">
        <f t="shared" ref="H29:AA29" si="114">H27/D27-1</f>
        <v>5.555555555555558E-2</v>
      </c>
      <c r="I29" s="30">
        <f t="shared" si="114"/>
        <v>0.13012477718360071</v>
      </c>
      <c r="J29" s="30">
        <f t="shared" si="114"/>
        <v>0.12363067292644758</v>
      </c>
      <c r="K29" s="30">
        <f t="shared" si="114"/>
        <v>6.8124474348191688E-2</v>
      </c>
      <c r="L29" s="30">
        <f t="shared" si="114"/>
        <v>1.9638648860958341E-2</v>
      </c>
      <c r="M29" s="30">
        <f t="shared" si="114"/>
        <v>3.0757097791798138E-2</v>
      </c>
      <c r="N29" s="30">
        <f t="shared" si="114"/>
        <v>-3.9693593314763187E-2</v>
      </c>
      <c r="O29" s="30">
        <f t="shared" si="114"/>
        <v>5.9055118110236116E-2</v>
      </c>
      <c r="P29" s="30">
        <f t="shared" si="114"/>
        <v>0.13097072419106315</v>
      </c>
      <c r="Q29" s="30">
        <f t="shared" si="114"/>
        <v>8.1866870696250871E-2</v>
      </c>
      <c r="R29" s="30">
        <f t="shared" si="114"/>
        <v>-0.41914430746918052</v>
      </c>
      <c r="S29" s="30">
        <f t="shared" si="114"/>
        <v>-0.18289962825278805</v>
      </c>
      <c r="T29" s="30">
        <f t="shared" si="114"/>
        <v>2.043596730245234E-3</v>
      </c>
      <c r="U29" s="30">
        <f t="shared" si="114"/>
        <v>-7.0014144271570045E-2</v>
      </c>
      <c r="V29" s="30">
        <f t="shared" si="114"/>
        <v>0.8202247191011236</v>
      </c>
      <c r="W29" s="30">
        <f t="shared" si="114"/>
        <v>0.33303002729754327</v>
      </c>
      <c r="X29" s="30">
        <f t="shared" si="114"/>
        <v>-8.4296397008837509E-2</v>
      </c>
      <c r="Y29" s="30">
        <f t="shared" si="114"/>
        <v>0.11102661596958185</v>
      </c>
      <c r="Z29" s="30">
        <f t="shared" si="114"/>
        <v>0.1536351165980796</v>
      </c>
      <c r="AA29" s="30">
        <f t="shared" si="114"/>
        <v>4.7781569965870352E-2</v>
      </c>
      <c r="AB29" s="30">
        <f t="shared" ref="AB29" si="115">AB27/X27-1</f>
        <v>0.18708240534521159</v>
      </c>
      <c r="AC29" s="30">
        <f t="shared" ref="AC29" si="116">AC27/Y27-1</f>
        <v>9.5824777549623485E-2</v>
      </c>
      <c r="AD29" s="30">
        <f t="shared" ref="AD29" si="117">AD27/Z27-1</f>
        <v>8.3234244946492897E-3</v>
      </c>
      <c r="AE29" s="30">
        <f t="shared" ref="AE29" si="118">AE27/AA27-1</f>
        <v>2.4104234527687396E-2</v>
      </c>
      <c r="AF29" s="30">
        <f t="shared" ref="AF29" si="119">AF27/AB27-1</f>
        <v>0.12883051907442145</v>
      </c>
      <c r="AG29" s="30">
        <f t="shared" ref="AG29" si="120">AG27/AC27-1</f>
        <v>-2.0000000000000018E-2</v>
      </c>
      <c r="AH29" s="30">
        <f t="shared" ref="AH29" si="121">AH27/AD27-1</f>
        <v>2.0000000000000018E-2</v>
      </c>
      <c r="AN29" s="28"/>
      <c r="AO29" s="30">
        <f>AO27/AN27-1</f>
        <v>9.0563647878403986E-2</v>
      </c>
      <c r="AP29" s="30">
        <f t="shared" ref="AP29:AS29" si="122">AP27/AO27-1</f>
        <v>1.7034456058846237E-2</v>
      </c>
      <c r="AQ29" s="30">
        <f t="shared" si="122"/>
        <v>-4.3014845831747195E-2</v>
      </c>
      <c r="AR29" s="30">
        <f t="shared" si="122"/>
        <v>6.2649164677804237E-2</v>
      </c>
      <c r="AS29" s="30">
        <f t="shared" si="122"/>
        <v>0.11454239191465465</v>
      </c>
      <c r="AT29" s="30">
        <f t="shared" ref="AT29" si="123">AT27/AS27-1</f>
        <v>7.9932829554995699E-2</v>
      </c>
      <c r="AU29" s="30">
        <f t="shared" ref="AU29" si="124">AU27/AT27-1</f>
        <v>3.8081169336028786E-2</v>
      </c>
      <c r="AV29" s="30">
        <f t="shared" ref="AV29" si="125">AV27/AU27-1</f>
        <v>5.0000000000000044E-2</v>
      </c>
      <c r="AW29" s="30">
        <f t="shared" ref="AW29" si="126">AW27/AV27-1</f>
        <v>5.0000000000000044E-2</v>
      </c>
      <c r="AX29" s="30">
        <f t="shared" ref="AX29" si="127">AX27/AW27-1</f>
        <v>5.0000000000000266E-2</v>
      </c>
    </row>
    <row r="30" spans="1:50" s="20" customFormat="1" x14ac:dyDescent="0.25">
      <c r="A30" s="1"/>
      <c r="B30" s="26"/>
      <c r="C30" s="14"/>
      <c r="D30" s="14"/>
      <c r="E30" s="14"/>
      <c r="F30" s="14"/>
      <c r="G30" s="14"/>
      <c r="H30" s="14"/>
      <c r="I30" s="14"/>
      <c r="J30" s="14"/>
      <c r="K30" s="14"/>
      <c r="L30" s="14"/>
      <c r="M30" s="14"/>
      <c r="N30" s="14"/>
      <c r="O30" s="14"/>
      <c r="P30" s="14"/>
      <c r="Q30" s="14"/>
      <c r="R30" s="14"/>
      <c r="S30" s="14"/>
      <c r="T30" s="14"/>
      <c r="U30" s="14"/>
      <c r="V30" s="14"/>
      <c r="W30" s="14"/>
      <c r="X30" s="14"/>
      <c r="Y30" s="14"/>
      <c r="Z30" s="14"/>
      <c r="AA30" s="31"/>
      <c r="AD30" s="14"/>
      <c r="AE30" s="14"/>
      <c r="AF30" s="14"/>
      <c r="AG30" s="36"/>
      <c r="AH30" s="36"/>
    </row>
    <row r="31" spans="1:50" s="20" customFormat="1" x14ac:dyDescent="0.25">
      <c r="A31" s="1"/>
      <c r="B31" s="26" t="s">
        <v>89</v>
      </c>
      <c r="C31" s="14">
        <v>15</v>
      </c>
      <c r="D31" s="14">
        <v>21</v>
      </c>
      <c r="E31" s="14">
        <v>19</v>
      </c>
      <c r="F31" s="14">
        <v>18</v>
      </c>
      <c r="G31" s="14">
        <v>20</v>
      </c>
      <c r="H31" s="14">
        <v>23</v>
      </c>
      <c r="I31" s="14">
        <v>21</v>
      </c>
      <c r="J31" s="14">
        <v>24</v>
      </c>
      <c r="K31" s="14">
        <v>16</v>
      </c>
      <c r="L31" s="14">
        <v>9</v>
      </c>
      <c r="M31" s="14">
        <v>8</v>
      </c>
      <c r="N31" s="14">
        <v>9</v>
      </c>
      <c r="O31" s="14">
        <v>6</v>
      </c>
      <c r="P31" s="14">
        <v>10</v>
      </c>
      <c r="Q31" s="14">
        <v>8</v>
      </c>
      <c r="R31" s="14">
        <v>6</v>
      </c>
      <c r="S31" s="14">
        <v>4</v>
      </c>
      <c r="T31" s="14">
        <v>8</v>
      </c>
      <c r="U31" s="14">
        <v>6</v>
      </c>
      <c r="V31" s="14">
        <v>7</v>
      </c>
      <c r="W31" s="14">
        <v>7</v>
      </c>
      <c r="X31" s="14">
        <v>6</v>
      </c>
      <c r="Y31" s="14">
        <v>41</v>
      </c>
      <c r="Z31" s="14">
        <v>48</v>
      </c>
      <c r="AA31" s="31">
        <v>14</v>
      </c>
      <c r="AB31" s="14">
        <v>18</v>
      </c>
      <c r="AC31" s="14">
        <v>12</v>
      </c>
      <c r="AD31" s="14">
        <v>14</v>
      </c>
      <c r="AE31" s="14">
        <v>13</v>
      </c>
      <c r="AF31" s="14">
        <v>12</v>
      </c>
      <c r="AG31" s="14">
        <f>AC31*0.98</f>
        <v>11.76</v>
      </c>
      <c r="AH31" s="14">
        <f>AD31*1.02</f>
        <v>14.280000000000001</v>
      </c>
      <c r="AN31" s="14">
        <f>SUM(C31:F31)</f>
        <v>73</v>
      </c>
      <c r="AO31" s="14">
        <f>SUM(G31:J31)</f>
        <v>88</v>
      </c>
      <c r="AP31" s="14">
        <f>SUM(K31:N31)</f>
        <v>42</v>
      </c>
      <c r="AQ31" s="14">
        <f>SUM(O31:R31)</f>
        <v>30</v>
      </c>
      <c r="AR31" s="14">
        <f>SUM(S31:V31)</f>
        <v>25</v>
      </c>
      <c r="AS31" s="14">
        <f>SUM(W31:Z31)</f>
        <v>102</v>
      </c>
      <c r="AT31" s="14">
        <f>SUM(AA31:AD31)</f>
        <v>58</v>
      </c>
      <c r="AU31" s="14">
        <f>SUM(AE31:AH31)</f>
        <v>51.04</v>
      </c>
      <c r="AV31" s="14">
        <f t="shared" ref="AV31:AX31" si="128">AU31*1.05</f>
        <v>53.591999999999999</v>
      </c>
      <c r="AW31" s="14">
        <f t="shared" si="128"/>
        <v>56.271599999999999</v>
      </c>
      <c r="AX31" s="14">
        <f t="shared" si="128"/>
        <v>59.085180000000001</v>
      </c>
    </row>
    <row r="32" spans="1:50" s="20" customFormat="1" x14ac:dyDescent="0.25">
      <c r="A32" s="1"/>
      <c r="B32" s="26"/>
      <c r="C32" s="14"/>
      <c r="D32" s="14"/>
      <c r="E32" s="14"/>
      <c r="F32" s="14"/>
      <c r="G32" s="14"/>
      <c r="H32" s="14"/>
      <c r="I32" s="14"/>
      <c r="J32" s="14"/>
      <c r="K32" s="14"/>
      <c r="L32" s="14"/>
      <c r="M32" s="14"/>
      <c r="N32" s="14"/>
      <c r="O32" s="14"/>
      <c r="P32" s="14"/>
      <c r="Q32" s="14"/>
      <c r="R32" s="14"/>
      <c r="S32" s="14"/>
      <c r="T32" s="14"/>
      <c r="U32" s="14"/>
      <c r="V32" s="14"/>
      <c r="W32" s="14"/>
      <c r="X32" s="14"/>
      <c r="Y32" s="14"/>
      <c r="Z32" s="14"/>
      <c r="AA32" s="31"/>
      <c r="AD32" s="14"/>
      <c r="AE32" s="14"/>
      <c r="AF32" s="14"/>
      <c r="AG32" s="36"/>
      <c r="AH32" s="36"/>
      <c r="AN32" s="14"/>
      <c r="AO32" s="14"/>
      <c r="AP32" s="14"/>
      <c r="AQ32" s="14"/>
      <c r="AR32" s="14"/>
      <c r="AS32" s="14"/>
    </row>
    <row r="33" spans="1:50" s="29" customFormat="1" ht="14.4" x14ac:dyDescent="0.3">
      <c r="A33" s="27"/>
      <c r="B33" s="27" t="s">
        <v>97</v>
      </c>
      <c r="C33" s="28"/>
      <c r="D33" s="28"/>
      <c r="E33" s="28"/>
      <c r="F33" s="28"/>
      <c r="G33" s="30">
        <f>G31/C31-1</f>
        <v>0.33333333333333326</v>
      </c>
      <c r="H33" s="30">
        <f t="shared" ref="H33:AA33" si="129">H31/D31-1</f>
        <v>9.5238095238095344E-2</v>
      </c>
      <c r="I33" s="30">
        <f t="shared" si="129"/>
        <v>0.10526315789473695</v>
      </c>
      <c r="J33" s="30">
        <f t="shared" si="129"/>
        <v>0.33333333333333326</v>
      </c>
      <c r="K33" s="30">
        <f t="shared" si="129"/>
        <v>-0.19999999999999996</v>
      </c>
      <c r="L33" s="30">
        <f t="shared" si="129"/>
        <v>-0.60869565217391308</v>
      </c>
      <c r="M33" s="30">
        <f t="shared" si="129"/>
        <v>-0.61904761904761907</v>
      </c>
      <c r="N33" s="30">
        <f t="shared" si="129"/>
        <v>-0.625</v>
      </c>
      <c r="O33" s="30">
        <f t="shared" si="129"/>
        <v>-0.625</v>
      </c>
      <c r="P33" s="30">
        <f t="shared" si="129"/>
        <v>0.11111111111111116</v>
      </c>
      <c r="Q33" s="30">
        <f t="shared" si="129"/>
        <v>0</v>
      </c>
      <c r="R33" s="30">
        <f t="shared" si="129"/>
        <v>-0.33333333333333337</v>
      </c>
      <c r="S33" s="30">
        <f t="shared" si="129"/>
        <v>-0.33333333333333337</v>
      </c>
      <c r="T33" s="30">
        <f t="shared" si="129"/>
        <v>-0.19999999999999996</v>
      </c>
      <c r="U33" s="30">
        <f t="shared" si="129"/>
        <v>-0.25</v>
      </c>
      <c r="V33" s="30">
        <f t="shared" si="129"/>
        <v>0.16666666666666674</v>
      </c>
      <c r="W33" s="30">
        <f t="shared" si="129"/>
        <v>0.75</v>
      </c>
      <c r="X33" s="30">
        <f t="shared" si="129"/>
        <v>-0.25</v>
      </c>
      <c r="Y33" s="30">
        <f t="shared" si="129"/>
        <v>5.833333333333333</v>
      </c>
      <c r="Z33" s="30">
        <f t="shared" si="129"/>
        <v>5.8571428571428568</v>
      </c>
      <c r="AA33" s="30">
        <f t="shared" si="129"/>
        <v>1</v>
      </c>
      <c r="AB33" s="30">
        <f t="shared" ref="AB33" si="130">AB31/X31-1</f>
        <v>2</v>
      </c>
      <c r="AC33" s="30">
        <f t="shared" ref="AC33" si="131">AC31/Y31-1</f>
        <v>-0.70731707317073167</v>
      </c>
      <c r="AD33" s="30">
        <f t="shared" ref="AD33" si="132">AD31/Z31-1</f>
        <v>-0.70833333333333326</v>
      </c>
      <c r="AE33" s="30">
        <f t="shared" ref="AE33" si="133">AE31/AA31-1</f>
        <v>-7.1428571428571397E-2</v>
      </c>
      <c r="AF33" s="30">
        <f t="shared" ref="AF33" si="134">AF31/AB31-1</f>
        <v>-0.33333333333333337</v>
      </c>
      <c r="AG33" s="30">
        <f t="shared" ref="AG33" si="135">AG31/AC31-1</f>
        <v>-2.0000000000000018E-2</v>
      </c>
      <c r="AH33" s="30">
        <f t="shared" ref="AH33" si="136">AH31/AD31-1</f>
        <v>2.0000000000000018E-2</v>
      </c>
      <c r="AN33" s="28"/>
      <c r="AO33" s="30">
        <f>AO31/AN31-1</f>
        <v>0.20547945205479445</v>
      </c>
      <c r="AP33" s="30">
        <f t="shared" ref="AP33:AS33" si="137">AP31/AO31-1</f>
        <v>-0.52272727272727271</v>
      </c>
      <c r="AQ33" s="30">
        <f t="shared" si="137"/>
        <v>-0.2857142857142857</v>
      </c>
      <c r="AR33" s="30">
        <f t="shared" si="137"/>
        <v>-0.16666666666666663</v>
      </c>
      <c r="AS33" s="30">
        <f t="shared" si="137"/>
        <v>3.08</v>
      </c>
      <c r="AT33" s="30">
        <f t="shared" ref="AT33" si="138">AT31/AS31-1</f>
        <v>-0.43137254901960786</v>
      </c>
      <c r="AU33" s="30">
        <f t="shared" ref="AU33" si="139">AU31/AT31-1</f>
        <v>-0.12</v>
      </c>
      <c r="AV33" s="30">
        <f t="shared" ref="AV33" si="140">AV31/AU31-1</f>
        <v>5.0000000000000044E-2</v>
      </c>
      <c r="AW33" s="30">
        <f t="shared" ref="AW33" si="141">AW31/AV31-1</f>
        <v>5.0000000000000044E-2</v>
      </c>
      <c r="AX33" s="30">
        <f t="shared" ref="AX33" si="142">AX31/AW31-1</f>
        <v>5.0000000000000044E-2</v>
      </c>
    </row>
    <row r="34" spans="1:50" s="20" customFormat="1" x14ac:dyDescent="0.25">
      <c r="A34" s="1"/>
      <c r="B34" s="26"/>
      <c r="C34" s="14"/>
      <c r="D34" s="14"/>
      <c r="E34" s="14"/>
      <c r="F34" s="14"/>
      <c r="G34" s="14"/>
      <c r="H34" s="14"/>
      <c r="I34" s="14"/>
      <c r="J34" s="14"/>
      <c r="K34" s="14"/>
      <c r="L34" s="14"/>
      <c r="M34" s="14"/>
      <c r="N34" s="14"/>
      <c r="O34" s="14"/>
      <c r="P34" s="14"/>
      <c r="Q34" s="14"/>
      <c r="R34" s="14"/>
      <c r="S34" s="14"/>
      <c r="T34" s="14"/>
      <c r="U34" s="14"/>
      <c r="V34" s="14"/>
      <c r="W34" s="14"/>
      <c r="X34" s="14"/>
      <c r="Y34" s="14"/>
      <c r="Z34" s="14"/>
      <c r="AA34" s="31"/>
      <c r="AD34" s="14"/>
      <c r="AE34" s="14"/>
      <c r="AF34" s="14"/>
      <c r="AG34" s="14"/>
      <c r="AH34" s="14"/>
    </row>
    <row r="35" spans="1:50" s="20" customFormat="1" x14ac:dyDescent="0.25">
      <c r="A35" s="1"/>
      <c r="B35" s="26" t="s">
        <v>90</v>
      </c>
      <c r="C35" s="14">
        <v>574</v>
      </c>
      <c r="D35" s="14">
        <v>416</v>
      </c>
      <c r="E35" s="14">
        <v>498</v>
      </c>
      <c r="F35" s="14">
        <v>554</v>
      </c>
      <c r="G35" s="14">
        <v>483</v>
      </c>
      <c r="H35" s="14">
        <v>408</v>
      </c>
      <c r="I35" s="14">
        <v>483</v>
      </c>
      <c r="J35" s="14">
        <v>512</v>
      </c>
      <c r="K35" s="14">
        <v>527</v>
      </c>
      <c r="L35" s="14">
        <v>425</v>
      </c>
      <c r="M35" s="14">
        <v>463</v>
      </c>
      <c r="N35" s="14">
        <v>491</v>
      </c>
      <c r="O35" s="14">
        <v>555</v>
      </c>
      <c r="P35" s="14">
        <v>480</v>
      </c>
      <c r="Q35" s="14">
        <v>506</v>
      </c>
      <c r="R35" s="14">
        <v>305</v>
      </c>
      <c r="S35" s="14">
        <v>563</v>
      </c>
      <c r="T35" s="14">
        <v>476</v>
      </c>
      <c r="U35" s="14">
        <v>570</v>
      </c>
      <c r="V35" s="14">
        <v>596</v>
      </c>
      <c r="W35" s="14">
        <v>629</v>
      </c>
      <c r="X35" s="14">
        <v>557</v>
      </c>
      <c r="Y35" s="14">
        <v>567</v>
      </c>
      <c r="Z35" s="14">
        <v>593</v>
      </c>
      <c r="AA35" s="31">
        <v>643</v>
      </c>
      <c r="AB35" s="14">
        <v>586</v>
      </c>
      <c r="AC35" s="14">
        <v>612</v>
      </c>
      <c r="AD35" s="14">
        <v>586</v>
      </c>
      <c r="AE35" s="14">
        <v>588</v>
      </c>
      <c r="AF35" s="14">
        <v>519</v>
      </c>
      <c r="AG35" s="14">
        <f t="shared" ref="AG35:AG36" si="143">AC35*0.98</f>
        <v>599.76</v>
      </c>
      <c r="AH35" s="14">
        <f t="shared" ref="AH35:AH36" si="144">AD35*1.02</f>
        <v>597.72</v>
      </c>
      <c r="AN35" s="14">
        <f t="shared" ref="AN35:AN36" si="145">SUM(C35:F35)</f>
        <v>2042</v>
      </c>
      <c r="AO35" s="14">
        <f t="shared" ref="AO35:AO36" si="146">SUM(G35:J35)</f>
        <v>1886</v>
      </c>
      <c r="AP35" s="14">
        <f t="shared" ref="AP35:AP36" si="147">SUM(K35:N35)</f>
        <v>1906</v>
      </c>
      <c r="AQ35" s="14">
        <f t="shared" ref="AQ35:AQ36" si="148">SUM(O35:R35)</f>
        <v>1846</v>
      </c>
      <c r="AR35" s="14">
        <f t="shared" ref="AR35:AR36" si="149">SUM(S35:V35)</f>
        <v>2205</v>
      </c>
      <c r="AS35" s="14">
        <f t="shared" ref="AS35:AS36" si="150">SUM(W35:Z35)</f>
        <v>2346</v>
      </c>
      <c r="AT35" s="14">
        <f t="shared" ref="AT35:AT36" si="151">SUM(AA35:AD35)</f>
        <v>2427</v>
      </c>
      <c r="AU35" s="14">
        <f>SUM(AE35:AH35)</f>
        <v>2304.48</v>
      </c>
      <c r="AV35" s="14">
        <f t="shared" ref="AV35:AX35" si="152">AU35*1.05</f>
        <v>2419.7040000000002</v>
      </c>
      <c r="AW35" s="14">
        <f t="shared" si="152"/>
        <v>2540.6892000000003</v>
      </c>
      <c r="AX35" s="14">
        <f t="shared" si="152"/>
        <v>2667.7236600000006</v>
      </c>
    </row>
    <row r="36" spans="1:50" s="20" customFormat="1" x14ac:dyDescent="0.25">
      <c r="A36" s="1"/>
      <c r="B36" s="26" t="s">
        <v>91</v>
      </c>
      <c r="C36" s="14">
        <v>28</v>
      </c>
      <c r="D36" s="14">
        <v>40</v>
      </c>
      <c r="E36" s="14">
        <v>11</v>
      </c>
      <c r="F36" s="14">
        <v>-4</v>
      </c>
      <c r="G36" s="14">
        <v>2</v>
      </c>
      <c r="H36" s="14">
        <v>10</v>
      </c>
      <c r="I36" s="14">
        <v>6</v>
      </c>
      <c r="J36" s="14">
        <v>8</v>
      </c>
      <c r="K36" s="14">
        <v>4</v>
      </c>
      <c r="L36" s="14">
        <v>3</v>
      </c>
      <c r="M36" s="14">
        <v>0</v>
      </c>
      <c r="N36" s="14">
        <v>-14</v>
      </c>
      <c r="O36" s="14">
        <v>9</v>
      </c>
      <c r="P36" s="14">
        <v>2</v>
      </c>
      <c r="Q36" s="14">
        <v>-18</v>
      </c>
      <c r="R36" s="14">
        <v>-4</v>
      </c>
      <c r="S36" s="14">
        <v>13</v>
      </c>
      <c r="T36" s="14">
        <v>26</v>
      </c>
      <c r="U36" s="14">
        <v>14</v>
      </c>
      <c r="V36" s="14">
        <v>-13</v>
      </c>
      <c r="W36" s="14">
        <v>-21</v>
      </c>
      <c r="X36" s="14">
        <v>-16</v>
      </c>
      <c r="Y36" s="14">
        <v>-19</v>
      </c>
      <c r="Z36" s="14">
        <v>-16</v>
      </c>
      <c r="AA36" s="31">
        <v>-4</v>
      </c>
      <c r="AB36" s="14">
        <v>5</v>
      </c>
      <c r="AC36" s="14">
        <v>12</v>
      </c>
      <c r="AD36" s="14">
        <v>14</v>
      </c>
      <c r="AE36" s="14">
        <v>-2</v>
      </c>
      <c r="AF36" s="14">
        <v>-3</v>
      </c>
      <c r="AG36" s="14">
        <f t="shared" si="143"/>
        <v>11.76</v>
      </c>
      <c r="AH36" s="14">
        <f t="shared" si="144"/>
        <v>14.280000000000001</v>
      </c>
      <c r="AN36" s="14">
        <f t="shared" si="145"/>
        <v>75</v>
      </c>
      <c r="AO36" s="14">
        <f t="shared" si="146"/>
        <v>26</v>
      </c>
      <c r="AP36" s="14">
        <f t="shared" si="147"/>
        <v>-7</v>
      </c>
      <c r="AQ36" s="14">
        <f t="shared" si="148"/>
        <v>-11</v>
      </c>
      <c r="AR36" s="14">
        <f t="shared" si="149"/>
        <v>40</v>
      </c>
      <c r="AS36" s="14">
        <f t="shared" si="150"/>
        <v>-72</v>
      </c>
      <c r="AT36" s="14">
        <f t="shared" si="151"/>
        <v>27</v>
      </c>
      <c r="AU36" s="14">
        <f t="shared" ref="AU36" si="153">SUM(AE36:AH36)</f>
        <v>21.04</v>
      </c>
      <c r="AV36" s="14">
        <f t="shared" ref="AV36:AX36" si="154">AU36*1.05</f>
        <v>22.091999999999999</v>
      </c>
      <c r="AW36" s="14">
        <f t="shared" si="154"/>
        <v>23.1966</v>
      </c>
      <c r="AX36" s="14">
        <f t="shared" si="154"/>
        <v>24.35643</v>
      </c>
    </row>
    <row r="37" spans="1:50" s="20" customFormat="1" x14ac:dyDescent="0.25">
      <c r="A37" s="1"/>
      <c r="B37" s="26"/>
      <c r="C37" s="14"/>
      <c r="D37" s="14"/>
      <c r="E37" s="14"/>
      <c r="F37" s="14"/>
      <c r="G37" s="14"/>
      <c r="H37" s="14"/>
      <c r="I37" s="14"/>
      <c r="J37" s="14"/>
      <c r="K37" s="14"/>
      <c r="L37" s="14"/>
      <c r="M37" s="14"/>
      <c r="N37" s="14"/>
      <c r="O37" s="14"/>
      <c r="P37" s="14"/>
      <c r="Q37" s="14"/>
      <c r="R37" s="14"/>
      <c r="S37" s="14"/>
      <c r="T37" s="14"/>
      <c r="U37" s="14"/>
      <c r="V37" s="14"/>
      <c r="W37" s="14"/>
      <c r="X37" s="14"/>
      <c r="Y37" s="14"/>
      <c r="Z37" s="14"/>
      <c r="AA37" s="31"/>
      <c r="AN37" s="14"/>
      <c r="AO37" s="14"/>
      <c r="AP37" s="14"/>
      <c r="AQ37" s="14"/>
      <c r="AR37" s="14"/>
      <c r="AS37" s="14"/>
    </row>
    <row r="38" spans="1:50" s="29" customFormat="1" ht="14.4" x14ac:dyDescent="0.3">
      <c r="A38" s="27"/>
      <c r="B38" s="27" t="s">
        <v>98</v>
      </c>
      <c r="C38" s="28"/>
      <c r="D38" s="28"/>
      <c r="E38" s="28"/>
      <c r="F38" s="28"/>
      <c r="G38" s="30">
        <f>G35/C35-1</f>
        <v>-0.15853658536585369</v>
      </c>
      <c r="H38" s="30">
        <f t="shared" ref="H38:Z38" si="155">H35/D35-1</f>
        <v>-1.9230769230769273E-2</v>
      </c>
      <c r="I38" s="30">
        <f t="shared" si="155"/>
        <v>-3.0120481927710885E-2</v>
      </c>
      <c r="J38" s="30">
        <f t="shared" si="155"/>
        <v>-7.5812274368231014E-2</v>
      </c>
      <c r="K38" s="30">
        <f t="shared" si="155"/>
        <v>9.109730848861286E-2</v>
      </c>
      <c r="L38" s="30">
        <f t="shared" si="155"/>
        <v>4.1666666666666741E-2</v>
      </c>
      <c r="M38" s="30">
        <f t="shared" si="155"/>
        <v>-4.1407867494824058E-2</v>
      </c>
      <c r="N38" s="30">
        <f t="shared" si="155"/>
        <v>-4.1015625E-2</v>
      </c>
      <c r="O38" s="30">
        <f t="shared" si="155"/>
        <v>5.3130929791271431E-2</v>
      </c>
      <c r="P38" s="30">
        <f t="shared" si="155"/>
        <v>0.12941176470588234</v>
      </c>
      <c r="Q38" s="30">
        <f t="shared" si="155"/>
        <v>9.2872570194384441E-2</v>
      </c>
      <c r="R38" s="30">
        <f t="shared" si="155"/>
        <v>-0.37881873727087578</v>
      </c>
      <c r="S38" s="30">
        <f t="shared" si="155"/>
        <v>1.4414414414414489E-2</v>
      </c>
      <c r="T38" s="30">
        <f t="shared" si="155"/>
        <v>-8.3333333333333037E-3</v>
      </c>
      <c r="U38" s="30">
        <f t="shared" si="155"/>
        <v>0.12648221343873511</v>
      </c>
      <c r="V38" s="30">
        <f t="shared" si="155"/>
        <v>0.95409836065573761</v>
      </c>
      <c r="W38" s="30">
        <f t="shared" si="155"/>
        <v>0.1172291296625223</v>
      </c>
      <c r="X38" s="30">
        <f t="shared" si="155"/>
        <v>0.17016806722689082</v>
      </c>
      <c r="Y38" s="30">
        <f t="shared" si="155"/>
        <v>-5.2631578947368585E-3</v>
      </c>
      <c r="Z38" s="30">
        <f t="shared" si="155"/>
        <v>-5.0335570469798308E-3</v>
      </c>
      <c r="AA38" s="30">
        <f t="shared" ref="AA38:AA39" si="156">AA35/W35-1</f>
        <v>2.2257551669316422E-2</v>
      </c>
      <c r="AB38" s="30">
        <f t="shared" ref="AB38:AB39" si="157">AB35/X35-1</f>
        <v>5.2064631956912022E-2</v>
      </c>
      <c r="AC38" s="30">
        <f t="shared" ref="AC38:AC39" si="158">AC35/Y35-1</f>
        <v>7.9365079365079305E-2</v>
      </c>
      <c r="AD38" s="30">
        <f t="shared" ref="AD38" si="159">AD35/Z35-1</f>
        <v>-1.180438448566612E-2</v>
      </c>
      <c r="AE38" s="30">
        <f t="shared" ref="AE38:AE39" si="160">AE35/AA35-1</f>
        <v>-8.5536547433903598E-2</v>
      </c>
      <c r="AF38" s="30">
        <f t="shared" ref="AF38:AF39" si="161">AF35/AB35-1</f>
        <v>-0.11433447098976113</v>
      </c>
      <c r="AG38" s="30">
        <f t="shared" ref="AG38:AG39" si="162">AG35/AC35-1</f>
        <v>-2.0000000000000018E-2</v>
      </c>
      <c r="AH38" s="30">
        <f t="shared" ref="AH38:AH39" si="163">AH35/AD35-1</f>
        <v>2.0000000000000018E-2</v>
      </c>
      <c r="AN38" s="28"/>
      <c r="AO38" s="30">
        <f>AO35/AN35-1</f>
        <v>-7.6395690499510338E-2</v>
      </c>
      <c r="AP38" s="30">
        <f t="shared" ref="AP38:AS38" si="164">AP35/AO35-1</f>
        <v>1.0604453870625585E-2</v>
      </c>
      <c r="AQ38" s="30">
        <f t="shared" si="164"/>
        <v>-3.147953830010497E-2</v>
      </c>
      <c r="AR38" s="30">
        <f t="shared" si="164"/>
        <v>0.19447453954496208</v>
      </c>
      <c r="AS38" s="30">
        <f t="shared" si="164"/>
        <v>6.3945578231292544E-2</v>
      </c>
      <c r="AT38" s="30">
        <f t="shared" ref="AT38:AT39" si="165">AT35/AS35-1</f>
        <v>3.4526854219948833E-2</v>
      </c>
      <c r="AU38" s="30">
        <f t="shared" ref="AU38:AU39" si="166">AU35/AT35-1</f>
        <v>-5.0482076637824447E-2</v>
      </c>
      <c r="AV38" s="30">
        <f t="shared" ref="AV38:AV39" si="167">AV35/AU35-1</f>
        <v>5.0000000000000044E-2</v>
      </c>
      <c r="AW38" s="30">
        <f t="shared" ref="AW38:AW39" si="168">AW35/AV35-1</f>
        <v>5.0000000000000044E-2</v>
      </c>
      <c r="AX38" s="30">
        <f t="shared" ref="AX38:AX39" si="169">AX35/AW35-1</f>
        <v>5.0000000000000044E-2</v>
      </c>
    </row>
    <row r="39" spans="1:50" s="29" customFormat="1" ht="14.4" x14ac:dyDescent="0.3">
      <c r="A39" s="27"/>
      <c r="B39" s="27" t="s">
        <v>99</v>
      </c>
      <c r="C39" s="28"/>
      <c r="D39" s="28"/>
      <c r="E39" s="28"/>
      <c r="F39" s="28"/>
      <c r="G39" s="30">
        <f>G36/C36-1</f>
        <v>-0.9285714285714286</v>
      </c>
      <c r="H39" s="30">
        <f t="shared" ref="H39:Z39" si="170">H36/D36-1</f>
        <v>-0.75</v>
      </c>
      <c r="I39" s="30">
        <f t="shared" si="170"/>
        <v>-0.45454545454545459</v>
      </c>
      <c r="J39" s="30">
        <f t="shared" si="170"/>
        <v>-3</v>
      </c>
      <c r="K39" s="30">
        <f t="shared" si="170"/>
        <v>1</v>
      </c>
      <c r="L39" s="30">
        <f t="shared" si="170"/>
        <v>-0.7</v>
      </c>
      <c r="M39" s="30">
        <f t="shared" si="170"/>
        <v>-1</v>
      </c>
      <c r="N39" s="30">
        <f t="shared" si="170"/>
        <v>-2.75</v>
      </c>
      <c r="O39" s="30">
        <f t="shared" si="170"/>
        <v>1.25</v>
      </c>
      <c r="P39" s="30">
        <f t="shared" si="170"/>
        <v>-0.33333333333333337</v>
      </c>
      <c r="Q39" s="30" t="e">
        <f t="shared" si="170"/>
        <v>#DIV/0!</v>
      </c>
      <c r="R39" s="30">
        <f t="shared" si="170"/>
        <v>-0.7142857142857143</v>
      </c>
      <c r="S39" s="30">
        <f t="shared" si="170"/>
        <v>0.44444444444444442</v>
      </c>
      <c r="T39" s="30">
        <f t="shared" si="170"/>
        <v>12</v>
      </c>
      <c r="U39" s="30">
        <f t="shared" si="170"/>
        <v>-1.7777777777777777</v>
      </c>
      <c r="V39" s="30">
        <f t="shared" si="170"/>
        <v>2.25</v>
      </c>
      <c r="W39" s="30">
        <f t="shared" si="170"/>
        <v>-2.6153846153846154</v>
      </c>
      <c r="X39" s="30">
        <f t="shared" si="170"/>
        <v>-1.6153846153846154</v>
      </c>
      <c r="Y39" s="30">
        <f t="shared" si="170"/>
        <v>-2.3571428571428572</v>
      </c>
      <c r="Z39" s="30">
        <f t="shared" si="170"/>
        <v>0.23076923076923084</v>
      </c>
      <c r="AA39" s="30">
        <f t="shared" si="156"/>
        <v>-0.80952380952380953</v>
      </c>
      <c r="AB39" s="30">
        <f t="shared" si="157"/>
        <v>-1.3125</v>
      </c>
      <c r="AC39" s="30">
        <f t="shared" si="158"/>
        <v>-1.631578947368421</v>
      </c>
      <c r="AD39" s="30">
        <f>AD36/Z36-1</f>
        <v>-1.875</v>
      </c>
      <c r="AE39" s="30">
        <f t="shared" si="160"/>
        <v>-0.5</v>
      </c>
      <c r="AF39" s="30">
        <f t="shared" si="161"/>
        <v>-1.6</v>
      </c>
      <c r="AG39" s="30">
        <f t="shared" si="162"/>
        <v>-2.0000000000000018E-2</v>
      </c>
      <c r="AH39" s="30">
        <f t="shared" si="163"/>
        <v>2.0000000000000018E-2</v>
      </c>
      <c r="AN39" s="28"/>
      <c r="AO39" s="30">
        <f>AO36/AN36-1</f>
        <v>-0.65333333333333332</v>
      </c>
      <c r="AP39" s="30">
        <f t="shared" ref="AP39:AS39" si="171">AP36/AO36-1</f>
        <v>-1.2692307692307692</v>
      </c>
      <c r="AQ39" s="30">
        <f t="shared" si="171"/>
        <v>0.5714285714285714</v>
      </c>
      <c r="AR39" s="30">
        <f t="shared" si="171"/>
        <v>-4.6363636363636367</v>
      </c>
      <c r="AS39" s="30">
        <f t="shared" si="171"/>
        <v>-2.8</v>
      </c>
      <c r="AT39" s="30">
        <f t="shared" si="165"/>
        <v>-1.375</v>
      </c>
      <c r="AU39" s="30">
        <f t="shared" si="166"/>
        <v>-0.22074074074074079</v>
      </c>
      <c r="AV39" s="30">
        <f t="shared" si="167"/>
        <v>5.0000000000000044E-2</v>
      </c>
      <c r="AW39" s="30">
        <f t="shared" si="168"/>
        <v>5.0000000000000044E-2</v>
      </c>
      <c r="AX39" s="30">
        <f t="shared" si="169"/>
        <v>5.0000000000000044E-2</v>
      </c>
    </row>
    <row r="40" spans="1:50" s="20" customFormat="1" x14ac:dyDescent="0.25">
      <c r="A40" s="1"/>
      <c r="B40" s="1"/>
      <c r="C40" s="14"/>
      <c r="D40" s="14"/>
      <c r="E40" s="14"/>
      <c r="F40" s="14"/>
      <c r="G40" s="14"/>
      <c r="H40" s="14"/>
      <c r="I40" s="14"/>
      <c r="J40" s="14"/>
      <c r="K40" s="14"/>
      <c r="L40" s="14"/>
      <c r="M40" s="14"/>
      <c r="N40" s="14"/>
      <c r="O40" s="14"/>
      <c r="P40" s="14"/>
      <c r="Q40" s="14"/>
      <c r="R40" s="14"/>
      <c r="S40" s="14"/>
      <c r="T40" s="14"/>
      <c r="U40" s="14"/>
      <c r="V40" s="14"/>
      <c r="W40" s="14"/>
      <c r="X40" s="14"/>
      <c r="Y40" s="14"/>
      <c r="Z40" s="14"/>
      <c r="AA40" s="31"/>
    </row>
    <row r="41" spans="1:50" s="21" customFormat="1" x14ac:dyDescent="0.25">
      <c r="A41" s="5"/>
      <c r="B41" s="5" t="s">
        <v>92</v>
      </c>
      <c r="C41" s="21">
        <f t="shared" ref="C41:Y41" si="172">C6+C13+C20+C27+C31+C35+C36</f>
        <v>9061</v>
      </c>
      <c r="D41" s="21">
        <f t="shared" si="172"/>
        <v>8180</v>
      </c>
      <c r="E41" s="21">
        <f t="shared" si="172"/>
        <v>8432</v>
      </c>
      <c r="F41" s="21">
        <f t="shared" si="172"/>
        <v>8677</v>
      </c>
      <c r="G41" s="21">
        <f t="shared" si="172"/>
        <v>9070</v>
      </c>
      <c r="H41" s="21">
        <f t="shared" si="172"/>
        <v>8554</v>
      </c>
      <c r="I41" s="21">
        <f t="shared" si="172"/>
        <v>8984</v>
      </c>
      <c r="J41" s="21">
        <f t="shared" si="172"/>
        <v>9789</v>
      </c>
      <c r="K41" s="21">
        <f t="shared" si="172"/>
        <v>9948</v>
      </c>
      <c r="L41" s="21">
        <f t="shared" si="172"/>
        <v>9374</v>
      </c>
      <c r="M41" s="21">
        <f t="shared" si="172"/>
        <v>9611</v>
      </c>
      <c r="N41" s="21">
        <f t="shared" si="172"/>
        <v>10184</v>
      </c>
      <c r="O41" s="21">
        <f t="shared" si="172"/>
        <v>10660</v>
      </c>
      <c r="P41" s="21">
        <f t="shared" si="172"/>
        <v>10326</v>
      </c>
      <c r="Q41" s="21">
        <f t="shared" si="172"/>
        <v>10104</v>
      </c>
      <c r="R41" s="21">
        <f t="shared" si="172"/>
        <v>6313</v>
      </c>
      <c r="S41" s="21">
        <f t="shared" si="172"/>
        <v>10594</v>
      </c>
      <c r="T41" s="21">
        <f t="shared" si="172"/>
        <v>11243</v>
      </c>
      <c r="U41" s="21">
        <f t="shared" si="172"/>
        <v>10357</v>
      </c>
      <c r="V41" s="21">
        <f t="shared" si="172"/>
        <v>12344</v>
      </c>
      <c r="W41" s="21">
        <f t="shared" si="172"/>
        <v>12248</v>
      </c>
      <c r="X41" s="21">
        <f t="shared" si="172"/>
        <v>11357</v>
      </c>
      <c r="Y41" s="21">
        <f t="shared" si="172"/>
        <v>10871</v>
      </c>
      <c r="Z41" s="21">
        <f>Z6+Z13+Z20+Z27+Z31+Z35+Z36</f>
        <v>12234</v>
      </c>
      <c r="AA41" s="21">
        <f t="shared" ref="AA41:AH41" si="173">AA6+AA13+AA20+AA27+AA31+AA35+AA36</f>
        <v>12687</v>
      </c>
      <c r="AB41" s="21">
        <f>AB6+AB13+AB20+AB27+AB31+AB35+AB36</f>
        <v>13315</v>
      </c>
      <c r="AC41" s="21">
        <f>AC6+AC13+AC20+AC27+AC31+AC35+AC36</f>
        <v>12390</v>
      </c>
      <c r="AD41" s="21">
        <f t="shared" si="173"/>
        <v>12825</v>
      </c>
      <c r="AE41" s="21">
        <f t="shared" si="173"/>
        <v>12939</v>
      </c>
      <c r="AF41" s="21">
        <f t="shared" si="173"/>
        <v>13388</v>
      </c>
      <c r="AG41" s="21">
        <f t="shared" si="173"/>
        <v>12142.199999999999</v>
      </c>
      <c r="AH41" s="21">
        <f t="shared" si="173"/>
        <v>13081.5</v>
      </c>
      <c r="AN41" s="21">
        <f t="shared" ref="AN41:AX41" si="174">AN6+AN13+AN20+AN27+AN31+AN35+AN36</f>
        <v>34350</v>
      </c>
      <c r="AO41" s="21">
        <f t="shared" si="174"/>
        <v>36397</v>
      </c>
      <c r="AP41" s="21">
        <f t="shared" si="174"/>
        <v>39117</v>
      </c>
      <c r="AQ41" s="21">
        <f t="shared" si="174"/>
        <v>37403</v>
      </c>
      <c r="AR41" s="21">
        <f t="shared" si="174"/>
        <v>44538</v>
      </c>
      <c r="AS41" s="21">
        <f>AS6+AS13+AS20+AS27+AS31+AS35+AS36</f>
        <v>46710</v>
      </c>
      <c r="AT41" s="21">
        <f>AT6+AT13+AT20+AT27+AT31+AT35+AT36</f>
        <v>51217</v>
      </c>
      <c r="AU41" s="21">
        <f>AU6+AU13+AU20+AU27+AU31+AU35+AU36</f>
        <v>51550.700000000004</v>
      </c>
      <c r="AV41" s="21">
        <f t="shared" si="174"/>
        <v>55194.476999999984</v>
      </c>
      <c r="AW41" s="21">
        <f t="shared" si="174"/>
        <v>59127.067050000012</v>
      </c>
      <c r="AX41" s="21">
        <f t="shared" si="174"/>
        <v>63373.573222500017</v>
      </c>
    </row>
    <row r="42" spans="1:50" x14ac:dyDescent="0.25">
      <c r="B42" s="1" t="s">
        <v>22</v>
      </c>
      <c r="C42" s="2">
        <v>4938</v>
      </c>
      <c r="D42" s="2">
        <v>4564</v>
      </c>
      <c r="E42" s="2">
        <v>4682</v>
      </c>
      <c r="F42" s="2">
        <v>4854</v>
      </c>
      <c r="G42" s="2">
        <v>5108</v>
      </c>
      <c r="H42" s="2">
        <v>4876</v>
      </c>
      <c r="I42" s="2">
        <v>5411</v>
      </c>
      <c r="J42" s="2">
        <v>5411</v>
      </c>
      <c r="K42" s="2">
        <v>5551</v>
      </c>
      <c r="L42" s="2">
        <v>5269</v>
      </c>
      <c r="M42" s="2">
        <v>5272</v>
      </c>
      <c r="N42" s="2">
        <v>5551</v>
      </c>
      <c r="O42" s="2">
        <v>5789</v>
      </c>
      <c r="P42" s="2">
        <v>5782</v>
      </c>
      <c r="Q42" s="2">
        <v>5631</v>
      </c>
      <c r="R42" s="2">
        <v>3960</v>
      </c>
      <c r="S42" s="2">
        <v>5853</v>
      </c>
      <c r="T42" s="2">
        <v>6396</v>
      </c>
      <c r="U42" s="2">
        <v>5638</v>
      </c>
      <c r="V42" s="2">
        <v>6689</v>
      </c>
      <c r="W42" s="2">
        <v>6552</v>
      </c>
      <c r="X42" s="2">
        <v>6144</v>
      </c>
      <c r="Y42" s="2">
        <v>5804</v>
      </c>
      <c r="Z42" s="2">
        <v>6731</v>
      </c>
      <c r="AA42" s="2">
        <v>7072</v>
      </c>
      <c r="AB42" s="2">
        <v>7604</v>
      </c>
      <c r="AC42" s="2">
        <v>7019</v>
      </c>
      <c r="AD42" s="2">
        <v>7230</v>
      </c>
      <c r="AE42" s="2">
        <v>7219</v>
      </c>
      <c r="AF42" s="2">
        <v>7417</v>
      </c>
      <c r="AG42" s="2">
        <f>AC42*0.97</f>
        <v>6808.4299999999994</v>
      </c>
      <c r="AH42" s="2">
        <f>AD42*0.97</f>
        <v>7013.0999999999995</v>
      </c>
      <c r="AN42" s="2">
        <f>SUM(C42:F42)</f>
        <v>19038</v>
      </c>
      <c r="AO42" s="2">
        <f>SUM(G42:J42)</f>
        <v>20806</v>
      </c>
      <c r="AP42" s="2">
        <f>SUM(K42:N42)</f>
        <v>21643</v>
      </c>
      <c r="AQ42" s="2">
        <f>SUM(O42:R42)</f>
        <v>21162</v>
      </c>
      <c r="AR42" s="2">
        <f>SUM(S42:V42)</f>
        <v>24576</v>
      </c>
      <c r="AS42" s="2">
        <f>SUM(W42:Z42)</f>
        <v>25231</v>
      </c>
      <c r="AT42" s="14">
        <f>SUM(AA42:AD42)</f>
        <v>28925</v>
      </c>
      <c r="AU42" s="14">
        <f>SUM(AE42:AH42)</f>
        <v>28457.53</v>
      </c>
      <c r="AV42" s="2">
        <f>AU42*1.05</f>
        <v>29880.406500000001</v>
      </c>
      <c r="AW42" s="14">
        <f t="shared" ref="AW42:AX42" si="175">AV42*1.05</f>
        <v>31374.426825000002</v>
      </c>
      <c r="AX42" s="14">
        <f t="shared" si="175"/>
        <v>32943.148166250001</v>
      </c>
    </row>
    <row r="43" spans="1:50" s="21" customFormat="1" x14ac:dyDescent="0.25">
      <c r="A43" s="5"/>
      <c r="B43" s="5" t="s">
        <v>23</v>
      </c>
      <c r="C43" s="21">
        <f t="shared" ref="C43:T43" si="176">+C41-C42</f>
        <v>4123</v>
      </c>
      <c r="D43" s="21">
        <f t="shared" si="176"/>
        <v>3616</v>
      </c>
      <c r="E43" s="21">
        <f t="shared" si="176"/>
        <v>3750</v>
      </c>
      <c r="F43" s="21">
        <f t="shared" si="176"/>
        <v>3823</v>
      </c>
      <c r="G43" s="21">
        <f t="shared" si="176"/>
        <v>3962</v>
      </c>
      <c r="H43" s="21">
        <f t="shared" si="176"/>
        <v>3678</v>
      </c>
      <c r="I43" s="21">
        <f t="shared" si="176"/>
        <v>3573</v>
      </c>
      <c r="J43" s="21">
        <f t="shared" si="176"/>
        <v>4378</v>
      </c>
      <c r="K43" s="21">
        <f t="shared" si="176"/>
        <v>4397</v>
      </c>
      <c r="L43" s="21">
        <f t="shared" si="176"/>
        <v>4105</v>
      </c>
      <c r="M43" s="21">
        <f t="shared" si="176"/>
        <v>4339</v>
      </c>
      <c r="N43" s="21">
        <f t="shared" si="176"/>
        <v>4633</v>
      </c>
      <c r="O43" s="21">
        <f t="shared" si="176"/>
        <v>4871</v>
      </c>
      <c r="P43" s="21">
        <f t="shared" si="176"/>
        <v>4544</v>
      </c>
      <c r="Q43" s="21">
        <f t="shared" si="176"/>
        <v>4473</v>
      </c>
      <c r="R43" s="21">
        <f t="shared" si="176"/>
        <v>2353</v>
      </c>
      <c r="S43" s="21">
        <f t="shared" si="176"/>
        <v>4741</v>
      </c>
      <c r="T43" s="21">
        <f t="shared" si="176"/>
        <v>4847</v>
      </c>
      <c r="U43" s="21">
        <f t="shared" ref="U43:Y43" si="177">+U41-U42</f>
        <v>4719</v>
      </c>
      <c r="V43" s="21">
        <f t="shared" si="177"/>
        <v>5655</v>
      </c>
      <c r="W43" s="21">
        <f t="shared" si="177"/>
        <v>5696</v>
      </c>
      <c r="X43" s="21">
        <f t="shared" si="177"/>
        <v>5213</v>
      </c>
      <c r="Y43" s="21">
        <f t="shared" si="177"/>
        <v>5067</v>
      </c>
      <c r="Z43" s="21">
        <f>+Z41-Z42</f>
        <v>5503</v>
      </c>
      <c r="AA43" s="21">
        <f t="shared" ref="AA43" si="178">+AA41-AA42</f>
        <v>5615</v>
      </c>
      <c r="AB43" s="21">
        <f t="shared" ref="AB43" si="179">+AB41-AB42</f>
        <v>5711</v>
      </c>
      <c r="AC43" s="21">
        <f t="shared" ref="AC43" si="180">+AC41-AC42</f>
        <v>5371</v>
      </c>
      <c r="AD43" s="21">
        <f t="shared" ref="AD43:AH43" si="181">+AD41-AD42</f>
        <v>5595</v>
      </c>
      <c r="AE43" s="21">
        <f t="shared" si="181"/>
        <v>5720</v>
      </c>
      <c r="AF43" s="21">
        <f t="shared" si="181"/>
        <v>5971</v>
      </c>
      <c r="AG43" s="21">
        <f t="shared" si="181"/>
        <v>5333.7699999999995</v>
      </c>
      <c r="AH43" s="21">
        <f t="shared" si="181"/>
        <v>6068.4000000000005</v>
      </c>
      <c r="AN43" s="21">
        <f>+AN41-AN42</f>
        <v>15312</v>
      </c>
      <c r="AO43" s="21">
        <f>+AO41-AO42</f>
        <v>15591</v>
      </c>
      <c r="AP43" s="21">
        <f t="shared" ref="AP43:AQ43" si="182">+AP41-AP42</f>
        <v>17474</v>
      </c>
      <c r="AQ43" s="21">
        <f t="shared" si="182"/>
        <v>16241</v>
      </c>
      <c r="AR43" s="21">
        <f>+AR41-AR42</f>
        <v>19962</v>
      </c>
      <c r="AS43" s="21">
        <f>+AS41-AS42</f>
        <v>21479</v>
      </c>
      <c r="AT43" s="21">
        <f>+AT41-AT42</f>
        <v>22292</v>
      </c>
      <c r="AU43" s="21">
        <f>+AU41-AU42</f>
        <v>23093.170000000006</v>
      </c>
      <c r="AV43" s="21">
        <f t="shared" ref="AV43:AX43" si="183">+AV41-AV42</f>
        <v>25314.070499999983</v>
      </c>
      <c r="AW43" s="21">
        <f t="shared" si="183"/>
        <v>27752.64022500001</v>
      </c>
      <c r="AX43" s="21">
        <f t="shared" si="183"/>
        <v>30430.425056250016</v>
      </c>
    </row>
    <row r="44" spans="1:50" x14ac:dyDescent="0.25">
      <c r="B44" s="1" t="s">
        <v>25</v>
      </c>
      <c r="C44" s="2">
        <v>1041</v>
      </c>
      <c r="D44" s="2">
        <v>762</v>
      </c>
      <c r="E44" s="2">
        <v>749</v>
      </c>
      <c r="F44" s="2">
        <v>789</v>
      </c>
      <c r="G44" s="2">
        <v>855</v>
      </c>
      <c r="H44" s="2">
        <v>877</v>
      </c>
      <c r="I44" s="2">
        <v>983</v>
      </c>
      <c r="J44" s="2">
        <v>983</v>
      </c>
      <c r="K44" s="2">
        <v>964</v>
      </c>
      <c r="L44" s="2">
        <v>910</v>
      </c>
      <c r="M44" s="2">
        <v>865</v>
      </c>
      <c r="N44" s="2">
        <v>1014</v>
      </c>
      <c r="O44" s="2">
        <v>1018</v>
      </c>
      <c r="P44" s="2">
        <v>881</v>
      </c>
      <c r="Q44" s="2">
        <v>870</v>
      </c>
      <c r="R44" s="2">
        <v>823</v>
      </c>
      <c r="S44" s="2">
        <v>677</v>
      </c>
      <c r="T44" s="2">
        <v>729</v>
      </c>
      <c r="U44" s="2">
        <v>711</v>
      </c>
      <c r="V44" s="2">
        <v>997</v>
      </c>
      <c r="W44" s="2">
        <v>918</v>
      </c>
      <c r="X44" s="2">
        <v>1017</v>
      </c>
      <c r="Y44" s="2">
        <v>854</v>
      </c>
      <c r="Z44" s="2">
        <v>1061</v>
      </c>
      <c r="AA44" s="2">
        <v>943</v>
      </c>
      <c r="AB44" s="2">
        <v>1102</v>
      </c>
      <c r="AC44" s="2">
        <v>923</v>
      </c>
      <c r="AD44" s="2">
        <v>1092</v>
      </c>
      <c r="AE44" s="2">
        <v>1069</v>
      </c>
      <c r="AF44" s="2">
        <v>1114</v>
      </c>
      <c r="AG44" s="2">
        <f>AC44*1.01</f>
        <v>932.23</v>
      </c>
      <c r="AH44" s="2">
        <f>AD44*1.01</f>
        <v>1102.92</v>
      </c>
      <c r="AN44" s="2">
        <f>SUM(C44:F44)</f>
        <v>3341</v>
      </c>
      <c r="AO44" s="2">
        <f>SUM(G44:J44)</f>
        <v>3698</v>
      </c>
      <c r="AP44" s="2">
        <f>SUM(K44:N44)</f>
        <v>3753</v>
      </c>
      <c r="AQ44" s="2">
        <f>SUM(O44:R44)</f>
        <v>3592</v>
      </c>
      <c r="AR44" s="2">
        <f>SUM(S44:V44)</f>
        <v>3114</v>
      </c>
      <c r="AS44" s="2">
        <f>SUM(W44:Z44)</f>
        <v>3850</v>
      </c>
      <c r="AT44" s="14">
        <f>SUM(AA44:AD44)</f>
        <v>4060</v>
      </c>
      <c r="AU44" s="14">
        <f>SUM(AE44:AH44)</f>
        <v>4218.1499999999996</v>
      </c>
      <c r="AV44" s="2">
        <f>AU44*1.02</f>
        <v>4302.5129999999999</v>
      </c>
      <c r="AW44" s="14">
        <f t="shared" ref="AW44:AX44" si="184">AV44*1.05</f>
        <v>4517.6386499999999</v>
      </c>
      <c r="AX44" s="14">
        <f t="shared" si="184"/>
        <v>4743.5205825000003</v>
      </c>
    </row>
    <row r="45" spans="1:50" x14ac:dyDescent="0.25">
      <c r="B45" s="1" t="s">
        <v>24</v>
      </c>
      <c r="C45" s="2">
        <v>1856</v>
      </c>
      <c r="D45" s="2">
        <v>1743</v>
      </c>
      <c r="E45" s="2">
        <v>1747</v>
      </c>
      <c r="F45" s="2">
        <v>1876</v>
      </c>
      <c r="G45" s="2">
        <v>2001</v>
      </c>
      <c r="H45" s="2">
        <v>1891</v>
      </c>
      <c r="I45" s="2">
        <v>2137</v>
      </c>
      <c r="J45" s="2">
        <v>2137</v>
      </c>
      <c r="K45" s="2">
        <v>2099</v>
      </c>
      <c r="L45" s="2">
        <v>2232</v>
      </c>
      <c r="M45" s="2">
        <v>2226</v>
      </c>
      <c r="N45" s="2">
        <v>2392</v>
      </c>
      <c r="O45" s="2">
        <v>2310</v>
      </c>
      <c r="P45" s="2">
        <v>2443</v>
      </c>
      <c r="Q45" s="2">
        <v>2413</v>
      </c>
      <c r="R45" s="2">
        <v>2368</v>
      </c>
      <c r="S45" s="2">
        <v>2298</v>
      </c>
      <c r="T45" s="2">
        <v>2538</v>
      </c>
      <c r="U45" s="2">
        <v>2330</v>
      </c>
      <c r="V45" s="2">
        <v>2745</v>
      </c>
      <c r="W45" s="2">
        <v>2654</v>
      </c>
      <c r="X45" s="2">
        <v>2742</v>
      </c>
      <c r="Y45" s="2">
        <v>2584</v>
      </c>
      <c r="Z45" s="2">
        <v>2974</v>
      </c>
      <c r="AA45" s="2">
        <v>2977</v>
      </c>
      <c r="AB45" s="2">
        <v>3022</v>
      </c>
      <c r="AC45" s="2">
        <v>3036</v>
      </c>
      <c r="AD45" s="2">
        <v>3282</v>
      </c>
      <c r="AE45" s="2">
        <v>3047</v>
      </c>
      <c r="AF45" s="2">
        <v>3032</v>
      </c>
      <c r="AG45" s="2">
        <f>AC45*1.01</f>
        <v>3066.36</v>
      </c>
      <c r="AH45" s="2">
        <f>AD45*1.01</f>
        <v>3314.82</v>
      </c>
      <c r="AN45" s="2">
        <f>SUM(C45:F45)</f>
        <v>7222</v>
      </c>
      <c r="AO45" s="2">
        <f>SUM(G45:J45)</f>
        <v>8166</v>
      </c>
      <c r="AP45" s="2">
        <f>SUM(K45:N45)</f>
        <v>8949</v>
      </c>
      <c r="AQ45" s="2">
        <f>SUM(O45:R45)</f>
        <v>9534</v>
      </c>
      <c r="AR45" s="2">
        <f>SUM(S45:V45)</f>
        <v>9911</v>
      </c>
      <c r="AS45" s="2">
        <f>SUM(W45:Z45)</f>
        <v>10954</v>
      </c>
      <c r="AT45" s="14">
        <f>SUM(AA45:AD45)</f>
        <v>12317</v>
      </c>
      <c r="AU45" s="14">
        <f>SUM(AE45:AH45)</f>
        <v>12460.18</v>
      </c>
      <c r="AV45" s="2">
        <f>AU45*1.02</f>
        <v>12709.383600000001</v>
      </c>
      <c r="AW45" s="14">
        <f t="shared" ref="AW45:AX45" si="185">AV45*1.05</f>
        <v>13344.852780000001</v>
      </c>
      <c r="AX45" s="14">
        <f t="shared" si="185"/>
        <v>14012.095419000001</v>
      </c>
    </row>
    <row r="46" spans="1:50" s="21" customFormat="1" x14ac:dyDescent="0.25">
      <c r="A46" s="5"/>
      <c r="B46" s="5" t="s">
        <v>26</v>
      </c>
      <c r="C46" s="21">
        <f t="shared" ref="C46:S46" si="186">C44+C45</f>
        <v>2897</v>
      </c>
      <c r="D46" s="21">
        <f t="shared" si="186"/>
        <v>2505</v>
      </c>
      <c r="E46" s="21">
        <f t="shared" si="186"/>
        <v>2496</v>
      </c>
      <c r="F46" s="21">
        <f t="shared" si="186"/>
        <v>2665</v>
      </c>
      <c r="G46" s="21">
        <f t="shared" si="186"/>
        <v>2856</v>
      </c>
      <c r="H46" s="21">
        <f t="shared" si="186"/>
        <v>2768</v>
      </c>
      <c r="I46" s="21">
        <f t="shared" si="186"/>
        <v>3120</v>
      </c>
      <c r="J46" s="21">
        <f t="shared" si="186"/>
        <v>3120</v>
      </c>
      <c r="K46" s="21">
        <f t="shared" si="186"/>
        <v>3063</v>
      </c>
      <c r="L46" s="21">
        <f t="shared" si="186"/>
        <v>3142</v>
      </c>
      <c r="M46" s="21">
        <f t="shared" si="186"/>
        <v>3091</v>
      </c>
      <c r="N46" s="21">
        <f t="shared" si="186"/>
        <v>3406</v>
      </c>
      <c r="O46" s="21">
        <f t="shared" si="186"/>
        <v>3328</v>
      </c>
      <c r="P46" s="21">
        <f t="shared" si="186"/>
        <v>3324</v>
      </c>
      <c r="Q46" s="21">
        <f t="shared" si="186"/>
        <v>3283</v>
      </c>
      <c r="R46" s="21">
        <f t="shared" si="186"/>
        <v>3191</v>
      </c>
      <c r="S46" s="21">
        <f t="shared" si="186"/>
        <v>2975</v>
      </c>
      <c r="T46" s="21">
        <f>+T44+T45</f>
        <v>3267</v>
      </c>
      <c r="U46" s="21">
        <f t="shared" ref="U46:V46" si="187">+U44+U45</f>
        <v>3041</v>
      </c>
      <c r="V46" s="21">
        <f t="shared" si="187"/>
        <v>3742</v>
      </c>
      <c r="W46" s="21">
        <f t="shared" ref="W46:Z46" si="188">+W44+W45</f>
        <v>3572</v>
      </c>
      <c r="X46" s="21">
        <f t="shared" si="188"/>
        <v>3759</v>
      </c>
      <c r="Y46" s="21">
        <f t="shared" si="188"/>
        <v>3438</v>
      </c>
      <c r="Z46" s="21">
        <f t="shared" si="188"/>
        <v>4035</v>
      </c>
      <c r="AA46" s="21">
        <f t="shared" ref="AA46:AD46" si="189">+AA44+AA45</f>
        <v>3920</v>
      </c>
      <c r="AB46" s="21">
        <f t="shared" si="189"/>
        <v>4124</v>
      </c>
      <c r="AC46" s="21">
        <f t="shared" si="189"/>
        <v>3959</v>
      </c>
      <c r="AD46" s="21">
        <f t="shared" si="189"/>
        <v>4374</v>
      </c>
      <c r="AE46" s="21">
        <f t="shared" ref="AE46:AF46" si="190">+AE44+AE45</f>
        <v>4116</v>
      </c>
      <c r="AF46" s="21">
        <f t="shared" si="190"/>
        <v>4146</v>
      </c>
      <c r="AG46" s="21">
        <f t="shared" ref="AG46:AH46" si="191">+AG44+AG45</f>
        <v>3998.59</v>
      </c>
      <c r="AH46" s="21">
        <f t="shared" si="191"/>
        <v>4417.74</v>
      </c>
      <c r="AN46" s="21">
        <f>+AN44+AN45</f>
        <v>10563</v>
      </c>
      <c r="AO46" s="21">
        <f t="shared" ref="AO46:AQ46" si="192">+AO44+AO45</f>
        <v>11864</v>
      </c>
      <c r="AP46" s="21">
        <f t="shared" si="192"/>
        <v>12702</v>
      </c>
      <c r="AQ46" s="21">
        <f t="shared" si="192"/>
        <v>13126</v>
      </c>
      <c r="AR46" s="21">
        <f>+AR44+AR45</f>
        <v>13025</v>
      </c>
      <c r="AS46" s="21">
        <f>+AS44+AS45</f>
        <v>14804</v>
      </c>
      <c r="AT46" s="21">
        <f>+AT44+AT45</f>
        <v>16377</v>
      </c>
      <c r="AU46" s="21">
        <f t="shared" ref="AU46:AX46" si="193">+AU44+AU45</f>
        <v>16678.330000000002</v>
      </c>
      <c r="AV46" s="21">
        <f t="shared" si="193"/>
        <v>17011.8966</v>
      </c>
      <c r="AW46" s="21">
        <f t="shared" si="193"/>
        <v>17862.491430000002</v>
      </c>
      <c r="AX46" s="21">
        <f t="shared" si="193"/>
        <v>18755.616001500002</v>
      </c>
    </row>
    <row r="47" spans="1:50" s="21" customFormat="1" x14ac:dyDescent="0.25">
      <c r="A47" s="5"/>
      <c r="B47" s="5" t="s">
        <v>27</v>
      </c>
      <c r="C47" s="21">
        <f t="shared" ref="C47:T47" si="194">+C43-C46</f>
        <v>1226</v>
      </c>
      <c r="D47" s="21">
        <f t="shared" si="194"/>
        <v>1111</v>
      </c>
      <c r="E47" s="21">
        <f t="shared" si="194"/>
        <v>1254</v>
      </c>
      <c r="F47" s="21">
        <f t="shared" si="194"/>
        <v>1158</v>
      </c>
      <c r="G47" s="21">
        <f t="shared" si="194"/>
        <v>1106</v>
      </c>
      <c r="H47" s="21">
        <f t="shared" si="194"/>
        <v>910</v>
      </c>
      <c r="I47" s="21">
        <f t="shared" si="194"/>
        <v>453</v>
      </c>
      <c r="J47" s="21">
        <f t="shared" si="194"/>
        <v>1258</v>
      </c>
      <c r="K47" s="21">
        <f t="shared" si="194"/>
        <v>1334</v>
      </c>
      <c r="L47" s="21">
        <f t="shared" si="194"/>
        <v>963</v>
      </c>
      <c r="M47" s="21">
        <f t="shared" si="194"/>
        <v>1248</v>
      </c>
      <c r="N47" s="21">
        <f t="shared" si="194"/>
        <v>1227</v>
      </c>
      <c r="O47" s="21">
        <f t="shared" si="194"/>
        <v>1543</v>
      </c>
      <c r="P47" s="21">
        <f t="shared" si="194"/>
        <v>1220</v>
      </c>
      <c r="Q47" s="21">
        <f t="shared" si="194"/>
        <v>1190</v>
      </c>
      <c r="R47" s="21">
        <f t="shared" si="194"/>
        <v>-838</v>
      </c>
      <c r="S47" s="21">
        <f t="shared" si="194"/>
        <v>1766</v>
      </c>
      <c r="T47" s="21">
        <f t="shared" si="194"/>
        <v>1580</v>
      </c>
      <c r="U47" s="21">
        <f t="shared" ref="U47:V47" si="195">+U43-U46</f>
        <v>1678</v>
      </c>
      <c r="V47" s="21">
        <f t="shared" si="195"/>
        <v>1913</v>
      </c>
      <c r="W47" s="21">
        <f t="shared" ref="W47:Z47" si="196">+W43-W46</f>
        <v>2124</v>
      </c>
      <c r="X47" s="21">
        <f t="shared" si="196"/>
        <v>1454</v>
      </c>
      <c r="Y47" s="21">
        <f t="shared" si="196"/>
        <v>1629</v>
      </c>
      <c r="Z47" s="21">
        <f t="shared" si="196"/>
        <v>1468</v>
      </c>
      <c r="AA47" s="21">
        <f t="shared" ref="AA47:AD47" si="197">+AA43-AA46</f>
        <v>1695</v>
      </c>
      <c r="AB47" s="21">
        <f t="shared" si="197"/>
        <v>1587</v>
      </c>
      <c r="AC47" s="21">
        <f t="shared" si="197"/>
        <v>1412</v>
      </c>
      <c r="AD47" s="21">
        <f t="shared" si="197"/>
        <v>1221</v>
      </c>
      <c r="AE47" s="21">
        <f t="shared" ref="AE47:AF47" si="198">+AE43-AE46</f>
        <v>1604</v>
      </c>
      <c r="AF47" s="21">
        <f t="shared" si="198"/>
        <v>1825</v>
      </c>
      <c r="AG47" s="21">
        <f t="shared" ref="AG47:AH47" si="199">+AG43-AG46</f>
        <v>1335.1799999999994</v>
      </c>
      <c r="AH47" s="21">
        <f t="shared" si="199"/>
        <v>1650.6600000000008</v>
      </c>
      <c r="AN47" s="21">
        <f>+AN43-AN46</f>
        <v>4749</v>
      </c>
      <c r="AO47" s="21">
        <f t="shared" ref="AO47:AQ47" si="200">+AO43-AO46</f>
        <v>3727</v>
      </c>
      <c r="AP47" s="21">
        <f t="shared" si="200"/>
        <v>4772</v>
      </c>
      <c r="AQ47" s="21">
        <f t="shared" si="200"/>
        <v>3115</v>
      </c>
      <c r="AR47" s="21">
        <f>+AR43-AR46</f>
        <v>6937</v>
      </c>
      <c r="AS47" s="21">
        <f>+AS43-AS46</f>
        <v>6675</v>
      </c>
      <c r="AT47" s="21">
        <f>+AT43-AT46</f>
        <v>5915</v>
      </c>
      <c r="AU47" s="21">
        <f t="shared" ref="AU47:AX47" si="201">+AU43-AU46</f>
        <v>6414.8400000000038</v>
      </c>
      <c r="AV47" s="21">
        <f t="shared" si="201"/>
        <v>8302.1738999999834</v>
      </c>
      <c r="AW47" s="21">
        <f t="shared" si="201"/>
        <v>9890.1487950000082</v>
      </c>
      <c r="AX47" s="21">
        <f t="shared" si="201"/>
        <v>11674.809054750014</v>
      </c>
    </row>
    <row r="48" spans="1:50" x14ac:dyDescent="0.25">
      <c r="B48" s="25" t="s">
        <v>73</v>
      </c>
      <c r="C48" s="2">
        <f>7</f>
        <v>7</v>
      </c>
      <c r="D48" s="2">
        <f>15</f>
        <v>15</v>
      </c>
      <c r="E48" s="2">
        <f>19</f>
        <v>19</v>
      </c>
      <c r="F48" s="2">
        <f>18</f>
        <v>18</v>
      </c>
      <c r="G48" s="2">
        <f>16</f>
        <v>16</v>
      </c>
      <c r="H48" s="2">
        <f>13</f>
        <v>13</v>
      </c>
      <c r="I48" s="2">
        <f>12</f>
        <v>12</v>
      </c>
      <c r="J48" s="2">
        <f>12</f>
        <v>12</v>
      </c>
      <c r="K48" s="2">
        <f>11</f>
        <v>11</v>
      </c>
      <c r="L48" s="2">
        <f>14</f>
        <v>14</v>
      </c>
      <c r="M48" s="2">
        <f>12</f>
        <v>12</v>
      </c>
      <c r="N48" s="2">
        <f>12</f>
        <v>12</v>
      </c>
      <c r="O48" s="2">
        <f>15</f>
        <v>15</v>
      </c>
      <c r="P48" s="2">
        <f>12</f>
        <v>12</v>
      </c>
      <c r="Q48" s="2">
        <f>12</f>
        <v>12</v>
      </c>
      <c r="R48" s="2">
        <f>50</f>
        <v>50</v>
      </c>
      <c r="S48" s="2">
        <f>65</f>
        <v>65</v>
      </c>
      <c r="T48" s="2">
        <f>70</f>
        <v>70</v>
      </c>
      <c r="U48" s="2">
        <f>64</f>
        <v>64</v>
      </c>
      <c r="V48" s="2">
        <v>63</v>
      </c>
      <c r="W48" s="2">
        <f>57</f>
        <v>57</v>
      </c>
      <c r="X48" s="2">
        <f>55</f>
        <v>55</v>
      </c>
      <c r="Y48" s="2">
        <f>53</f>
        <v>53</v>
      </c>
      <c r="Z48" s="2">
        <v>40</v>
      </c>
      <c r="AA48" s="2">
        <v>13</v>
      </c>
      <c r="AB48" s="2">
        <v>16</v>
      </c>
      <c r="AC48" s="2">
        <v>-7</v>
      </c>
      <c r="AD48" s="2">
        <v>-28</v>
      </c>
      <c r="AE48" s="2">
        <v>-34</v>
      </c>
      <c r="AF48" s="2">
        <v>-22</v>
      </c>
      <c r="AG48" s="2">
        <v>50</v>
      </c>
      <c r="AH48" s="2">
        <v>100</v>
      </c>
      <c r="AN48" s="2">
        <f>SUM(C48:F48)</f>
        <v>59</v>
      </c>
      <c r="AO48" s="2">
        <f>SUM(G48:J48)</f>
        <v>53</v>
      </c>
      <c r="AP48" s="2">
        <f>SUM(K48:N48)</f>
        <v>49</v>
      </c>
      <c r="AQ48" s="2">
        <f>SUM(O48:R48)</f>
        <v>89</v>
      </c>
      <c r="AR48" s="2">
        <f>SUM(S48:V48)</f>
        <v>262</v>
      </c>
      <c r="AS48" s="2">
        <f>SUM(W48:Z48)</f>
        <v>205</v>
      </c>
      <c r="AT48" s="14">
        <f>SUM(AA48:AD48)</f>
        <v>-6</v>
      </c>
      <c r="AU48" s="14">
        <f>SUM(AE48:AH48)</f>
        <v>94</v>
      </c>
      <c r="AV48" s="2">
        <f t="shared" ref="AV48:AX49" si="202">AU48*1.05</f>
        <v>98.7</v>
      </c>
      <c r="AW48" s="14">
        <f t="shared" si="202"/>
        <v>103.63500000000001</v>
      </c>
      <c r="AX48" s="14">
        <f t="shared" si="202"/>
        <v>108.81675000000001</v>
      </c>
    </row>
    <row r="49" spans="1:394" x14ac:dyDescent="0.25">
      <c r="B49" s="25" t="s">
        <v>72</v>
      </c>
      <c r="C49" s="2">
        <v>-62</v>
      </c>
      <c r="D49" s="2">
        <v>-18</v>
      </c>
      <c r="E49" s="2">
        <v>-88</v>
      </c>
      <c r="F49" s="2">
        <v>-28</v>
      </c>
      <c r="G49" s="2">
        <v>18</v>
      </c>
      <c r="H49" s="2">
        <v>18</v>
      </c>
      <c r="I49" s="2">
        <v>31</v>
      </c>
      <c r="J49" s="2">
        <v>31</v>
      </c>
      <c r="K49" s="2">
        <v>53</v>
      </c>
      <c r="L49" s="2">
        <v>-48</v>
      </c>
      <c r="M49" s="2">
        <v>-55</v>
      </c>
      <c r="N49" s="2">
        <v>-28</v>
      </c>
      <c r="O49" s="2">
        <v>-33</v>
      </c>
      <c r="P49" s="2">
        <v>-41</v>
      </c>
      <c r="Q49" s="2">
        <v>297</v>
      </c>
      <c r="R49" s="2">
        <v>-84</v>
      </c>
      <c r="S49" s="2">
        <v>-14</v>
      </c>
      <c r="T49" s="2">
        <v>54</v>
      </c>
      <c r="U49" s="2">
        <v>-22</v>
      </c>
      <c r="V49" s="2">
        <v>-4</v>
      </c>
      <c r="W49" s="2">
        <v>-39</v>
      </c>
      <c r="X49" s="2">
        <v>-102</v>
      </c>
      <c r="Y49" s="2">
        <v>-94</v>
      </c>
      <c r="Z49" s="2">
        <v>54</v>
      </c>
      <c r="AA49" s="2">
        <v>-146</v>
      </c>
      <c r="AB49" s="2">
        <v>-79</v>
      </c>
      <c r="AC49" s="2">
        <v>-58</v>
      </c>
      <c r="AD49" s="2">
        <v>3</v>
      </c>
      <c r="AE49" s="2">
        <v>-10</v>
      </c>
      <c r="AF49" s="2">
        <v>-75</v>
      </c>
      <c r="AG49" s="2">
        <v>50</v>
      </c>
      <c r="AH49" s="2">
        <v>100</v>
      </c>
      <c r="AN49" s="2">
        <f>SUM(C49:F49)</f>
        <v>-196</v>
      </c>
      <c r="AO49" s="2">
        <f>SUM(G49:J49)</f>
        <v>98</v>
      </c>
      <c r="AP49" s="2">
        <f>SUM(K49:N49)</f>
        <v>-78</v>
      </c>
      <c r="AQ49" s="2">
        <f>SUM(O49:R49)</f>
        <v>139</v>
      </c>
      <c r="AR49" s="2">
        <f>SUM(S49:V49)</f>
        <v>14</v>
      </c>
      <c r="AS49" s="2">
        <f>SUM(W49:Z49)</f>
        <v>-181</v>
      </c>
      <c r="AT49" s="14">
        <f>SUM(AA49:AD49)</f>
        <v>-280</v>
      </c>
      <c r="AU49" s="14">
        <f>SUM(AE49:AH49)</f>
        <v>65</v>
      </c>
      <c r="AV49" s="2">
        <f t="shared" si="202"/>
        <v>68.25</v>
      </c>
      <c r="AW49" s="14">
        <f t="shared" si="202"/>
        <v>71.662500000000009</v>
      </c>
      <c r="AX49" s="14">
        <f t="shared" si="202"/>
        <v>75.245625000000018</v>
      </c>
    </row>
    <row r="50" spans="1:394" x14ac:dyDescent="0.25">
      <c r="B50" s="1" t="s">
        <v>28</v>
      </c>
      <c r="C50" s="2">
        <f>+C47-C48-C49</f>
        <v>1281</v>
      </c>
      <c r="D50" s="2">
        <f t="shared" ref="D50:Y50" si="203">+D47-D48-D49</f>
        <v>1114</v>
      </c>
      <c r="E50" s="2">
        <f t="shared" si="203"/>
        <v>1323</v>
      </c>
      <c r="F50" s="2">
        <f t="shared" si="203"/>
        <v>1168</v>
      </c>
      <c r="G50" s="2">
        <f t="shared" si="203"/>
        <v>1072</v>
      </c>
      <c r="H50" s="2">
        <f t="shared" si="203"/>
        <v>879</v>
      </c>
      <c r="I50" s="2">
        <f t="shared" si="203"/>
        <v>410</v>
      </c>
      <c r="J50" s="2">
        <f t="shared" si="203"/>
        <v>1215</v>
      </c>
      <c r="K50" s="2">
        <f t="shared" si="203"/>
        <v>1270</v>
      </c>
      <c r="L50" s="2">
        <f t="shared" si="203"/>
        <v>997</v>
      </c>
      <c r="M50" s="2">
        <f t="shared" si="203"/>
        <v>1291</v>
      </c>
      <c r="N50" s="2">
        <f t="shared" si="203"/>
        <v>1243</v>
      </c>
      <c r="O50" s="2">
        <f t="shared" si="203"/>
        <v>1561</v>
      </c>
      <c r="P50" s="2">
        <f t="shared" si="203"/>
        <v>1249</v>
      </c>
      <c r="Q50" s="2">
        <f t="shared" si="203"/>
        <v>881</v>
      </c>
      <c r="R50" s="2">
        <f t="shared" si="203"/>
        <v>-804</v>
      </c>
      <c r="S50" s="2">
        <f t="shared" si="203"/>
        <v>1715</v>
      </c>
      <c r="T50" s="2">
        <f t="shared" si="203"/>
        <v>1456</v>
      </c>
      <c r="U50" s="2">
        <f t="shared" si="203"/>
        <v>1636</v>
      </c>
      <c r="V50" s="2">
        <f t="shared" si="203"/>
        <v>1854</v>
      </c>
      <c r="W50" s="2">
        <f t="shared" si="203"/>
        <v>2106</v>
      </c>
      <c r="X50" s="2">
        <f t="shared" si="203"/>
        <v>1501</v>
      </c>
      <c r="Y50" s="2">
        <f t="shared" si="203"/>
        <v>1670</v>
      </c>
      <c r="Z50" s="2">
        <f>+Z47-Z48-Z49</f>
        <v>1374</v>
      </c>
      <c r="AA50" s="2">
        <f>+AA47-AA48-AA49</f>
        <v>1828</v>
      </c>
      <c r="AB50" s="2">
        <f t="shared" ref="AB50:AH50" si="204">+AB47-AB48-AB49</f>
        <v>1650</v>
      </c>
      <c r="AC50" s="2">
        <f t="shared" si="204"/>
        <v>1477</v>
      </c>
      <c r="AD50" s="2">
        <f t="shared" si="204"/>
        <v>1246</v>
      </c>
      <c r="AE50" s="2">
        <f t="shared" si="204"/>
        <v>1648</v>
      </c>
      <c r="AF50" s="2">
        <f t="shared" si="204"/>
        <v>1922</v>
      </c>
      <c r="AG50" s="2">
        <f t="shared" si="204"/>
        <v>1235.1799999999994</v>
      </c>
      <c r="AH50" s="2">
        <f t="shared" si="204"/>
        <v>1450.6600000000008</v>
      </c>
      <c r="AN50" s="2">
        <f>+AN47-AN48-AN49</f>
        <v>4886</v>
      </c>
      <c r="AO50" s="2">
        <f t="shared" ref="AO50:AR50" si="205">+AO47-AO48-AO49</f>
        <v>3576</v>
      </c>
      <c r="AP50" s="2">
        <f t="shared" si="205"/>
        <v>4801</v>
      </c>
      <c r="AQ50" s="2">
        <f t="shared" si="205"/>
        <v>2887</v>
      </c>
      <c r="AR50" s="2">
        <f t="shared" si="205"/>
        <v>6661</v>
      </c>
      <c r="AS50" s="2">
        <f>+AS47-AS48-AS49</f>
        <v>6651</v>
      </c>
      <c r="AT50" s="2">
        <f>+AT47-AT48-AT49</f>
        <v>6201</v>
      </c>
      <c r="AU50" s="2">
        <f t="shared" ref="AU50:AX50" si="206">+AU47-AU48-AU49</f>
        <v>6255.8400000000038</v>
      </c>
      <c r="AV50" s="2">
        <f t="shared" si="206"/>
        <v>8135.2238999999827</v>
      </c>
      <c r="AW50" s="2">
        <f t="shared" si="206"/>
        <v>9714.8512950000077</v>
      </c>
      <c r="AX50" s="2">
        <f t="shared" si="206"/>
        <v>11490.746679750015</v>
      </c>
    </row>
    <row r="51" spans="1:394" x14ac:dyDescent="0.25">
      <c r="B51" s="1" t="s">
        <v>29</v>
      </c>
      <c r="C51" s="2">
        <v>32</v>
      </c>
      <c r="D51" s="2">
        <v>272</v>
      </c>
      <c r="E51" s="2">
        <v>182</v>
      </c>
      <c r="F51" s="2">
        <v>160</v>
      </c>
      <c r="G51" s="2">
        <v>122</v>
      </c>
      <c r="H51" s="2">
        <v>112</v>
      </c>
      <c r="I51" s="2">
        <v>78</v>
      </c>
      <c r="J51" s="2">
        <v>78</v>
      </c>
      <c r="K51" s="2">
        <v>178</v>
      </c>
      <c r="L51" s="2">
        <v>150</v>
      </c>
      <c r="M51" s="2">
        <v>190</v>
      </c>
      <c r="N51" s="2">
        <v>254</v>
      </c>
      <c r="O51" s="2">
        <v>194</v>
      </c>
      <c r="P51" s="2">
        <v>134</v>
      </c>
      <c r="Q51" s="2">
        <v>34</v>
      </c>
      <c r="R51" s="2">
        <v>-14</v>
      </c>
      <c r="S51" s="2">
        <v>197</v>
      </c>
      <c r="T51" s="2">
        <v>205</v>
      </c>
      <c r="U51" s="2">
        <v>187</v>
      </c>
      <c r="V51" s="2">
        <v>345</v>
      </c>
      <c r="W51" s="2">
        <v>232</v>
      </c>
      <c r="X51" s="2">
        <v>164</v>
      </c>
      <c r="Y51" s="2">
        <v>274</v>
      </c>
      <c r="Z51" s="2">
        <v>-65</v>
      </c>
      <c r="AA51" s="2">
        <v>360</v>
      </c>
      <c r="AB51" s="2">
        <v>319</v>
      </c>
      <c r="AC51" s="2">
        <v>237</v>
      </c>
      <c r="AD51" s="2">
        <v>215</v>
      </c>
      <c r="AE51" s="2">
        <v>198</v>
      </c>
      <c r="AF51" s="2">
        <v>344</v>
      </c>
      <c r="AG51" s="2">
        <f>AG50*AVERAGE(C68:AF68)</f>
        <v>159.90258523758288</v>
      </c>
      <c r="AH51" s="2">
        <f>AH50*AVERAGE(D68:AG68)</f>
        <v>192.84995242635082</v>
      </c>
      <c r="AN51" s="2">
        <f>SUM(C51:F51)</f>
        <v>646</v>
      </c>
      <c r="AO51" s="2">
        <f>SUM(G51:J51)</f>
        <v>390</v>
      </c>
      <c r="AP51" s="2">
        <f>SUM(K51:N51)</f>
        <v>772</v>
      </c>
      <c r="AQ51" s="2">
        <f>SUM(O51:R51)</f>
        <v>348</v>
      </c>
      <c r="AR51" s="2">
        <f>SUM(S51:V51)</f>
        <v>934</v>
      </c>
      <c r="AS51" s="2">
        <f>SUM(W51:Z51)</f>
        <v>605</v>
      </c>
      <c r="AT51" s="14">
        <f>SUM(AA51:AD51)</f>
        <v>1131</v>
      </c>
      <c r="AU51" s="14">
        <f>SUM(AE51:AH51)</f>
        <v>894.75253766393371</v>
      </c>
      <c r="AV51" s="2">
        <f t="shared" ref="AV51" si="207">AV50*0.21</f>
        <v>1708.3970189999964</v>
      </c>
      <c r="AW51" s="14">
        <f t="shared" ref="AW51:AX51" si="208">AV51*1.05</f>
        <v>1793.8168699499963</v>
      </c>
      <c r="AX51" s="14">
        <f t="shared" si="208"/>
        <v>1883.5077134474961</v>
      </c>
    </row>
    <row r="52" spans="1:394" s="21" customFormat="1" x14ac:dyDescent="0.25">
      <c r="A52" s="5"/>
      <c r="B52" s="5" t="s">
        <v>30</v>
      </c>
      <c r="C52" s="21">
        <f t="shared" ref="C52:T52" si="209">+C50-C51</f>
        <v>1249</v>
      </c>
      <c r="D52" s="21">
        <f t="shared" si="209"/>
        <v>842</v>
      </c>
      <c r="E52" s="21">
        <f t="shared" si="209"/>
        <v>1141</v>
      </c>
      <c r="F52" s="21">
        <f t="shared" si="209"/>
        <v>1008</v>
      </c>
      <c r="G52" s="21">
        <f t="shared" si="209"/>
        <v>950</v>
      </c>
      <c r="H52" s="21">
        <f t="shared" si="209"/>
        <v>767</v>
      </c>
      <c r="I52" s="21">
        <f t="shared" si="209"/>
        <v>332</v>
      </c>
      <c r="J52" s="21">
        <f t="shared" si="209"/>
        <v>1137</v>
      </c>
      <c r="K52" s="21">
        <f t="shared" si="209"/>
        <v>1092</v>
      </c>
      <c r="L52" s="21">
        <f t="shared" si="209"/>
        <v>847</v>
      </c>
      <c r="M52" s="21">
        <f t="shared" si="209"/>
        <v>1101</v>
      </c>
      <c r="N52" s="21">
        <f t="shared" si="209"/>
        <v>989</v>
      </c>
      <c r="O52" s="21">
        <f t="shared" si="209"/>
        <v>1367</v>
      </c>
      <c r="P52" s="21">
        <f t="shared" si="209"/>
        <v>1115</v>
      </c>
      <c r="Q52" s="21">
        <f t="shared" si="209"/>
        <v>847</v>
      </c>
      <c r="R52" s="21">
        <f t="shared" si="209"/>
        <v>-790</v>
      </c>
      <c r="S52" s="21">
        <f t="shared" si="209"/>
        <v>1518</v>
      </c>
      <c r="T52" s="21">
        <f t="shared" si="209"/>
        <v>1251</v>
      </c>
      <c r="U52" s="21">
        <f t="shared" ref="U52:AH52" si="210">+U50-U51</f>
        <v>1449</v>
      </c>
      <c r="V52" s="21">
        <f t="shared" si="210"/>
        <v>1509</v>
      </c>
      <c r="W52" s="21">
        <f t="shared" si="210"/>
        <v>1874</v>
      </c>
      <c r="X52" s="21">
        <f t="shared" si="210"/>
        <v>1337</v>
      </c>
      <c r="Y52" s="21">
        <f t="shared" si="210"/>
        <v>1396</v>
      </c>
      <c r="Z52" s="21">
        <f t="shared" si="210"/>
        <v>1439</v>
      </c>
      <c r="AA52" s="21">
        <f t="shared" si="210"/>
        <v>1468</v>
      </c>
      <c r="AB52" s="21">
        <f t="shared" si="210"/>
        <v>1331</v>
      </c>
      <c r="AC52" s="21">
        <f t="shared" si="210"/>
        <v>1240</v>
      </c>
      <c r="AD52" s="21">
        <f t="shared" si="210"/>
        <v>1031</v>
      </c>
      <c r="AE52" s="21">
        <f t="shared" si="210"/>
        <v>1450</v>
      </c>
      <c r="AF52" s="21">
        <f t="shared" si="210"/>
        <v>1578</v>
      </c>
      <c r="AG52" s="21">
        <f t="shared" si="210"/>
        <v>1075.2774147624166</v>
      </c>
      <c r="AH52" s="21">
        <f t="shared" si="210"/>
        <v>1257.8100475736499</v>
      </c>
      <c r="AN52" s="21">
        <f>AN50-AN51</f>
        <v>4240</v>
      </c>
      <c r="AO52" s="21">
        <f t="shared" ref="AO52:AQ52" si="211">AO50-AO51</f>
        <v>3186</v>
      </c>
      <c r="AP52" s="21">
        <f t="shared" si="211"/>
        <v>4029</v>
      </c>
      <c r="AQ52" s="21">
        <f t="shared" si="211"/>
        <v>2539</v>
      </c>
      <c r="AR52" s="21">
        <f>AR50-AR51</f>
        <v>5727</v>
      </c>
      <c r="AS52" s="21">
        <f>AS50-AS51</f>
        <v>6046</v>
      </c>
      <c r="AT52" s="21">
        <f>AT50-AT51</f>
        <v>5070</v>
      </c>
      <c r="AU52" s="21">
        <f t="shared" ref="AU52:AX52" si="212">AU50-AU51</f>
        <v>5361.0874623360705</v>
      </c>
      <c r="AV52" s="21">
        <f t="shared" si="212"/>
        <v>6426.8268809999863</v>
      </c>
      <c r="AW52" s="21">
        <f t="shared" si="212"/>
        <v>7921.0344250500111</v>
      </c>
      <c r="AX52" s="21">
        <f t="shared" si="212"/>
        <v>9607.2389663025187</v>
      </c>
      <c r="AY52" s="21">
        <f t="shared" ref="AY52:DJ52" si="213">AX52*(1+$BB$60)</f>
        <v>9511.1665766394926</v>
      </c>
      <c r="AZ52" s="21">
        <f t="shared" si="213"/>
        <v>9416.0549108730975</v>
      </c>
      <c r="BA52" s="21">
        <f t="shared" si="213"/>
        <v>9321.8943617643672</v>
      </c>
      <c r="BB52" s="21">
        <f t="shared" si="213"/>
        <v>9228.675418146724</v>
      </c>
      <c r="BC52" s="21">
        <f t="shared" si="213"/>
        <v>9136.3886639652574</v>
      </c>
      <c r="BD52" s="21">
        <f t="shared" si="213"/>
        <v>9045.0247773256051</v>
      </c>
      <c r="BE52" s="21">
        <f t="shared" si="213"/>
        <v>8954.5745295523484</v>
      </c>
      <c r="BF52" s="21">
        <f t="shared" si="213"/>
        <v>8865.028784256825</v>
      </c>
      <c r="BG52" s="21">
        <f t="shared" si="213"/>
        <v>8776.378496414256</v>
      </c>
      <c r="BH52" s="21">
        <f t="shared" si="213"/>
        <v>8688.6147114501127</v>
      </c>
      <c r="BI52" s="21">
        <f t="shared" si="213"/>
        <v>8601.7285643356117</v>
      </c>
      <c r="BJ52" s="21">
        <f t="shared" si="213"/>
        <v>8515.7112786922553</v>
      </c>
      <c r="BK52" s="21">
        <f t="shared" si="213"/>
        <v>8430.5541659053324</v>
      </c>
      <c r="BL52" s="21">
        <f t="shared" si="213"/>
        <v>8346.2486242462783</v>
      </c>
      <c r="BM52" s="21">
        <f t="shared" si="213"/>
        <v>8262.7861380038157</v>
      </c>
      <c r="BN52" s="21">
        <f t="shared" si="213"/>
        <v>8180.1582766237771</v>
      </c>
      <c r="BO52" s="21">
        <f t="shared" si="213"/>
        <v>8098.3566938575395</v>
      </c>
      <c r="BP52" s="21">
        <f t="shared" si="213"/>
        <v>8017.3731269189639</v>
      </c>
      <c r="BQ52" s="21">
        <f t="shared" si="213"/>
        <v>7937.1993956497745</v>
      </c>
      <c r="BR52" s="21">
        <f t="shared" si="213"/>
        <v>7857.8274016932764</v>
      </c>
      <c r="BS52" s="21">
        <f t="shared" si="213"/>
        <v>7779.249127676344</v>
      </c>
      <c r="BT52" s="21">
        <f t="shared" si="213"/>
        <v>7701.45663639958</v>
      </c>
      <c r="BU52" s="21">
        <f t="shared" si="213"/>
        <v>7624.442070035584</v>
      </c>
      <c r="BV52" s="21">
        <f t="shared" si="213"/>
        <v>7548.1976493352286</v>
      </c>
      <c r="BW52" s="21">
        <f t="shared" si="213"/>
        <v>7472.7156728418759</v>
      </c>
      <c r="BX52" s="21">
        <f t="shared" si="213"/>
        <v>7397.9885161134571</v>
      </c>
      <c r="BY52" s="21">
        <f t="shared" si="213"/>
        <v>7324.0086309523222</v>
      </c>
      <c r="BZ52" s="21">
        <f t="shared" si="213"/>
        <v>7250.7685446427986</v>
      </c>
      <c r="CA52" s="21">
        <f t="shared" si="213"/>
        <v>7178.2608591963708</v>
      </c>
      <c r="CB52" s="21">
        <f t="shared" si="213"/>
        <v>7106.4782506044066</v>
      </c>
      <c r="CC52" s="21">
        <f t="shared" si="213"/>
        <v>7035.4134680983625</v>
      </c>
      <c r="CD52" s="21">
        <f t="shared" si="213"/>
        <v>6965.0593334173791</v>
      </c>
      <c r="CE52" s="21">
        <f t="shared" si="213"/>
        <v>6895.408740083205</v>
      </c>
      <c r="CF52" s="21">
        <f t="shared" si="213"/>
        <v>6826.4546526823733</v>
      </c>
      <c r="CG52" s="21">
        <f t="shared" si="213"/>
        <v>6758.1901061555491</v>
      </c>
      <c r="CH52" s="21">
        <f t="shared" si="213"/>
        <v>6690.6082050939931</v>
      </c>
      <c r="CI52" s="21">
        <f t="shared" si="213"/>
        <v>6623.7021230430528</v>
      </c>
      <c r="CJ52" s="21">
        <f t="shared" si="213"/>
        <v>6557.4651018126224</v>
      </c>
      <c r="CK52" s="21">
        <f t="shared" si="213"/>
        <v>6491.8904507944962</v>
      </c>
      <c r="CL52" s="21">
        <f t="shared" si="213"/>
        <v>6426.9715462865515</v>
      </c>
      <c r="CM52" s="21">
        <f t="shared" si="213"/>
        <v>6362.7018308236857</v>
      </c>
      <c r="CN52" s="21">
        <f t="shared" si="213"/>
        <v>6299.0748125154487</v>
      </c>
      <c r="CO52" s="21">
        <f t="shared" si="213"/>
        <v>6236.0840643902939</v>
      </c>
      <c r="CP52" s="21">
        <f t="shared" si="213"/>
        <v>6173.7232237463904</v>
      </c>
      <c r="CQ52" s="21">
        <f t="shared" si="213"/>
        <v>6111.9859915089264</v>
      </c>
      <c r="CR52" s="21">
        <f t="shared" si="213"/>
        <v>6050.8661315938371</v>
      </c>
      <c r="CS52" s="21">
        <f t="shared" si="213"/>
        <v>5990.3574702778988</v>
      </c>
      <c r="CT52" s="21">
        <f t="shared" si="213"/>
        <v>5930.4538955751195</v>
      </c>
      <c r="CU52" s="21">
        <f t="shared" si="213"/>
        <v>5871.1493566193685</v>
      </c>
      <c r="CV52" s="21">
        <f t="shared" si="213"/>
        <v>5812.4378630531746</v>
      </c>
      <c r="CW52" s="21">
        <f t="shared" si="213"/>
        <v>5754.3134844226424</v>
      </c>
      <c r="CX52" s="21">
        <f t="shared" si="213"/>
        <v>5696.7703495784162</v>
      </c>
      <c r="CY52" s="21">
        <f t="shared" si="213"/>
        <v>5639.8026460826322</v>
      </c>
      <c r="CZ52" s="21">
        <f t="shared" si="213"/>
        <v>5583.404619621806</v>
      </c>
      <c r="DA52" s="21">
        <f t="shared" si="213"/>
        <v>5527.570573425588</v>
      </c>
      <c r="DB52" s="21">
        <f t="shared" si="213"/>
        <v>5472.294867691332</v>
      </c>
      <c r="DC52" s="21">
        <f t="shared" si="213"/>
        <v>5417.5719190144182</v>
      </c>
      <c r="DD52" s="21">
        <f t="shared" si="213"/>
        <v>5363.3961998242739</v>
      </c>
      <c r="DE52" s="21">
        <f t="shared" si="213"/>
        <v>5309.7622378260312</v>
      </c>
      <c r="DF52" s="21">
        <f t="shared" si="213"/>
        <v>5256.6646154477712</v>
      </c>
      <c r="DG52" s="21">
        <f t="shared" si="213"/>
        <v>5204.0979692932933</v>
      </c>
      <c r="DH52" s="21">
        <f t="shared" si="213"/>
        <v>5152.0569896003599</v>
      </c>
      <c r="DI52" s="21">
        <f t="shared" si="213"/>
        <v>5100.5364197043564</v>
      </c>
      <c r="DJ52" s="21">
        <f t="shared" si="213"/>
        <v>5049.5310555073129</v>
      </c>
      <c r="DK52" s="21">
        <f t="shared" ref="DK52:FV52" si="214">DJ52*(1+$BB$60)</f>
        <v>4999.0357449522398</v>
      </c>
      <c r="DL52" s="21">
        <f t="shared" si="214"/>
        <v>4949.0453875027169</v>
      </c>
      <c r="DM52" s="21">
        <f t="shared" si="214"/>
        <v>4899.5549336276899</v>
      </c>
      <c r="DN52" s="21">
        <f t="shared" si="214"/>
        <v>4850.5593842914132</v>
      </c>
      <c r="DO52" s="21">
        <f t="shared" si="214"/>
        <v>4802.0537904484991</v>
      </c>
      <c r="DP52" s="21">
        <f t="shared" si="214"/>
        <v>4754.0332525440144</v>
      </c>
      <c r="DQ52" s="21">
        <f t="shared" si="214"/>
        <v>4706.4929200185743</v>
      </c>
      <c r="DR52" s="21">
        <f t="shared" si="214"/>
        <v>4659.4279908183889</v>
      </c>
      <c r="DS52" s="21">
        <f t="shared" si="214"/>
        <v>4612.8337109102049</v>
      </c>
      <c r="DT52" s="21">
        <f t="shared" si="214"/>
        <v>4566.7053738011027</v>
      </c>
      <c r="DU52" s="21">
        <f t="shared" si="214"/>
        <v>4521.0383200630913</v>
      </c>
      <c r="DV52" s="21">
        <f t="shared" si="214"/>
        <v>4475.8279368624608</v>
      </c>
      <c r="DW52" s="21">
        <f t="shared" si="214"/>
        <v>4431.0696574938365</v>
      </c>
      <c r="DX52" s="21">
        <f t="shared" si="214"/>
        <v>4386.7589609188981</v>
      </c>
      <c r="DY52" s="21">
        <f t="shared" si="214"/>
        <v>4342.891371309709</v>
      </c>
      <c r="DZ52" s="21">
        <f t="shared" si="214"/>
        <v>4299.4624575966118</v>
      </c>
      <c r="EA52" s="21">
        <f t="shared" si="214"/>
        <v>4256.4678330206452</v>
      </c>
      <c r="EB52" s="21">
        <f t="shared" si="214"/>
        <v>4213.9031546904389</v>
      </c>
      <c r="EC52" s="21">
        <f t="shared" si="214"/>
        <v>4171.7641231435346</v>
      </c>
      <c r="ED52" s="21">
        <f t="shared" si="214"/>
        <v>4130.0464819120989</v>
      </c>
      <c r="EE52" s="21">
        <f t="shared" si="214"/>
        <v>4088.746017092978</v>
      </c>
      <c r="EF52" s="21">
        <f t="shared" si="214"/>
        <v>4047.8585569220481</v>
      </c>
      <c r="EG52" s="21">
        <f t="shared" si="214"/>
        <v>4007.3799713528274</v>
      </c>
      <c r="EH52" s="21">
        <f t="shared" si="214"/>
        <v>3967.306171639299</v>
      </c>
      <c r="EI52" s="21">
        <f t="shared" si="214"/>
        <v>3927.633109922906</v>
      </c>
      <c r="EJ52" s="21">
        <f t="shared" si="214"/>
        <v>3888.3567788236769</v>
      </c>
      <c r="EK52" s="21">
        <f t="shared" si="214"/>
        <v>3849.4732110354403</v>
      </c>
      <c r="EL52" s="21">
        <f t="shared" si="214"/>
        <v>3810.9784789250857</v>
      </c>
      <c r="EM52" s="21">
        <f t="shared" si="214"/>
        <v>3772.8686941358346</v>
      </c>
      <c r="EN52" s="21">
        <f t="shared" si="214"/>
        <v>3735.1400071944763</v>
      </c>
      <c r="EO52" s="21">
        <f t="shared" si="214"/>
        <v>3697.7886071225316</v>
      </c>
      <c r="EP52" s="21">
        <f t="shared" si="214"/>
        <v>3660.8107210513062</v>
      </c>
      <c r="EQ52" s="21">
        <f t="shared" si="214"/>
        <v>3624.2026138407932</v>
      </c>
      <c r="ER52" s="21">
        <f t="shared" si="214"/>
        <v>3587.9605877023851</v>
      </c>
      <c r="ES52" s="21">
        <f t="shared" si="214"/>
        <v>3552.0809818253611</v>
      </c>
      <c r="ET52" s="21">
        <f t="shared" si="214"/>
        <v>3516.5601720071072</v>
      </c>
      <c r="EU52" s="21">
        <f t="shared" si="214"/>
        <v>3481.394570287036</v>
      </c>
      <c r="EV52" s="21">
        <f t="shared" si="214"/>
        <v>3446.5806245841654</v>
      </c>
      <c r="EW52" s="21">
        <f t="shared" si="214"/>
        <v>3412.1148183383239</v>
      </c>
      <c r="EX52" s="21">
        <f t="shared" si="214"/>
        <v>3377.9936701549404</v>
      </c>
      <c r="EY52" s="21">
        <f t="shared" si="214"/>
        <v>3344.2137334533909</v>
      </c>
      <c r="EZ52" s="21">
        <f t="shared" si="214"/>
        <v>3310.7715961188569</v>
      </c>
      <c r="FA52" s="21">
        <f t="shared" si="214"/>
        <v>3277.6638801576682</v>
      </c>
      <c r="FB52" s="21">
        <f t="shared" si="214"/>
        <v>3244.8872413560916</v>
      </c>
      <c r="FC52" s="21">
        <f t="shared" si="214"/>
        <v>3212.4383689425308</v>
      </c>
      <c r="FD52" s="21">
        <f t="shared" si="214"/>
        <v>3180.3139852531053</v>
      </c>
      <c r="FE52" s="21">
        <f t="shared" si="214"/>
        <v>3148.5108454005745</v>
      </c>
      <c r="FF52" s="21">
        <f t="shared" si="214"/>
        <v>3117.0257369465685</v>
      </c>
      <c r="FG52" s="21">
        <f t="shared" si="214"/>
        <v>3085.8554795771029</v>
      </c>
      <c r="FH52" s="21">
        <f t="shared" si="214"/>
        <v>3054.9969247813319</v>
      </c>
      <c r="FI52" s="21">
        <f t="shared" si="214"/>
        <v>3024.4469555335186</v>
      </c>
      <c r="FJ52" s="21">
        <f t="shared" si="214"/>
        <v>2994.2024859781832</v>
      </c>
      <c r="FK52" s="21">
        <f t="shared" si="214"/>
        <v>2964.2604611184015</v>
      </c>
      <c r="FL52" s="21">
        <f t="shared" si="214"/>
        <v>2934.6178565072173</v>
      </c>
      <c r="FM52" s="21">
        <f t="shared" si="214"/>
        <v>2905.2716779421453</v>
      </c>
      <c r="FN52" s="21">
        <f t="shared" si="214"/>
        <v>2876.2189611627236</v>
      </c>
      <c r="FO52" s="21">
        <f t="shared" si="214"/>
        <v>2847.4567715510966</v>
      </c>
      <c r="FP52" s="21">
        <f t="shared" si="214"/>
        <v>2818.9822038355856</v>
      </c>
      <c r="FQ52" s="21">
        <f t="shared" si="214"/>
        <v>2790.7923817972296</v>
      </c>
      <c r="FR52" s="21">
        <f t="shared" si="214"/>
        <v>2762.8844579792571</v>
      </c>
      <c r="FS52" s="21">
        <f t="shared" si="214"/>
        <v>2735.2556133994644</v>
      </c>
      <c r="FT52" s="21">
        <f t="shared" si="214"/>
        <v>2707.9030572654697</v>
      </c>
      <c r="FU52" s="21">
        <f t="shared" si="214"/>
        <v>2680.8240266928151</v>
      </c>
      <c r="FV52" s="21">
        <f t="shared" si="214"/>
        <v>2654.0157864258867</v>
      </c>
      <c r="FW52" s="21">
        <f t="shared" ref="FW52:IH52" si="215">FV52*(1+$BB$60)</f>
        <v>2627.4756285616277</v>
      </c>
      <c r="FX52" s="21">
        <f t="shared" si="215"/>
        <v>2601.2008722760115</v>
      </c>
      <c r="FY52" s="21">
        <f t="shared" si="215"/>
        <v>2575.1888635532514</v>
      </c>
      <c r="FZ52" s="21">
        <f t="shared" si="215"/>
        <v>2549.436974917719</v>
      </c>
      <c r="GA52" s="21">
        <f t="shared" si="215"/>
        <v>2523.9426051685418</v>
      </c>
      <c r="GB52" s="21">
        <f t="shared" si="215"/>
        <v>2498.7031791168565</v>
      </c>
      <c r="GC52" s="21">
        <f t="shared" si="215"/>
        <v>2473.7161473256879</v>
      </c>
      <c r="GD52" s="21">
        <f t="shared" si="215"/>
        <v>2448.9789858524309</v>
      </c>
      <c r="GE52" s="21">
        <f t="shared" si="215"/>
        <v>2424.4891959939064</v>
      </c>
      <c r="GF52" s="21">
        <f t="shared" si="215"/>
        <v>2400.2443040339672</v>
      </c>
      <c r="GG52" s="21">
        <f t="shared" si="215"/>
        <v>2376.2418609936276</v>
      </c>
      <c r="GH52" s="21">
        <f t="shared" si="215"/>
        <v>2352.4794423836911</v>
      </c>
      <c r="GI52" s="21">
        <f t="shared" si="215"/>
        <v>2328.9546479598544</v>
      </c>
      <c r="GJ52" s="21">
        <f t="shared" si="215"/>
        <v>2305.665101480256</v>
      </c>
      <c r="GK52" s="21">
        <f t="shared" si="215"/>
        <v>2282.6084504654536</v>
      </c>
      <c r="GL52" s="21">
        <f t="shared" si="215"/>
        <v>2259.7823659607989</v>
      </c>
      <c r="GM52" s="21">
        <f t="shared" si="215"/>
        <v>2237.184542301191</v>
      </c>
      <c r="GN52" s="21">
        <f t="shared" si="215"/>
        <v>2214.8126968781789</v>
      </c>
      <c r="GO52" s="21">
        <f t="shared" si="215"/>
        <v>2192.664569909397</v>
      </c>
      <c r="GP52" s="21">
        <f t="shared" si="215"/>
        <v>2170.7379242103029</v>
      </c>
      <c r="GQ52" s="21">
        <f t="shared" si="215"/>
        <v>2149.0305449682</v>
      </c>
      <c r="GR52" s="21">
        <f t="shared" si="215"/>
        <v>2127.5402395185179</v>
      </c>
      <c r="GS52" s="21">
        <f t="shared" si="215"/>
        <v>2106.2648371233327</v>
      </c>
      <c r="GT52" s="21">
        <f t="shared" si="215"/>
        <v>2085.2021887520991</v>
      </c>
      <c r="GU52" s="21">
        <f t="shared" si="215"/>
        <v>2064.3501668645781</v>
      </c>
      <c r="GV52" s="21">
        <f t="shared" si="215"/>
        <v>2043.7066651959324</v>
      </c>
      <c r="GW52" s="21">
        <f t="shared" si="215"/>
        <v>2023.269598543973</v>
      </c>
      <c r="GX52" s="21">
        <f t="shared" si="215"/>
        <v>2003.0369025585333</v>
      </c>
      <c r="GY52" s="21">
        <f t="shared" si="215"/>
        <v>1983.006533532948</v>
      </c>
      <c r="GZ52" s="21">
        <f t="shared" si="215"/>
        <v>1963.1764681976185</v>
      </c>
      <c r="HA52" s="21">
        <f t="shared" si="215"/>
        <v>1943.5447035156424</v>
      </c>
      <c r="HB52" s="21">
        <f t="shared" si="215"/>
        <v>1924.109256480486</v>
      </c>
      <c r="HC52" s="21">
        <f t="shared" si="215"/>
        <v>1904.8681639156812</v>
      </c>
      <c r="HD52" s="21">
        <f t="shared" si="215"/>
        <v>1885.8194822765242</v>
      </c>
      <c r="HE52" s="21">
        <f t="shared" si="215"/>
        <v>1866.961287453759</v>
      </c>
      <c r="HF52" s="21">
        <f t="shared" si="215"/>
        <v>1848.2916745792215</v>
      </c>
      <c r="HG52" s="21">
        <f t="shared" si="215"/>
        <v>1829.8087578334294</v>
      </c>
      <c r="HH52" s="21">
        <f t="shared" si="215"/>
        <v>1811.510670255095</v>
      </c>
      <c r="HI52" s="21">
        <f t="shared" si="215"/>
        <v>1793.395563552544</v>
      </c>
      <c r="HJ52" s="21">
        <f t="shared" si="215"/>
        <v>1775.4616079170185</v>
      </c>
      <c r="HK52" s="21">
        <f t="shared" si="215"/>
        <v>1757.7069918378484</v>
      </c>
      <c r="HL52" s="21">
        <f t="shared" si="215"/>
        <v>1740.1299219194698</v>
      </c>
      <c r="HM52" s="21">
        <f t="shared" si="215"/>
        <v>1722.7286227002751</v>
      </c>
      <c r="HN52" s="21">
        <f t="shared" si="215"/>
        <v>1705.5013364732722</v>
      </c>
      <c r="HO52" s="21">
        <f t="shared" si="215"/>
        <v>1688.4463231085394</v>
      </c>
      <c r="HP52" s="21">
        <f t="shared" si="215"/>
        <v>1671.561859877454</v>
      </c>
      <c r="HQ52" s="21">
        <f t="shared" si="215"/>
        <v>1654.8462412786794</v>
      </c>
      <c r="HR52" s="21">
        <f t="shared" si="215"/>
        <v>1638.2977788658925</v>
      </c>
      <c r="HS52" s="21">
        <f t="shared" si="215"/>
        <v>1621.9148010772335</v>
      </c>
      <c r="HT52" s="21">
        <f t="shared" si="215"/>
        <v>1605.6956530664611</v>
      </c>
      <c r="HU52" s="21">
        <f t="shared" si="215"/>
        <v>1589.6386965357965</v>
      </c>
      <c r="HV52" s="21">
        <f t="shared" si="215"/>
        <v>1573.7423095704385</v>
      </c>
      <c r="HW52" s="21">
        <f t="shared" si="215"/>
        <v>1558.0048864747341</v>
      </c>
      <c r="HX52" s="21">
        <f t="shared" si="215"/>
        <v>1542.4248376099868</v>
      </c>
      <c r="HY52" s="21">
        <f t="shared" si="215"/>
        <v>1527.0005892338868</v>
      </c>
      <c r="HZ52" s="21">
        <f t="shared" si="215"/>
        <v>1511.7305833415478</v>
      </c>
      <c r="IA52" s="21">
        <f t="shared" si="215"/>
        <v>1496.6132775081323</v>
      </c>
      <c r="IB52" s="21">
        <f t="shared" si="215"/>
        <v>1481.6471447330509</v>
      </c>
      <c r="IC52" s="21">
        <f t="shared" si="215"/>
        <v>1466.8306732857204</v>
      </c>
      <c r="ID52" s="21">
        <f t="shared" si="215"/>
        <v>1452.1623665528632</v>
      </c>
      <c r="IE52" s="21">
        <f t="shared" si="215"/>
        <v>1437.6407428873345</v>
      </c>
      <c r="IF52" s="21">
        <f t="shared" si="215"/>
        <v>1423.2643354584611</v>
      </c>
      <c r="IG52" s="21">
        <f t="shared" si="215"/>
        <v>1409.0316921038766</v>
      </c>
      <c r="IH52" s="21">
        <f t="shared" si="215"/>
        <v>1394.9413751828379</v>
      </c>
      <c r="II52" s="21">
        <f t="shared" ref="II52:KT52" si="216">IH52*(1+$BB$60)</f>
        <v>1380.9919614310095</v>
      </c>
      <c r="IJ52" s="21">
        <f t="shared" si="216"/>
        <v>1367.1820418166994</v>
      </c>
      <c r="IK52" s="21">
        <f t="shared" si="216"/>
        <v>1353.5102213985324</v>
      </c>
      <c r="IL52" s="21">
        <f t="shared" si="216"/>
        <v>1339.9751191845471</v>
      </c>
      <c r="IM52" s="21">
        <f t="shared" si="216"/>
        <v>1326.5753679927016</v>
      </c>
      <c r="IN52" s="21">
        <f t="shared" si="216"/>
        <v>1313.3096143127746</v>
      </c>
      <c r="IO52" s="21">
        <f t="shared" si="216"/>
        <v>1300.1765181696469</v>
      </c>
      <c r="IP52" s="21">
        <f t="shared" si="216"/>
        <v>1287.1747529879503</v>
      </c>
      <c r="IQ52" s="21">
        <f t="shared" si="216"/>
        <v>1274.3030054580709</v>
      </c>
      <c r="IR52" s="21">
        <f t="shared" si="216"/>
        <v>1261.5599754034902</v>
      </c>
      <c r="IS52" s="21">
        <f t="shared" si="216"/>
        <v>1248.9443756494552</v>
      </c>
      <c r="IT52" s="21">
        <f t="shared" si="216"/>
        <v>1236.4549318929605</v>
      </c>
      <c r="IU52" s="21">
        <f t="shared" si="216"/>
        <v>1224.0903825740309</v>
      </c>
      <c r="IV52" s="21">
        <f t="shared" si="216"/>
        <v>1211.8494787482905</v>
      </c>
      <c r="IW52" s="21">
        <f t="shared" si="216"/>
        <v>1199.7309839608076</v>
      </c>
      <c r="IX52" s="21">
        <f t="shared" si="216"/>
        <v>1187.7336741211996</v>
      </c>
      <c r="IY52" s="21">
        <f t="shared" si="216"/>
        <v>1175.8563373799875</v>
      </c>
      <c r="IZ52" s="21">
        <f t="shared" si="216"/>
        <v>1164.0977740061876</v>
      </c>
      <c r="JA52" s="21">
        <f t="shared" si="216"/>
        <v>1152.4567962661256</v>
      </c>
      <c r="JB52" s="21">
        <f t="shared" si="216"/>
        <v>1140.9322283034644</v>
      </c>
      <c r="JC52" s="21">
        <f t="shared" si="216"/>
        <v>1129.5229060204297</v>
      </c>
      <c r="JD52" s="21">
        <f t="shared" si="216"/>
        <v>1118.2276769602254</v>
      </c>
      <c r="JE52" s="21">
        <f t="shared" si="216"/>
        <v>1107.045400190623</v>
      </c>
      <c r="JF52" s="21">
        <f t="shared" si="216"/>
        <v>1095.9749461887168</v>
      </c>
      <c r="JG52" s="21">
        <f t="shared" si="216"/>
        <v>1085.0151967268296</v>
      </c>
      <c r="JH52" s="21">
        <f t="shared" si="216"/>
        <v>1074.1650447595612</v>
      </c>
      <c r="JI52" s="21">
        <f t="shared" si="216"/>
        <v>1063.4233943119655</v>
      </c>
      <c r="JJ52" s="21">
        <f t="shared" si="216"/>
        <v>1052.7891603688458</v>
      </c>
      <c r="JK52" s="21">
        <f t="shared" si="216"/>
        <v>1042.2612687651574</v>
      </c>
      <c r="JL52" s="21">
        <f t="shared" si="216"/>
        <v>1031.8386560775059</v>
      </c>
      <c r="JM52" s="21">
        <f t="shared" si="216"/>
        <v>1021.5202695167309</v>
      </c>
      <c r="JN52" s="21">
        <f t="shared" si="216"/>
        <v>1011.3050668215635</v>
      </c>
      <c r="JO52" s="21">
        <f t="shared" si="216"/>
        <v>1001.1920161533478</v>
      </c>
      <c r="JP52" s="21">
        <f t="shared" si="216"/>
        <v>991.18009599181437</v>
      </c>
      <c r="JQ52" s="21">
        <f t="shared" si="216"/>
        <v>981.26829503189617</v>
      </c>
      <c r="JR52" s="21">
        <f t="shared" si="216"/>
        <v>971.45561208157721</v>
      </c>
      <c r="JS52" s="21">
        <f t="shared" si="216"/>
        <v>961.7410559607614</v>
      </c>
      <c r="JT52" s="21">
        <f t="shared" si="216"/>
        <v>952.12364540115379</v>
      </c>
      <c r="JU52" s="21">
        <f t="shared" si="216"/>
        <v>942.60240894714229</v>
      </c>
      <c r="JV52" s="21">
        <f t="shared" si="216"/>
        <v>933.17638485767088</v>
      </c>
      <c r="JW52" s="21">
        <f t="shared" si="216"/>
        <v>923.84462100909411</v>
      </c>
      <c r="JX52" s="21">
        <f t="shared" si="216"/>
        <v>914.60617479900316</v>
      </c>
      <c r="JY52" s="21">
        <f t="shared" si="216"/>
        <v>905.46011305101308</v>
      </c>
      <c r="JZ52" s="21">
        <f t="shared" si="216"/>
        <v>896.40551192050293</v>
      </c>
      <c r="KA52" s="21">
        <f t="shared" si="216"/>
        <v>887.44145680129793</v>
      </c>
      <c r="KB52" s="21">
        <f t="shared" si="216"/>
        <v>878.56704223328495</v>
      </c>
      <c r="KC52" s="21">
        <f t="shared" si="216"/>
        <v>869.78137181095212</v>
      </c>
      <c r="KD52" s="21">
        <f t="shared" si="216"/>
        <v>861.08355809284262</v>
      </c>
      <c r="KE52" s="21">
        <f t="shared" si="216"/>
        <v>852.47272251191418</v>
      </c>
      <c r="KF52" s="21">
        <f t="shared" si="216"/>
        <v>843.94799528679505</v>
      </c>
      <c r="KG52" s="21">
        <f t="shared" si="216"/>
        <v>835.50851533392711</v>
      </c>
      <c r="KH52" s="21">
        <f t="shared" si="216"/>
        <v>827.15343018058786</v>
      </c>
      <c r="KI52" s="21">
        <f t="shared" si="216"/>
        <v>818.88189587878196</v>
      </c>
      <c r="KJ52" s="21">
        <f t="shared" si="216"/>
        <v>810.69307691999416</v>
      </c>
      <c r="KK52" s="21">
        <f t="shared" si="216"/>
        <v>802.58614615079421</v>
      </c>
      <c r="KL52" s="21">
        <f t="shared" si="216"/>
        <v>794.56028468928628</v>
      </c>
      <c r="KM52" s="21">
        <f t="shared" si="216"/>
        <v>786.61468184239345</v>
      </c>
      <c r="KN52" s="21">
        <f t="shared" si="216"/>
        <v>778.74853502396957</v>
      </c>
      <c r="KO52" s="21">
        <f t="shared" si="216"/>
        <v>770.96104967372992</v>
      </c>
      <c r="KP52" s="21">
        <f t="shared" si="216"/>
        <v>763.25143917699256</v>
      </c>
      <c r="KQ52" s="21">
        <f t="shared" si="216"/>
        <v>755.61892478522259</v>
      </c>
      <c r="KR52" s="21">
        <f t="shared" si="216"/>
        <v>748.06273553737037</v>
      </c>
      <c r="KS52" s="21">
        <f t="shared" si="216"/>
        <v>740.58210818199666</v>
      </c>
      <c r="KT52" s="21">
        <f t="shared" si="216"/>
        <v>733.17628710017664</v>
      </c>
      <c r="KU52" s="21">
        <f t="shared" ref="KU52:NF52" si="217">KT52*(1+$BB$60)</f>
        <v>725.84452422917491</v>
      </c>
      <c r="KV52" s="21">
        <f t="shared" si="217"/>
        <v>718.58607898688319</v>
      </c>
      <c r="KW52" s="21">
        <f t="shared" si="217"/>
        <v>711.4002181970144</v>
      </c>
      <c r="KX52" s="21">
        <f t="shared" si="217"/>
        <v>704.28621601504426</v>
      </c>
      <c r="KY52" s="21">
        <f t="shared" si="217"/>
        <v>697.24335385489383</v>
      </c>
      <c r="KZ52" s="21">
        <f t="shared" si="217"/>
        <v>690.27092031634493</v>
      </c>
      <c r="LA52" s="21">
        <f t="shared" si="217"/>
        <v>683.36821111318147</v>
      </c>
      <c r="LB52" s="21">
        <f t="shared" si="217"/>
        <v>676.53452900204968</v>
      </c>
      <c r="LC52" s="21">
        <f t="shared" si="217"/>
        <v>669.76918371202919</v>
      </c>
      <c r="LD52" s="21">
        <f t="shared" si="217"/>
        <v>663.07149187490893</v>
      </c>
      <c r="LE52" s="21">
        <f t="shared" si="217"/>
        <v>656.44077695615988</v>
      </c>
      <c r="LF52" s="21">
        <f t="shared" si="217"/>
        <v>649.87636918659825</v>
      </c>
      <c r="LG52" s="21">
        <f t="shared" si="217"/>
        <v>643.37760549473228</v>
      </c>
      <c r="LH52" s="21">
        <f t="shared" si="217"/>
        <v>636.94382943978496</v>
      </c>
      <c r="LI52" s="21">
        <f t="shared" si="217"/>
        <v>630.57439114538715</v>
      </c>
      <c r="LJ52" s="21">
        <f t="shared" si="217"/>
        <v>624.26864723393328</v>
      </c>
      <c r="LK52" s="21">
        <f t="shared" si="217"/>
        <v>618.02596076159398</v>
      </c>
      <c r="LL52" s="21">
        <f t="shared" si="217"/>
        <v>611.84570115397798</v>
      </c>
      <c r="LM52" s="21">
        <f t="shared" si="217"/>
        <v>605.72724414243817</v>
      </c>
      <c r="LN52" s="21">
        <f t="shared" si="217"/>
        <v>599.66997170101376</v>
      </c>
      <c r="LO52" s="21">
        <f t="shared" si="217"/>
        <v>593.67327198400358</v>
      </c>
      <c r="LP52" s="21">
        <f t="shared" si="217"/>
        <v>587.73653926416353</v>
      </c>
      <c r="LQ52" s="21">
        <f t="shared" si="217"/>
        <v>581.85917387152188</v>
      </c>
      <c r="LR52" s="21">
        <f t="shared" si="217"/>
        <v>576.04058213280666</v>
      </c>
      <c r="LS52" s="21">
        <f t="shared" si="217"/>
        <v>570.28017631147861</v>
      </c>
      <c r="LT52" s="21">
        <f t="shared" si="217"/>
        <v>564.57737454836388</v>
      </c>
      <c r="LU52" s="21">
        <f t="shared" si="217"/>
        <v>558.93160080288021</v>
      </c>
      <c r="LV52" s="21">
        <f t="shared" si="217"/>
        <v>553.34228479485137</v>
      </c>
      <c r="LW52" s="21">
        <f t="shared" si="217"/>
        <v>547.80886194690288</v>
      </c>
      <c r="LX52" s="21">
        <f t="shared" si="217"/>
        <v>542.3307733274338</v>
      </c>
      <c r="LY52" s="21">
        <f t="shared" si="217"/>
        <v>536.90746559415948</v>
      </c>
      <c r="LZ52" s="21">
        <f t="shared" si="217"/>
        <v>531.53839093821784</v>
      </c>
      <c r="MA52" s="21">
        <f t="shared" si="217"/>
        <v>526.2230070288357</v>
      </c>
      <c r="MB52" s="21">
        <f t="shared" si="217"/>
        <v>520.96077695854729</v>
      </c>
      <c r="MC52" s="21">
        <f t="shared" si="217"/>
        <v>515.75116918896185</v>
      </c>
      <c r="MD52" s="21">
        <f t="shared" si="217"/>
        <v>510.59365749707223</v>
      </c>
      <c r="ME52" s="21">
        <f t="shared" si="217"/>
        <v>505.48772092210152</v>
      </c>
      <c r="MF52" s="21">
        <f t="shared" si="217"/>
        <v>500.43284371288047</v>
      </c>
      <c r="MG52" s="21">
        <f t="shared" si="217"/>
        <v>495.42851527575164</v>
      </c>
      <c r="MH52" s="21">
        <f t="shared" si="217"/>
        <v>490.47423012299413</v>
      </c>
      <c r="MI52" s="21">
        <f t="shared" si="217"/>
        <v>485.5694878217642</v>
      </c>
      <c r="MJ52" s="21">
        <f t="shared" si="217"/>
        <v>480.71379294354654</v>
      </c>
      <c r="MK52" s="21">
        <f t="shared" si="217"/>
        <v>475.9066550141111</v>
      </c>
      <c r="ML52" s="21">
        <f t="shared" si="217"/>
        <v>471.14758846396995</v>
      </c>
      <c r="MM52" s="21">
        <f t="shared" si="217"/>
        <v>466.43611257933026</v>
      </c>
      <c r="MN52" s="21">
        <f t="shared" si="217"/>
        <v>461.77175145353692</v>
      </c>
      <c r="MO52" s="21">
        <f t="shared" si="217"/>
        <v>457.15403393900152</v>
      </c>
      <c r="MP52" s="21">
        <f t="shared" si="217"/>
        <v>452.5824935996115</v>
      </c>
      <c r="MQ52" s="21">
        <f t="shared" si="217"/>
        <v>448.05666866361537</v>
      </c>
      <c r="MR52" s="21">
        <f t="shared" si="217"/>
        <v>443.5761019769792</v>
      </c>
      <c r="MS52" s="21">
        <f t="shared" si="217"/>
        <v>439.14034095720939</v>
      </c>
      <c r="MT52" s="21">
        <f t="shared" si="217"/>
        <v>434.7489375476373</v>
      </c>
      <c r="MU52" s="21">
        <f t="shared" si="217"/>
        <v>430.40144817216094</v>
      </c>
      <c r="MV52" s="21">
        <f t="shared" si="217"/>
        <v>426.09743369043935</v>
      </c>
      <c r="MW52" s="21">
        <f t="shared" si="217"/>
        <v>421.83645935353496</v>
      </c>
      <c r="MX52" s="21">
        <f t="shared" si="217"/>
        <v>417.61809475999962</v>
      </c>
      <c r="MY52" s="21">
        <f t="shared" si="217"/>
        <v>413.4419138123996</v>
      </c>
      <c r="MZ52" s="21">
        <f t="shared" si="217"/>
        <v>409.30749467427563</v>
      </c>
      <c r="NA52" s="21">
        <f t="shared" si="217"/>
        <v>405.21441972753286</v>
      </c>
      <c r="NB52" s="21">
        <f t="shared" si="217"/>
        <v>401.16227553025755</v>
      </c>
      <c r="NC52" s="21">
        <f t="shared" si="217"/>
        <v>397.15065277495495</v>
      </c>
      <c r="ND52" s="21">
        <f t="shared" si="217"/>
        <v>393.17914624720538</v>
      </c>
      <c r="NE52" s="21">
        <f t="shared" si="217"/>
        <v>389.24735478473332</v>
      </c>
      <c r="NF52" s="21">
        <f t="shared" si="217"/>
        <v>385.354881236886</v>
      </c>
      <c r="NG52" s="21">
        <f t="shared" ref="NG52:OD52" si="218">NF52*(1+$BB$60)</f>
        <v>381.50133242451716</v>
      </c>
      <c r="NH52" s="21">
        <f t="shared" si="218"/>
        <v>377.68631910027199</v>
      </c>
      <c r="NI52" s="21">
        <f t="shared" si="218"/>
        <v>373.90945590926924</v>
      </c>
      <c r="NJ52" s="21">
        <f t="shared" si="218"/>
        <v>370.17036135017656</v>
      </c>
      <c r="NK52" s="21">
        <f t="shared" si="218"/>
        <v>366.4686577366748</v>
      </c>
      <c r="NL52" s="21">
        <f t="shared" si="218"/>
        <v>362.80397115930805</v>
      </c>
      <c r="NM52" s="21">
        <f t="shared" si="218"/>
        <v>359.17593144771496</v>
      </c>
      <c r="NN52" s="21">
        <f t="shared" si="218"/>
        <v>355.58417213323781</v>
      </c>
      <c r="NO52" s="21">
        <f t="shared" si="218"/>
        <v>352.02833041190542</v>
      </c>
      <c r="NP52" s="21">
        <f t="shared" si="218"/>
        <v>348.50804710778635</v>
      </c>
      <c r="NQ52" s="21">
        <f t="shared" si="218"/>
        <v>345.02296663670847</v>
      </c>
      <c r="NR52" s="21">
        <f t="shared" si="218"/>
        <v>341.5727369703414</v>
      </c>
      <c r="NS52" s="21">
        <f t="shared" si="218"/>
        <v>338.15700960063799</v>
      </c>
      <c r="NT52" s="21">
        <f t="shared" si="218"/>
        <v>334.77543950463161</v>
      </c>
      <c r="NU52" s="21">
        <f t="shared" si="218"/>
        <v>331.4276851095853</v>
      </c>
      <c r="NV52" s="21">
        <f t="shared" si="218"/>
        <v>328.11340825848941</v>
      </c>
      <c r="NW52" s="21">
        <f t="shared" si="218"/>
        <v>324.8322741759045</v>
      </c>
      <c r="NX52" s="21">
        <f t="shared" si="218"/>
        <v>321.58395143414543</v>
      </c>
      <c r="NY52" s="21">
        <f t="shared" si="218"/>
        <v>318.36811191980399</v>
      </c>
      <c r="NZ52" s="21">
        <f t="shared" si="218"/>
        <v>315.18443080060592</v>
      </c>
      <c r="OA52" s="21">
        <f t="shared" si="218"/>
        <v>312.03258649259988</v>
      </c>
      <c r="OB52" s="21">
        <f t="shared" si="218"/>
        <v>308.9122606276739</v>
      </c>
      <c r="OC52" s="21">
        <f t="shared" si="218"/>
        <v>305.82313802139714</v>
      </c>
      <c r="OD52" s="21">
        <f t="shared" si="218"/>
        <v>302.76490664118319</v>
      </c>
    </row>
    <row r="53" spans="1:394" x14ac:dyDescent="0.25">
      <c r="B53" s="1" t="s">
        <v>3</v>
      </c>
      <c r="C53" s="2">
        <v>1708.9</v>
      </c>
      <c r="D53" s="2">
        <v>1693.2</v>
      </c>
      <c r="E53" s="2">
        <v>1686.3</v>
      </c>
      <c r="F53" s="2">
        <v>1678.6</v>
      </c>
      <c r="G53" s="2">
        <v>1676.9</v>
      </c>
      <c r="H53" s="2">
        <v>1660.9</v>
      </c>
      <c r="I53" s="2">
        <v>1641.2</v>
      </c>
      <c r="J53" s="2">
        <v>1641.2</v>
      </c>
      <c r="K53" s="2">
        <v>1634.4</v>
      </c>
      <c r="L53" s="2">
        <v>1620.7</v>
      </c>
      <c r="M53" s="2">
        <v>1609.6</v>
      </c>
      <c r="N53" s="2">
        <v>1607.5</v>
      </c>
      <c r="O53" s="2">
        <v>1597.5</v>
      </c>
      <c r="P53" s="2">
        <v>1594.4</v>
      </c>
      <c r="Q53" s="2">
        <v>1591.6</v>
      </c>
      <c r="R53" s="2">
        <v>1555.7</v>
      </c>
      <c r="S53" s="2">
        <v>1593.3</v>
      </c>
      <c r="T53" s="2">
        <v>1609.5</v>
      </c>
      <c r="U53" s="2">
        <v>1616.9</v>
      </c>
      <c r="V53" s="2">
        <v>1614.9</v>
      </c>
      <c r="W53" s="2">
        <v>1619.6</v>
      </c>
      <c r="X53" s="2">
        <v>1617.4</v>
      </c>
      <c r="Y53" s="2">
        <v>1610.7</v>
      </c>
      <c r="Z53" s="2">
        <v>1595</v>
      </c>
      <c r="AA53" s="2">
        <v>1585.8</v>
      </c>
      <c r="AB53" s="2">
        <v>1572.4</v>
      </c>
      <c r="AC53" s="2">
        <v>1564.8</v>
      </c>
      <c r="AD53" s="2">
        <v>1556.3</v>
      </c>
      <c r="AE53" s="2">
        <v>1543.3</v>
      </c>
      <c r="AF53" s="2">
        <v>1532.1</v>
      </c>
      <c r="AG53" s="2">
        <f>AC53*0.98</f>
        <v>1533.5039999999999</v>
      </c>
      <c r="AH53" s="2">
        <f>AD53*0.98</f>
        <v>1525.174</v>
      </c>
      <c r="AN53" s="2">
        <f>F53</f>
        <v>1678.6</v>
      </c>
      <c r="AO53" s="2">
        <f>J53</f>
        <v>1641.2</v>
      </c>
      <c r="AP53" s="2">
        <f>N53</f>
        <v>1607.5</v>
      </c>
      <c r="AQ53" s="2">
        <f>R53</f>
        <v>1555.7</v>
      </c>
      <c r="AR53" s="2">
        <f>V53</f>
        <v>1614.9</v>
      </c>
      <c r="AS53" s="2">
        <f>Z53</f>
        <v>1595</v>
      </c>
      <c r="AT53" s="2">
        <f>AD53</f>
        <v>1556.3</v>
      </c>
      <c r="AU53" s="2">
        <f>AH53</f>
        <v>1525.174</v>
      </c>
      <c r="AV53" s="2">
        <f t="shared" ref="AV53" si="219">AU53*0.99</f>
        <v>1509.9222600000001</v>
      </c>
      <c r="AW53" s="2">
        <f t="shared" ref="AW53" si="220">AV53*0.99</f>
        <v>1494.8230374</v>
      </c>
      <c r="AX53" s="2">
        <f t="shared" ref="AX53" si="221">AW53*0.99</f>
        <v>1479.8748070259999</v>
      </c>
    </row>
    <row r="54" spans="1:394" x14ac:dyDescent="0.25">
      <c r="B54" s="1" t="s">
        <v>31</v>
      </c>
      <c r="C54" s="13">
        <f t="shared" ref="C54:S54" si="222">C52/C53</f>
        <v>0.73087951313710575</v>
      </c>
      <c r="D54" s="13">
        <f t="shared" si="222"/>
        <v>0.49728325064965745</v>
      </c>
      <c r="E54" s="13">
        <f t="shared" si="222"/>
        <v>0.67662930676629307</v>
      </c>
      <c r="F54" s="13">
        <f t="shared" si="222"/>
        <v>0.60050041701417856</v>
      </c>
      <c r="G54" s="13">
        <f t="shared" si="222"/>
        <v>0.56652155763611423</v>
      </c>
      <c r="H54" s="13">
        <f t="shared" si="222"/>
        <v>0.46179782045878737</v>
      </c>
      <c r="I54" s="13">
        <f t="shared" si="222"/>
        <v>0.2022910065805508</v>
      </c>
      <c r="J54" s="13">
        <f t="shared" si="222"/>
        <v>0.69278576651230805</v>
      </c>
      <c r="K54" s="13">
        <f t="shared" si="222"/>
        <v>0.66813509544787075</v>
      </c>
      <c r="L54" s="13">
        <f t="shared" si="222"/>
        <v>0.52261368544456099</v>
      </c>
      <c r="M54" s="13">
        <f t="shared" si="222"/>
        <v>0.68402087475149109</v>
      </c>
      <c r="N54" s="13">
        <f t="shared" si="222"/>
        <v>0.61524105754276825</v>
      </c>
      <c r="O54" s="13">
        <f t="shared" si="222"/>
        <v>0.85571205007824724</v>
      </c>
      <c r="P54" s="13">
        <f t="shared" si="222"/>
        <v>0.69932262920220767</v>
      </c>
      <c r="Q54" s="13">
        <f t="shared" si="222"/>
        <v>0.53216888665493844</v>
      </c>
      <c r="R54" s="13">
        <f t="shared" si="222"/>
        <v>-0.50780998907244324</v>
      </c>
      <c r="S54" s="13">
        <f t="shared" si="222"/>
        <v>0.95273959706270006</v>
      </c>
      <c r="T54" s="13">
        <f t="shared" ref="T54:AH54" si="223">T52/T53</f>
        <v>0.77726001863932903</v>
      </c>
      <c r="U54" s="13">
        <f t="shared" si="223"/>
        <v>0.89615931721194875</v>
      </c>
      <c r="V54" s="13">
        <f t="shared" si="223"/>
        <v>0.93442318409808656</v>
      </c>
      <c r="W54" s="13">
        <f t="shared" si="223"/>
        <v>1.1570758211904175</v>
      </c>
      <c r="X54" s="13">
        <f t="shared" si="223"/>
        <v>0.82663534067021138</v>
      </c>
      <c r="Y54" s="13">
        <f t="shared" si="223"/>
        <v>0.8667039175513751</v>
      </c>
      <c r="Z54" s="13">
        <f t="shared" si="223"/>
        <v>0.90219435736677112</v>
      </c>
      <c r="AA54" s="13">
        <f t="shared" si="223"/>
        <v>0.92571572707781569</v>
      </c>
      <c r="AB54" s="13">
        <f t="shared" si="223"/>
        <v>0.84647672348003045</v>
      </c>
      <c r="AC54" s="13">
        <f t="shared" si="223"/>
        <v>0.79243353783231085</v>
      </c>
      <c r="AD54" s="13">
        <f t="shared" si="223"/>
        <v>0.6624686757051983</v>
      </c>
      <c r="AE54" s="13">
        <f t="shared" si="223"/>
        <v>0.93954513056437505</v>
      </c>
      <c r="AF54" s="13">
        <f t="shared" si="223"/>
        <v>1.0299588799686705</v>
      </c>
      <c r="AG54" s="13">
        <f t="shared" si="223"/>
        <v>0.7011898337157364</v>
      </c>
      <c r="AH54" s="13">
        <f t="shared" si="223"/>
        <v>0.82469937697184048</v>
      </c>
      <c r="AN54" s="13">
        <f>AN52/AN53</f>
        <v>2.5259144525199573</v>
      </c>
      <c r="AO54" s="13">
        <f t="shared" ref="AO54:AQ54" si="224">AO52/AO53</f>
        <v>1.941262490860346</v>
      </c>
      <c r="AP54" s="13">
        <f t="shared" si="224"/>
        <v>2.5063763608087091</v>
      </c>
      <c r="AQ54" s="13">
        <f t="shared" si="224"/>
        <v>1.6320627370315612</v>
      </c>
      <c r="AR54" s="13">
        <f>AR52/AR53</f>
        <v>3.5463496191714654</v>
      </c>
      <c r="AS54" s="13">
        <f>AS52/AS53</f>
        <v>3.7905956112852666</v>
      </c>
      <c r="AT54" s="13">
        <f>AT52/AT53</f>
        <v>3.2577266593844376</v>
      </c>
      <c r="AU54" s="13">
        <f t="shared" ref="AU54:AX54" si="225">AU52/AU53</f>
        <v>3.5150661251346209</v>
      </c>
      <c r="AV54" s="13">
        <f t="shared" si="225"/>
        <v>4.2563958763015961</v>
      </c>
      <c r="AW54" s="13">
        <f t="shared" si="225"/>
        <v>5.2989780240658817</v>
      </c>
      <c r="AX54" s="13">
        <f t="shared" si="225"/>
        <v>6.491926831033437</v>
      </c>
    </row>
    <row r="56" spans="1:394" x14ac:dyDescent="0.25">
      <c r="B56" s="25" t="s">
        <v>74</v>
      </c>
      <c r="C56" s="2">
        <f>C52+C51-C49+C48</f>
        <v>1350</v>
      </c>
      <c r="D56" s="2">
        <f>D52+D51-D49+D48</f>
        <v>1147</v>
      </c>
      <c r="E56" s="2">
        <f>E52+E51-E49+E48</f>
        <v>1430</v>
      </c>
      <c r="F56" s="2">
        <f>F52+F51-F49+F48</f>
        <v>1214</v>
      </c>
      <c r="G56" s="2">
        <f>G52+G51+G49+G48</f>
        <v>1106</v>
      </c>
      <c r="H56" s="2">
        <f>H52+H51+H49+H48</f>
        <v>910</v>
      </c>
      <c r="I56" s="2">
        <f>I52+I51+I49+I48</f>
        <v>453</v>
      </c>
      <c r="J56" s="2">
        <f>J52+J51+J49+J48</f>
        <v>1258</v>
      </c>
      <c r="K56" s="2">
        <f>K52+K51+K49+K48</f>
        <v>1334</v>
      </c>
      <c r="L56" s="2">
        <f>L52+L51-L49+L48</f>
        <v>1059</v>
      </c>
      <c r="M56" s="2">
        <f>M52+M51-M49+M48</f>
        <v>1358</v>
      </c>
      <c r="N56" s="2">
        <f>N52+N51-N49+N48</f>
        <v>1283</v>
      </c>
      <c r="O56" s="2">
        <f>O52+O51-O49+O48</f>
        <v>1609</v>
      </c>
      <c r="P56" s="2">
        <f>P52+P51-P49+P48</f>
        <v>1302</v>
      </c>
      <c r="Q56" s="2">
        <f>Q52+Q51+Q49+Q48</f>
        <v>1190</v>
      </c>
      <c r="R56" s="2">
        <f>R52-R51-R49+R48</f>
        <v>-642</v>
      </c>
      <c r="S56" s="2">
        <f>S52+S51-S49+S48</f>
        <v>1794</v>
      </c>
      <c r="T56" s="2">
        <f>T52+T51+T49+T48</f>
        <v>1580</v>
      </c>
      <c r="U56" s="2">
        <f>U52+U51-U49+U48</f>
        <v>1722</v>
      </c>
      <c r="V56" s="2">
        <f>V52+V51-V49+V48</f>
        <v>1921</v>
      </c>
      <c r="W56" s="2">
        <f>W52+W51-W49+W48</f>
        <v>2202</v>
      </c>
      <c r="X56" s="2">
        <f>X52+X51-X49+X48</f>
        <v>1658</v>
      </c>
      <c r="Y56" s="2">
        <f>Y52+Y51-Y49+Y48</f>
        <v>1817</v>
      </c>
      <c r="Z56" s="2">
        <f>Z52-Z51+Z49+Z48</f>
        <v>1598</v>
      </c>
      <c r="AA56" s="2">
        <f>AA52-AA51+AA49+AA48</f>
        <v>975</v>
      </c>
      <c r="AB56" s="2">
        <f t="shared" ref="AB56:AF56" si="226">AB52-AB51+AB49+AB48</f>
        <v>949</v>
      </c>
      <c r="AC56" s="2">
        <f>AC52-AC51+AC49+AC48</f>
        <v>938</v>
      </c>
      <c r="AD56" s="2">
        <f t="shared" si="226"/>
        <v>791</v>
      </c>
      <c r="AE56" s="2">
        <f t="shared" si="226"/>
        <v>1208</v>
      </c>
      <c r="AF56" s="2">
        <f t="shared" si="226"/>
        <v>1137</v>
      </c>
      <c r="AG56" s="2">
        <f t="shared" ref="AG56:AH56" si="227">AG52-AG51+AG49+AG48</f>
        <v>1015.3748295248337</v>
      </c>
      <c r="AH56" s="2">
        <f t="shared" si="227"/>
        <v>1264.9600951472989</v>
      </c>
      <c r="AN56" s="2">
        <f>SUM(C56:F56)</f>
        <v>5141</v>
      </c>
      <c r="AO56" s="2">
        <f>SUM(G56:J56)</f>
        <v>3727</v>
      </c>
      <c r="AP56" s="2">
        <f>SUM(K56:N56)</f>
        <v>5034</v>
      </c>
      <c r="AQ56" s="2">
        <f>SUM(O56:R56)</f>
        <v>3459</v>
      </c>
      <c r="AR56" s="2">
        <f>SUM(S56:V56)</f>
        <v>7017</v>
      </c>
      <c r="AS56" s="2">
        <f t="shared" ref="AS56:AX56" si="228">SUM(W56:Z56)</f>
        <v>7275</v>
      </c>
      <c r="AT56" s="2">
        <f t="shared" si="228"/>
        <v>6048</v>
      </c>
      <c r="AU56" s="2">
        <f t="shared" si="228"/>
        <v>5339</v>
      </c>
      <c r="AV56" s="2">
        <f t="shared" si="228"/>
        <v>4460</v>
      </c>
      <c r="AW56" s="2">
        <f t="shared" si="228"/>
        <v>3653</v>
      </c>
      <c r="AX56" s="2">
        <f t="shared" si="228"/>
        <v>3886</v>
      </c>
    </row>
    <row r="57" spans="1:394" x14ac:dyDescent="0.25">
      <c r="B57" s="25" t="s">
        <v>75</v>
      </c>
      <c r="G57" s="4">
        <f>G56/C56-1</f>
        <v>-0.18074074074074076</v>
      </c>
      <c r="H57" s="4">
        <f t="shared" ref="H57:AA57" si="229">H56/D56-1</f>
        <v>-0.20662598081952921</v>
      </c>
      <c r="I57" s="4">
        <f t="shared" si="229"/>
        <v>-0.68321678321678325</v>
      </c>
      <c r="J57" s="4">
        <f t="shared" si="229"/>
        <v>3.6243822075782584E-2</v>
      </c>
      <c r="K57" s="4">
        <f t="shared" si="229"/>
        <v>0.20614828209764924</v>
      </c>
      <c r="L57" s="4">
        <f t="shared" si="229"/>
        <v>0.16373626373626382</v>
      </c>
      <c r="M57" s="4">
        <f t="shared" si="229"/>
        <v>1.9977924944812364</v>
      </c>
      <c r="N57" s="4">
        <f t="shared" si="229"/>
        <v>1.9872813990461147E-2</v>
      </c>
      <c r="O57" s="4">
        <f t="shared" si="229"/>
        <v>0.20614692653673172</v>
      </c>
      <c r="P57" s="4">
        <f t="shared" si="229"/>
        <v>0.22946175637393762</v>
      </c>
      <c r="Q57" s="4">
        <f t="shared" si="229"/>
        <v>-0.12371134020618557</v>
      </c>
      <c r="R57" s="4">
        <f t="shared" si="229"/>
        <v>-1.5003897116134062</v>
      </c>
      <c r="S57" s="4">
        <f t="shared" si="229"/>
        <v>0.11497824735860784</v>
      </c>
      <c r="T57" s="4">
        <f t="shared" si="229"/>
        <v>0.21351766513056836</v>
      </c>
      <c r="U57" s="4">
        <f t="shared" si="229"/>
        <v>0.44705882352941173</v>
      </c>
      <c r="V57" s="4">
        <f t="shared" si="229"/>
        <v>-3.9922118380062304</v>
      </c>
      <c r="W57" s="4">
        <f t="shared" si="229"/>
        <v>0.22742474916387967</v>
      </c>
      <c r="X57" s="4">
        <f t="shared" si="229"/>
        <v>4.9367088607594978E-2</v>
      </c>
      <c r="Y57" s="4">
        <f t="shared" si="229"/>
        <v>5.5168408826945514E-2</v>
      </c>
      <c r="Z57" s="4">
        <f t="shared" si="229"/>
        <v>-0.16814159292035402</v>
      </c>
      <c r="AA57" s="4">
        <f t="shared" si="229"/>
        <v>-0.55722070844686655</v>
      </c>
      <c r="AB57" s="4">
        <f t="shared" ref="AB57" si="230">AB56/X56-1</f>
        <v>-0.42762364294330524</v>
      </c>
      <c r="AC57" s="4">
        <f t="shared" ref="AC57" si="231">AC56/Y56-1</f>
        <v>-0.48376444689047882</v>
      </c>
      <c r="AD57" s="4">
        <f t="shared" ref="AD57" si="232">AD56/Z56-1</f>
        <v>-0.50500625782227782</v>
      </c>
      <c r="AE57" s="4">
        <f t="shared" ref="AE57" si="233">AE56/AA56-1</f>
        <v>0.23897435897435892</v>
      </c>
      <c r="AF57" s="4">
        <f t="shared" ref="AF57" si="234">AF56/AB56-1</f>
        <v>0.1981032665964173</v>
      </c>
      <c r="AG57" s="4">
        <f t="shared" ref="AG57" si="235">AG56/AC56-1</f>
        <v>8.2489157275942082E-2</v>
      </c>
      <c r="AH57" s="4">
        <f t="shared" ref="AH57" si="236">AH56/AD56-1</f>
        <v>0.59919101788533369</v>
      </c>
      <c r="AO57" s="4">
        <f>AO56/AN56-1</f>
        <v>-0.27504376580431822</v>
      </c>
      <c r="AP57" s="4">
        <f t="shared" ref="AP57:AS57" si="237">AP56/AO56-1</f>
        <v>0.35068419640461501</v>
      </c>
      <c r="AQ57" s="4">
        <f t="shared" si="237"/>
        <v>-0.31287246722288442</v>
      </c>
      <c r="AR57" s="4">
        <f t="shared" si="237"/>
        <v>1.028620988725065</v>
      </c>
      <c r="AS57" s="4">
        <f t="shared" si="237"/>
        <v>3.6767849508337003E-2</v>
      </c>
      <c r="AT57" s="4">
        <f t="shared" ref="AT57" si="238">AT56/AS56-1</f>
        <v>-0.16865979381443297</v>
      </c>
      <c r="AU57" s="4">
        <f t="shared" ref="AU57" si="239">AU56/AT56-1</f>
        <v>-0.11722883597883593</v>
      </c>
      <c r="AV57" s="4">
        <f t="shared" ref="AV57" si="240">AV56/AU56-1</f>
        <v>-0.16463757257913469</v>
      </c>
      <c r="AW57" s="4">
        <f t="shared" ref="AW57" si="241">AW56/AV56-1</f>
        <v>-0.1809417040358744</v>
      </c>
      <c r="AX57" s="4">
        <f t="shared" ref="AX57" si="242">AX56/AW56-1</f>
        <v>6.3783191897070823E-2</v>
      </c>
    </row>
    <row r="59" spans="1:394" x14ac:dyDescent="0.25">
      <c r="B59" s="1" t="s">
        <v>32</v>
      </c>
      <c r="G59" s="4">
        <f t="shared" ref="G59:Y59" si="243">G41/C41-1</f>
        <v>9.9326785123055039E-4</v>
      </c>
      <c r="H59" s="4">
        <f t="shared" si="243"/>
        <v>4.5721271393643015E-2</v>
      </c>
      <c r="I59" s="4">
        <f t="shared" si="243"/>
        <v>6.5464895635673592E-2</v>
      </c>
      <c r="J59" s="4">
        <f t="shared" si="243"/>
        <v>0.12815489224386312</v>
      </c>
      <c r="K59" s="4">
        <f t="shared" si="243"/>
        <v>9.6802646085997868E-2</v>
      </c>
      <c r="L59" s="4">
        <f t="shared" si="243"/>
        <v>9.586158522328736E-2</v>
      </c>
      <c r="M59" s="4">
        <f t="shared" si="243"/>
        <v>6.9790739091718512E-2</v>
      </c>
      <c r="N59" s="4">
        <f t="shared" si="243"/>
        <v>4.0351414853406986E-2</v>
      </c>
      <c r="O59" s="4">
        <f t="shared" si="243"/>
        <v>7.1572175311620523E-2</v>
      </c>
      <c r="P59" s="4">
        <f t="shared" si="243"/>
        <v>0.10155749946660975</v>
      </c>
      <c r="Q59" s="4">
        <f t="shared" si="243"/>
        <v>5.1295390698158361E-2</v>
      </c>
      <c r="R59" s="4">
        <f t="shared" si="243"/>
        <v>-0.38010604870384912</v>
      </c>
      <c r="S59" s="4">
        <f t="shared" si="243"/>
        <v>-6.1913696060037493E-3</v>
      </c>
      <c r="T59" s="4">
        <f t="shared" si="243"/>
        <v>8.8804958357544095E-2</v>
      </c>
      <c r="U59" s="4">
        <f t="shared" si="243"/>
        <v>2.5039588281868586E-2</v>
      </c>
      <c r="V59" s="4">
        <f t="shared" si="243"/>
        <v>0.95533027086963407</v>
      </c>
      <c r="W59" s="4">
        <f t="shared" si="243"/>
        <v>0.15612610911836899</v>
      </c>
      <c r="X59" s="4">
        <f t="shared" si="243"/>
        <v>1.0139642444187524E-2</v>
      </c>
      <c r="Y59" s="4">
        <f t="shared" si="243"/>
        <v>4.9628270734768831E-2</v>
      </c>
      <c r="Z59" s="4">
        <f>Z41/V41-1</f>
        <v>-8.9112119248218047E-3</v>
      </c>
      <c r="AA59" s="4">
        <f>AA41/W41-1</f>
        <v>3.5842586544742039E-2</v>
      </c>
      <c r="AB59" s="4">
        <f t="shared" ref="AB59:AD60" si="244">AB41/X41-1</f>
        <v>0.17240468433565193</v>
      </c>
      <c r="AC59" s="4">
        <f t="shared" si="244"/>
        <v>0.13972955569864776</v>
      </c>
      <c r="AD59" s="4">
        <f t="shared" si="244"/>
        <v>4.8307994114762165E-2</v>
      </c>
      <c r="AE59" s="4">
        <f t="shared" ref="AE59:AE60" si="245">AE41/AA41-1</f>
        <v>1.986285173799951E-2</v>
      </c>
      <c r="AF59" s="4">
        <f t="shared" ref="AF59:AF60" si="246">AF41/AB41-1</f>
        <v>5.482538490424238E-3</v>
      </c>
      <c r="AG59" s="4">
        <f t="shared" ref="AG59:AG60" si="247">AG41/AC41-1</f>
        <v>-2.0000000000000129E-2</v>
      </c>
      <c r="AH59" s="4">
        <f t="shared" ref="AH59:AH60" si="248">AH41/AD41-1</f>
        <v>2.0000000000000018E-2</v>
      </c>
      <c r="AO59" s="4">
        <f>AO41/AN41-1</f>
        <v>5.95924308588065E-2</v>
      </c>
      <c r="AP59" s="4">
        <f t="shared" ref="AP59:AS59" si="249">AP41/AO41-1</f>
        <v>7.4731433909388079E-2</v>
      </c>
      <c r="AQ59" s="4">
        <f t="shared" si="249"/>
        <v>-4.3817266150267153E-2</v>
      </c>
      <c r="AR59" s="4">
        <f t="shared" si="249"/>
        <v>0.19076009945726269</v>
      </c>
      <c r="AS59" s="4">
        <f t="shared" si="249"/>
        <v>4.8767344739323759E-2</v>
      </c>
      <c r="AT59" s="4">
        <f t="shared" ref="AT59:AT60" si="250">AT41/AS41-1</f>
        <v>9.6488974523656568E-2</v>
      </c>
      <c r="AU59" s="4">
        <f t="shared" ref="AU59:AU60" si="251">AU41/AT41-1</f>
        <v>6.5154148036785653E-3</v>
      </c>
      <c r="AV59" s="4">
        <f t="shared" ref="AV59:AV60" si="252">AV41/AU41-1</f>
        <v>7.0683366084262289E-2</v>
      </c>
      <c r="AW59" s="4">
        <f t="shared" ref="AW59:AW60" si="253">AW41/AV41-1</f>
        <v>7.124970221205329E-2</v>
      </c>
      <c r="AX59" s="4">
        <f t="shared" ref="AX59:AX60" si="254">AX41/AW41-1</f>
        <v>7.182000366953778E-2</v>
      </c>
    </row>
    <row r="60" spans="1:394" x14ac:dyDescent="0.25">
      <c r="B60" s="1" t="s">
        <v>33</v>
      </c>
      <c r="G60" s="4">
        <f t="shared" ref="G60:R60" si="255">G42/C42-1</f>
        <v>3.4426893479141407E-2</v>
      </c>
      <c r="H60" s="4">
        <f t="shared" si="255"/>
        <v>6.8361086765994727E-2</v>
      </c>
      <c r="I60" s="4">
        <f t="shared" si="255"/>
        <v>0.15570269115762492</v>
      </c>
      <c r="J60" s="4">
        <f t="shared" si="255"/>
        <v>0.11475072105480022</v>
      </c>
      <c r="K60" s="4">
        <f t="shared" si="255"/>
        <v>8.6726703210650014E-2</v>
      </c>
      <c r="L60" s="4">
        <f t="shared" si="255"/>
        <v>8.059885151763746E-2</v>
      </c>
      <c r="M60" s="4">
        <f t="shared" si="255"/>
        <v>-2.5688412493069634E-2</v>
      </c>
      <c r="N60" s="4">
        <f t="shared" si="255"/>
        <v>2.5873221216041298E-2</v>
      </c>
      <c r="O60" s="4">
        <f t="shared" si="255"/>
        <v>4.2875157629256089E-2</v>
      </c>
      <c r="P60" s="4">
        <f t="shared" si="255"/>
        <v>9.7361928259631858E-2</v>
      </c>
      <c r="Q60" s="4">
        <f t="shared" si="255"/>
        <v>6.8095599393019679E-2</v>
      </c>
      <c r="R60" s="4">
        <f t="shared" si="255"/>
        <v>-0.28661502431994235</v>
      </c>
      <c r="S60" s="4">
        <f t="shared" ref="S60" si="256">S42/O42-1</f>
        <v>1.1055449991362876E-2</v>
      </c>
      <c r="T60" s="4">
        <f t="shared" ref="T60:AA60" si="257">T42/P42-1</f>
        <v>0.10619162919405056</v>
      </c>
      <c r="U60" s="4">
        <f t="shared" si="257"/>
        <v>1.2431184514296589E-3</v>
      </c>
      <c r="V60" s="4">
        <f t="shared" si="257"/>
        <v>0.68914141414141405</v>
      </c>
      <c r="W60" s="4">
        <f t="shared" si="257"/>
        <v>0.1194259354177345</v>
      </c>
      <c r="X60" s="4">
        <f t="shared" si="257"/>
        <v>-3.9399624765478425E-2</v>
      </c>
      <c r="Y60" s="4">
        <f t="shared" si="257"/>
        <v>2.9443064916637063E-2</v>
      </c>
      <c r="Z60" s="4">
        <f t="shared" si="257"/>
        <v>6.2789654656898453E-3</v>
      </c>
      <c r="AA60" s="4">
        <f t="shared" si="257"/>
        <v>7.9365079365079305E-2</v>
      </c>
      <c r="AB60" s="4">
        <f t="shared" si="244"/>
        <v>0.23763020833333326</v>
      </c>
      <c r="AC60" s="4">
        <f t="shared" si="244"/>
        <v>0.20933838731909038</v>
      </c>
      <c r="AD60" s="4">
        <f t="shared" si="244"/>
        <v>7.4134601099390851E-2</v>
      </c>
      <c r="AE60" s="4">
        <f t="shared" si="245"/>
        <v>2.0786199095022662E-2</v>
      </c>
      <c r="AF60" s="4">
        <f t="shared" si="246"/>
        <v>-2.4592319831667542E-2</v>
      </c>
      <c r="AG60" s="4">
        <f t="shared" si="247"/>
        <v>-3.0000000000000138E-2</v>
      </c>
      <c r="AH60" s="4">
        <f t="shared" si="248"/>
        <v>-3.0000000000000027E-2</v>
      </c>
      <c r="AO60" s="4">
        <f t="shared" ref="AO60:AS60" si="258">AO42/AN42-1</f>
        <v>9.2866897783380642E-2</v>
      </c>
      <c r="AP60" s="4">
        <f t="shared" si="258"/>
        <v>4.0228780159569322E-2</v>
      </c>
      <c r="AQ60" s="4">
        <f t="shared" si="258"/>
        <v>-2.2224275747354749E-2</v>
      </c>
      <c r="AR60" s="4">
        <f t="shared" si="258"/>
        <v>0.16132690671959171</v>
      </c>
      <c r="AS60" s="4">
        <f t="shared" si="258"/>
        <v>2.6652018229166741E-2</v>
      </c>
      <c r="AT60" s="4">
        <f t="shared" si="250"/>
        <v>0.14640719749514486</v>
      </c>
      <c r="AU60" s="4">
        <f t="shared" si="251"/>
        <v>-1.6161452031114965E-2</v>
      </c>
      <c r="AV60" s="4">
        <f t="shared" si="252"/>
        <v>5.0000000000000044E-2</v>
      </c>
      <c r="AW60" s="4">
        <f t="shared" si="253"/>
        <v>5.0000000000000044E-2</v>
      </c>
      <c r="AX60" s="4">
        <f t="shared" si="254"/>
        <v>5.0000000000000044E-2</v>
      </c>
      <c r="BA60" s="1" t="s">
        <v>59</v>
      </c>
      <c r="BB60" s="4">
        <v>-0.01</v>
      </c>
    </row>
    <row r="61" spans="1:394" x14ac:dyDescent="0.25">
      <c r="B61" s="1" t="s">
        <v>34</v>
      </c>
      <c r="G61" s="4">
        <f t="shared" ref="G61:AA61" si="259">G46/C46-1</f>
        <v>-1.4152571625819843E-2</v>
      </c>
      <c r="H61" s="4">
        <f t="shared" si="259"/>
        <v>0.10499001996007995</v>
      </c>
      <c r="I61" s="4">
        <f t="shared" si="259"/>
        <v>0.25</v>
      </c>
      <c r="J61" s="4">
        <f t="shared" si="259"/>
        <v>0.1707317073170731</v>
      </c>
      <c r="K61" s="4">
        <f t="shared" si="259"/>
        <v>7.247899159663862E-2</v>
      </c>
      <c r="L61" s="4">
        <f t="shared" si="259"/>
        <v>0.13511560693641611</v>
      </c>
      <c r="M61" s="4">
        <f t="shared" si="259"/>
        <v>-9.2948717948717618E-3</v>
      </c>
      <c r="N61" s="4">
        <f t="shared" si="259"/>
        <v>9.1666666666666563E-2</v>
      </c>
      <c r="O61" s="4">
        <f t="shared" si="259"/>
        <v>8.6516487104146167E-2</v>
      </c>
      <c r="P61" s="4">
        <f t="shared" si="259"/>
        <v>5.7924888605983549E-2</v>
      </c>
      <c r="Q61" s="4">
        <f t="shared" si="259"/>
        <v>6.2115820122937482E-2</v>
      </c>
      <c r="R61" s="4">
        <f t="shared" si="259"/>
        <v>-6.312389900176163E-2</v>
      </c>
      <c r="S61" s="4">
        <f t="shared" si="259"/>
        <v>-0.10606971153846156</v>
      </c>
      <c r="T61" s="4">
        <f t="shared" si="259"/>
        <v>-1.7148014440433235E-2</v>
      </c>
      <c r="U61" s="4">
        <f t="shared" si="259"/>
        <v>-7.3713067316478864E-2</v>
      </c>
      <c r="V61" s="4">
        <f t="shared" si="259"/>
        <v>0.17267314321529303</v>
      </c>
      <c r="W61" s="4">
        <f t="shared" si="259"/>
        <v>0.20067226890756307</v>
      </c>
      <c r="X61" s="4">
        <f t="shared" si="259"/>
        <v>0.15059687786960518</v>
      </c>
      <c r="Y61" s="4">
        <f t="shared" si="259"/>
        <v>0.13054916146004603</v>
      </c>
      <c r="Z61" s="4">
        <f t="shared" si="259"/>
        <v>7.8300374131480499E-2</v>
      </c>
      <c r="AA61" s="4">
        <f t="shared" si="259"/>
        <v>9.7424412094065049E-2</v>
      </c>
      <c r="AB61" s="4">
        <f t="shared" ref="AB61:AB62" si="260">AB46/X46-1</f>
        <v>9.7100292631018936E-2</v>
      </c>
      <c r="AC61" s="4">
        <f t="shared" ref="AC61:AC62" si="261">AC46/Y46-1</f>
        <v>0.15154159394997091</v>
      </c>
      <c r="AD61" s="4">
        <f t="shared" ref="AD61:AD62" si="262">AD46/Z46-1</f>
        <v>8.4014869888475729E-2</v>
      </c>
      <c r="AE61" s="4">
        <f t="shared" ref="AE61:AE62" si="263">AE46/AA46-1</f>
        <v>5.0000000000000044E-2</v>
      </c>
      <c r="AF61" s="4">
        <f t="shared" ref="AF61:AF62" si="264">AF46/AB46-1</f>
        <v>5.3346265761395895E-3</v>
      </c>
      <c r="AG61" s="4">
        <f t="shared" ref="AG61:AG62" si="265">AG46/AC46-1</f>
        <v>1.0000000000000009E-2</v>
      </c>
      <c r="AH61" s="4">
        <f t="shared" ref="AH61:AH62" si="266">AH46/AD46-1</f>
        <v>1.0000000000000009E-2</v>
      </c>
      <c r="AO61" s="4">
        <f>AO46/AN46-1</f>
        <v>0.12316576730095607</v>
      </c>
      <c r="AP61" s="4">
        <f t="shared" ref="AP61:AS61" si="267">AP46/AO46-1</f>
        <v>7.0633850303438939E-2</v>
      </c>
      <c r="AQ61" s="4">
        <f t="shared" si="267"/>
        <v>3.3380569988978204E-2</v>
      </c>
      <c r="AR61" s="4">
        <f t="shared" si="267"/>
        <v>-7.6946518360505589E-3</v>
      </c>
      <c r="AS61" s="4">
        <f t="shared" si="267"/>
        <v>0.13658349328214969</v>
      </c>
      <c r="AT61" s="4">
        <f t="shared" ref="AT61:AT62" si="268">AT46/AS46-1</f>
        <v>0.10625506619832481</v>
      </c>
      <c r="AU61" s="4">
        <f t="shared" ref="AU61:AU62" si="269">AU46/AT46-1</f>
        <v>1.8399584783538092E-2</v>
      </c>
      <c r="AV61" s="4">
        <f t="shared" ref="AV61:AV62" si="270">AV46/AU46-1</f>
        <v>1.9999999999999796E-2</v>
      </c>
      <c r="AW61" s="4">
        <f t="shared" ref="AW61:AW62" si="271">AW46/AV46-1</f>
        <v>5.0000000000000044E-2</v>
      </c>
      <c r="AX61" s="4">
        <f t="shared" ref="AX61:AX62" si="272">AX46/AW46-1</f>
        <v>5.0000000000000044E-2</v>
      </c>
      <c r="BA61" s="33" t="s">
        <v>113</v>
      </c>
      <c r="BB61" s="22">
        <f>WACC!C18</f>
        <v>7.9630150364010721E-2</v>
      </c>
    </row>
    <row r="62" spans="1:394" x14ac:dyDescent="0.25">
      <c r="B62" s="1" t="s">
        <v>35</v>
      </c>
      <c r="G62" s="4">
        <f t="shared" ref="G62:U62" si="273">G47/C47-1</f>
        <v>-9.7879282218597097E-2</v>
      </c>
      <c r="H62" s="4">
        <f t="shared" si="273"/>
        <v>-0.18091809180918095</v>
      </c>
      <c r="I62" s="4">
        <f t="shared" si="273"/>
        <v>-0.63875598086124397</v>
      </c>
      <c r="J62" s="4">
        <f t="shared" si="273"/>
        <v>8.6355785837651133E-2</v>
      </c>
      <c r="K62" s="4">
        <f t="shared" si="273"/>
        <v>0.20614828209764924</v>
      </c>
      <c r="L62" s="4">
        <f t="shared" si="273"/>
        <v>5.8241758241758257E-2</v>
      </c>
      <c r="M62" s="4">
        <f t="shared" si="273"/>
        <v>1.7549668874172184</v>
      </c>
      <c r="N62" s="4">
        <f t="shared" si="273"/>
        <v>-2.4642289348171698E-2</v>
      </c>
      <c r="O62" s="4">
        <f t="shared" si="273"/>
        <v>0.156671664167916</v>
      </c>
      <c r="P62" s="4">
        <f t="shared" si="273"/>
        <v>0.26687435098650059</v>
      </c>
      <c r="Q62" s="4">
        <f t="shared" si="273"/>
        <v>-4.647435897435892E-2</v>
      </c>
      <c r="R62" s="4">
        <f t="shared" si="273"/>
        <v>-1.6829665851670743</v>
      </c>
      <c r="S62" s="4">
        <f t="shared" si="273"/>
        <v>0.14452365521710964</v>
      </c>
      <c r="T62" s="4">
        <f t="shared" si="273"/>
        <v>0.29508196721311486</v>
      </c>
      <c r="U62" s="4">
        <f t="shared" si="273"/>
        <v>0.41008403361344548</v>
      </c>
      <c r="V62" s="4">
        <f t="shared" ref="V62" si="274">V47/R47-1</f>
        <v>-3.2828162291169449</v>
      </c>
      <c r="W62" s="4">
        <f>W47/S47-1</f>
        <v>0.20271800679501695</v>
      </c>
      <c r="X62" s="4">
        <f>X47/T47-1</f>
        <v>-7.9746835443037956E-2</v>
      </c>
      <c r="Y62" s="4">
        <f>Y47/U47-1</f>
        <v>-2.9201430274135909E-2</v>
      </c>
      <c r="Z62" s="4">
        <f>Z47/V47-1</f>
        <v>-0.23261892315734445</v>
      </c>
      <c r="AA62" s="4">
        <f>AA47/W47-1</f>
        <v>-0.20197740112994356</v>
      </c>
      <c r="AB62" s="4">
        <f t="shared" si="260"/>
        <v>9.1471801925722129E-2</v>
      </c>
      <c r="AC62" s="4">
        <f t="shared" si="261"/>
        <v>-0.13321055862492326</v>
      </c>
      <c r="AD62" s="4">
        <f t="shared" si="262"/>
        <v>-0.16825613079019075</v>
      </c>
      <c r="AE62" s="4">
        <f t="shared" si="263"/>
        <v>-5.3687315634218247E-2</v>
      </c>
      <c r="AF62" s="4">
        <f t="shared" si="264"/>
        <v>0.14996849401386259</v>
      </c>
      <c r="AG62" s="4">
        <f t="shared" si="265"/>
        <v>-5.4405099150142133E-2</v>
      </c>
      <c r="AH62" s="4">
        <f t="shared" si="266"/>
        <v>0.35189189189189252</v>
      </c>
      <c r="AO62" s="4">
        <f>AO47/AN47-1</f>
        <v>-0.21520320067382603</v>
      </c>
      <c r="AP62" s="4">
        <f t="shared" ref="AP62:AS62" si="275">AP47/AO47-1</f>
        <v>0.2803863697343707</v>
      </c>
      <c r="AQ62" s="4">
        <f t="shared" si="275"/>
        <v>-0.34723386420787927</v>
      </c>
      <c r="AR62" s="4">
        <f t="shared" si="275"/>
        <v>1.2269662921348314</v>
      </c>
      <c r="AS62" s="4">
        <f t="shared" si="275"/>
        <v>-3.7768487818941932E-2</v>
      </c>
      <c r="AT62" s="4">
        <f t="shared" si="268"/>
        <v>-0.11385767790262169</v>
      </c>
      <c r="AU62" s="4">
        <f t="shared" si="269"/>
        <v>8.4503803888419826E-2</v>
      </c>
      <c r="AV62" s="4">
        <f t="shared" si="270"/>
        <v>0.29421371382606254</v>
      </c>
      <c r="AW62" s="4">
        <f t="shared" si="271"/>
        <v>0.19127217932643248</v>
      </c>
      <c r="AX62" s="4">
        <f t="shared" si="272"/>
        <v>0.18044827198679214</v>
      </c>
      <c r="BA62" s="1" t="s">
        <v>60</v>
      </c>
      <c r="BB62" s="23">
        <f>NPV(BB61,AS52:OD52)</f>
        <v>97415.585515213708</v>
      </c>
    </row>
    <row r="63" spans="1:394" x14ac:dyDescent="0.25">
      <c r="B63" s="1" t="s">
        <v>36</v>
      </c>
      <c r="G63" s="4">
        <f t="shared" ref="G63:J63" si="276">G52/C52-1</f>
        <v>-0.23939151321056851</v>
      </c>
      <c r="H63" s="4">
        <f>H52/D52-1</f>
        <v>-8.9073634204275498E-2</v>
      </c>
      <c r="I63" s="4">
        <f t="shared" si="276"/>
        <v>-0.70902716914986852</v>
      </c>
      <c r="J63" s="4">
        <f t="shared" si="276"/>
        <v>0.12797619047619047</v>
      </c>
      <c r="K63" s="4">
        <f>K52/G52-1</f>
        <v>0.14947368421052643</v>
      </c>
      <c r="L63" s="4">
        <f t="shared" ref="L63:V63" si="277">L52/H52-1</f>
        <v>0.10430247718383301</v>
      </c>
      <c r="M63" s="4">
        <f t="shared" si="277"/>
        <v>2.3162650602409638</v>
      </c>
      <c r="N63" s="4">
        <f t="shared" si="277"/>
        <v>-0.13016710642040452</v>
      </c>
      <c r="O63" s="4">
        <f t="shared" si="277"/>
        <v>0.25183150183150182</v>
      </c>
      <c r="P63" s="4">
        <f t="shared" si="277"/>
        <v>0.31641086186540734</v>
      </c>
      <c r="Q63" s="4">
        <f t="shared" si="277"/>
        <v>-0.23069936421435056</v>
      </c>
      <c r="R63" s="4">
        <f t="shared" si="277"/>
        <v>-1.7987866531850354</v>
      </c>
      <c r="S63" s="4">
        <f t="shared" si="277"/>
        <v>0.11046086320409665</v>
      </c>
      <c r="T63" s="4">
        <f t="shared" si="277"/>
        <v>0.12197309417040358</v>
      </c>
      <c r="U63" s="4">
        <f t="shared" si="277"/>
        <v>0.71074380165289264</v>
      </c>
      <c r="V63" s="4">
        <f t="shared" si="277"/>
        <v>-2.910126582278481</v>
      </c>
      <c r="W63" s="4">
        <f t="shared" ref="W63:W65" si="278">W52/S52-1</f>
        <v>0.23451910408432153</v>
      </c>
      <c r="X63" s="4">
        <f t="shared" ref="X63:X65" si="279">X52/T52-1</f>
        <v>6.8745003996802501E-2</v>
      </c>
      <c r="Y63" s="4">
        <f t="shared" ref="Y63:Y65" si="280">Y52/U52-1</f>
        <v>-3.6576949620427901E-2</v>
      </c>
      <c r="Z63" s="4">
        <f t="shared" ref="Z63:AA65" si="281">Z52/V52-1</f>
        <v>-4.6388336646785988E-2</v>
      </c>
      <c r="AA63" s="4">
        <f t="shared" si="281"/>
        <v>-0.21664887940234789</v>
      </c>
      <c r="AB63" s="4">
        <f t="shared" ref="AB63:AB65" si="282">AB52/X52-1</f>
        <v>-4.487658937920691E-3</v>
      </c>
      <c r="AC63" s="4">
        <f t="shared" ref="AC63:AC65" si="283">AC52/Y52-1</f>
        <v>-0.11174785100286533</v>
      </c>
      <c r="AD63" s="4">
        <f t="shared" ref="AD63:AD65" si="284">AD52/Z52-1</f>
        <v>-0.28353022932592076</v>
      </c>
      <c r="AE63" s="4">
        <f t="shared" ref="AE63:AE65" si="285">AE52/AA52-1</f>
        <v>-1.2261580381471404E-2</v>
      </c>
      <c r="AF63" s="4">
        <f t="shared" ref="AF63:AF65" si="286">AF52/AB52-1</f>
        <v>0.18557475582268967</v>
      </c>
      <c r="AG63" s="4">
        <f t="shared" ref="AG63:AG65" si="287">AG52/AC52-1</f>
        <v>-0.13284079454643827</v>
      </c>
      <c r="AH63" s="4">
        <f t="shared" ref="AH63:AH65" si="288">AH52/AD52-1</f>
        <v>0.2199903468221629</v>
      </c>
      <c r="AO63" s="4">
        <f>AO52/AN52-1</f>
        <v>-0.24858490566037739</v>
      </c>
      <c r="AP63" s="4">
        <f t="shared" ref="AP63:AS63" si="289">AP52/AO52-1</f>
        <v>0.26459510357815441</v>
      </c>
      <c r="AQ63" s="4">
        <f t="shared" si="289"/>
        <v>-0.36981881360138991</v>
      </c>
      <c r="AR63" s="4">
        <f t="shared" si="289"/>
        <v>1.2556124458448208</v>
      </c>
      <c r="AS63" s="4">
        <f t="shared" si="289"/>
        <v>5.5701065130085547E-2</v>
      </c>
      <c r="AT63" s="4">
        <f t="shared" ref="AT63:AT65" si="290">AT52/AS52-1</f>
        <v>-0.16142904399603042</v>
      </c>
      <c r="AU63" s="4">
        <f t="shared" ref="AU63:AU65" si="291">AU52/AT52-1</f>
        <v>5.7413700658001998E-2</v>
      </c>
      <c r="AV63" s="4">
        <f t="shared" ref="AV63:AV65" si="292">AV52/AU52-1</f>
        <v>0.19879164929712312</v>
      </c>
      <c r="AW63" s="4">
        <f t="shared" ref="AW63:AW65" si="293">AW52/AV52-1</f>
        <v>0.23249537784617158</v>
      </c>
      <c r="AX63" s="4">
        <f t="shared" ref="AX63:AX65" si="294">AX52/AW52-1</f>
        <v>0.21287681011964055</v>
      </c>
      <c r="BA63" s="1" t="s">
        <v>61</v>
      </c>
      <c r="BB63" s="2">
        <f>Main!C7-Main!C8</f>
        <v>991</v>
      </c>
    </row>
    <row r="64" spans="1:394" x14ac:dyDescent="0.25">
      <c r="B64" s="1" t="s">
        <v>37</v>
      </c>
      <c r="G64" s="4">
        <f t="shared" ref="G64:K64" si="295">G53/C53-1</f>
        <v>-1.8725495933056391E-2</v>
      </c>
      <c r="H64" s="4">
        <f t="shared" si="295"/>
        <v>-1.9076305220883549E-2</v>
      </c>
      <c r="I64" s="4">
        <f t="shared" si="295"/>
        <v>-2.6744944553163674E-2</v>
      </c>
      <c r="J64" s="4">
        <f t="shared" si="295"/>
        <v>-2.2280471821756187E-2</v>
      </c>
      <c r="K64" s="4">
        <f t="shared" si="295"/>
        <v>-2.5344385473194619E-2</v>
      </c>
      <c r="L64" s="4">
        <f t="shared" ref="L64:V64" si="296">L53/H53-1</f>
        <v>-2.4203744957553175E-2</v>
      </c>
      <c r="M64" s="4">
        <f>M53/I53-1</f>
        <v>-1.9254204240799488E-2</v>
      </c>
      <c r="N64" s="4">
        <f t="shared" si="296"/>
        <v>-2.0533755788447516E-2</v>
      </c>
      <c r="O64" s="4">
        <f t="shared" si="296"/>
        <v>-2.2577092511013253E-2</v>
      </c>
      <c r="P64" s="4">
        <f t="shared" si="296"/>
        <v>-1.6227555994323462E-2</v>
      </c>
      <c r="Q64" s="4">
        <f t="shared" si="296"/>
        <v>-1.118290258449306E-2</v>
      </c>
      <c r="R64" s="4">
        <f t="shared" si="296"/>
        <v>-3.2223950233281506E-2</v>
      </c>
      <c r="S64" s="4">
        <f t="shared" si="296"/>
        <v>-2.6291079812207352E-3</v>
      </c>
      <c r="T64" s="4">
        <f t="shared" si="296"/>
        <v>9.4706472654288998E-3</v>
      </c>
      <c r="U64" s="4">
        <f t="shared" si="296"/>
        <v>1.5895953757225634E-2</v>
      </c>
      <c r="V64" s="4">
        <f t="shared" si="296"/>
        <v>3.805360930770707E-2</v>
      </c>
      <c r="W64" s="4">
        <f t="shared" si="278"/>
        <v>1.6506621477436756E-2</v>
      </c>
      <c r="X64" s="4">
        <f t="shared" si="279"/>
        <v>4.9083566324945593E-3</v>
      </c>
      <c r="Y64" s="4">
        <f t="shared" si="280"/>
        <v>-3.8344981136743117E-3</v>
      </c>
      <c r="Z64" s="4">
        <f t="shared" si="281"/>
        <v>-1.2322744442380351E-2</v>
      </c>
      <c r="AA64" s="4">
        <f t="shared" si="281"/>
        <v>-2.0869350456902858E-2</v>
      </c>
      <c r="AB64" s="4">
        <f t="shared" si="282"/>
        <v>-2.7822431062198616E-2</v>
      </c>
      <c r="AC64" s="4">
        <f t="shared" si="283"/>
        <v>-2.8496926802011657E-2</v>
      </c>
      <c r="AD64" s="4">
        <f t="shared" si="284"/>
        <v>-2.4263322884012561E-2</v>
      </c>
      <c r="AE64" s="4">
        <f t="shared" si="285"/>
        <v>-2.6800353134064814E-2</v>
      </c>
      <c r="AF64" s="4">
        <f t="shared" si="286"/>
        <v>-2.5629610786059631E-2</v>
      </c>
      <c r="AG64" s="4">
        <f t="shared" si="287"/>
        <v>-2.0000000000000018E-2</v>
      </c>
      <c r="AH64" s="4">
        <f t="shared" si="288"/>
        <v>-2.0000000000000018E-2</v>
      </c>
      <c r="AO64" s="4">
        <f>AO53/AN53-1</f>
        <v>-2.2280471821756187E-2</v>
      </c>
      <c r="AP64" s="4">
        <f t="shared" ref="AP64:AS64" si="297">AP53/AO53-1</f>
        <v>-2.0533755788447516E-2</v>
      </c>
      <c r="AQ64" s="4">
        <f t="shared" si="297"/>
        <v>-3.2223950233281506E-2</v>
      </c>
      <c r="AR64" s="4">
        <f t="shared" si="297"/>
        <v>3.805360930770707E-2</v>
      </c>
      <c r="AS64" s="4">
        <f t="shared" si="297"/>
        <v>-1.2322744442380351E-2</v>
      </c>
      <c r="AT64" s="4">
        <f t="shared" si="290"/>
        <v>-2.4263322884012561E-2</v>
      </c>
      <c r="AU64" s="4">
        <f t="shared" si="291"/>
        <v>-2.0000000000000018E-2</v>
      </c>
      <c r="AV64" s="4">
        <f t="shared" si="292"/>
        <v>-9.9999999999998979E-3</v>
      </c>
      <c r="AW64" s="4">
        <f t="shared" si="293"/>
        <v>-1.0000000000000009E-2</v>
      </c>
      <c r="AX64" s="4">
        <f t="shared" si="294"/>
        <v>-1.000000000000012E-2</v>
      </c>
      <c r="BA64" s="2" t="s">
        <v>62</v>
      </c>
      <c r="BB64" s="2">
        <f>BB62+BB63</f>
        <v>98406.585515213708</v>
      </c>
    </row>
    <row r="65" spans="2:54" x14ac:dyDescent="0.25">
      <c r="B65" s="1" t="s">
        <v>38</v>
      </c>
      <c r="G65" s="4">
        <f t="shared" ref="G65:K65" si="298">G54/C54-1</f>
        <v>-0.22487694968426297</v>
      </c>
      <c r="H65" s="4">
        <f t="shared" si="298"/>
        <v>-7.135858717242427E-2</v>
      </c>
      <c r="I65" s="4">
        <f t="shared" si="298"/>
        <v>-0.70103126696162765</v>
      </c>
      <c r="J65" s="4">
        <f t="shared" si="298"/>
        <v>0.15368074173369073</v>
      </c>
      <c r="K65" s="4">
        <f t="shared" si="298"/>
        <v>0.17936393848056276</v>
      </c>
      <c r="L65" s="4">
        <f t="shared" ref="L65:V65" si="299">L54/H54-1</f>
        <v>0.13169370293985838</v>
      </c>
      <c r="M65" s="4">
        <f>M54/I54-1</f>
        <v>2.3813706615727326</v>
      </c>
      <c r="N65" s="4">
        <f t="shared" si="299"/>
        <v>-0.1119317294290314</v>
      </c>
      <c r="O65" s="4">
        <f t="shared" si="299"/>
        <v>0.28074704638084924</v>
      </c>
      <c r="P65" s="4">
        <f t="shared" si="299"/>
        <v>0.33812536617239419</v>
      </c>
      <c r="Q65" s="4">
        <f t="shared" si="299"/>
        <v>-0.22199905544070042</v>
      </c>
      <c r="R65" s="4">
        <f t="shared" si="299"/>
        <v>-1.8253837790029852</v>
      </c>
      <c r="S65" s="4">
        <f t="shared" si="299"/>
        <v>0.11338808069324324</v>
      </c>
      <c r="T65" s="4">
        <f t="shared" si="299"/>
        <v>0.11144697194488451</v>
      </c>
      <c r="U65" s="4">
        <f t="shared" si="299"/>
        <v>0.68397540646344468</v>
      </c>
      <c r="V65" s="4">
        <f t="shared" si="299"/>
        <v>-2.8401039841789792</v>
      </c>
      <c r="W65" s="4">
        <f t="shared" si="278"/>
        <v>0.21447227002812408</v>
      </c>
      <c r="X65" s="4">
        <f t="shared" si="279"/>
        <v>6.3524844771147171E-2</v>
      </c>
      <c r="Y65" s="4">
        <f t="shared" si="280"/>
        <v>-3.2868485652989277E-2</v>
      </c>
      <c r="Z65" s="4">
        <f t="shared" si="281"/>
        <v>-3.4490611191783538E-2</v>
      </c>
      <c r="AA65" s="4">
        <f t="shared" si="281"/>
        <v>-0.19995240577629125</v>
      </c>
      <c r="AB65" s="4">
        <f t="shared" si="282"/>
        <v>2.4002582316081877E-2</v>
      </c>
      <c r="AC65" s="4">
        <f t="shared" si="283"/>
        <v>-8.5692908748923213E-2</v>
      </c>
      <c r="AD65" s="4">
        <f t="shared" si="284"/>
        <v>-0.26571401129270933</v>
      </c>
      <c r="AE65" s="4">
        <f t="shared" si="285"/>
        <v>1.4939147172333689E-2</v>
      </c>
      <c r="AF65" s="4">
        <f t="shared" si="286"/>
        <v>0.21675983686156108</v>
      </c>
      <c r="AG65" s="4">
        <f t="shared" si="287"/>
        <v>-0.11514366790452879</v>
      </c>
      <c r="AH65" s="4">
        <f t="shared" si="288"/>
        <v>0.24488810900220681</v>
      </c>
      <c r="AO65" s="4">
        <f>AO54/AN54-1</f>
        <v>-0.23146150538722254</v>
      </c>
      <c r="AP65" s="4">
        <f t="shared" ref="AP65:AS65" si="300">AP54/AO54-1</f>
        <v>0.29110636640277887</v>
      </c>
      <c r="AQ65" s="4">
        <f t="shared" si="300"/>
        <v>-0.34883572852364486</v>
      </c>
      <c r="AR65" s="4">
        <f t="shared" si="300"/>
        <v>1.1729248139208543</v>
      </c>
      <c r="AS65" s="4">
        <f t="shared" si="300"/>
        <v>6.8872507886254208E-2</v>
      </c>
      <c r="AT65" s="4">
        <f t="shared" si="290"/>
        <v>-0.14057657596457529</v>
      </c>
      <c r="AU65" s="4">
        <f t="shared" si="291"/>
        <v>7.899357210000213E-2</v>
      </c>
      <c r="AV65" s="4">
        <f t="shared" si="292"/>
        <v>0.21090065585568007</v>
      </c>
      <c r="AW65" s="4">
        <f t="shared" si="293"/>
        <v>0.24494482610724422</v>
      </c>
      <c r="AX65" s="4">
        <f t="shared" si="294"/>
        <v>0.22512809102994003</v>
      </c>
      <c r="AY65" s="1"/>
      <c r="AZ65" s="23"/>
      <c r="BA65" s="2" t="s">
        <v>63</v>
      </c>
      <c r="BB65" s="13">
        <f>BB64/Main!C5</f>
        <v>64.229871101895256</v>
      </c>
    </row>
    <row r="66" spans="2:54" x14ac:dyDescent="0.25">
      <c r="B66" s="1" t="s">
        <v>39</v>
      </c>
      <c r="C66" s="4">
        <f t="shared" ref="C66:R66" si="301">C43/C41</f>
        <v>0.45502703895817237</v>
      </c>
      <c r="D66" s="4">
        <f t="shared" si="301"/>
        <v>0.44205378973105136</v>
      </c>
      <c r="E66" s="4">
        <f t="shared" si="301"/>
        <v>0.44473434535104367</v>
      </c>
      <c r="F66" s="4">
        <f t="shared" si="301"/>
        <v>0.44059006569090697</v>
      </c>
      <c r="G66" s="4">
        <f t="shared" si="301"/>
        <v>0.43682469680264607</v>
      </c>
      <c r="H66" s="4">
        <f t="shared" si="301"/>
        <v>0.42997428103811081</v>
      </c>
      <c r="I66" s="4">
        <f t="shared" si="301"/>
        <v>0.39770703472840607</v>
      </c>
      <c r="J66" s="4">
        <f t="shared" si="301"/>
        <v>0.44723669424864643</v>
      </c>
      <c r="K66" s="4">
        <f t="shared" si="301"/>
        <v>0.44199839163650984</v>
      </c>
      <c r="L66" s="4">
        <f t="shared" si="301"/>
        <v>0.43791337742692554</v>
      </c>
      <c r="M66" s="4">
        <f t="shared" si="301"/>
        <v>0.45146186661117471</v>
      </c>
      <c r="N66" s="4">
        <f t="shared" si="301"/>
        <v>0.45492930086410055</v>
      </c>
      <c r="O66" s="4">
        <f t="shared" si="301"/>
        <v>0.45694183864915572</v>
      </c>
      <c r="P66" s="4">
        <f t="shared" si="301"/>
        <v>0.4400542320356382</v>
      </c>
      <c r="Q66" s="4">
        <f t="shared" si="301"/>
        <v>0.44269596199524941</v>
      </c>
      <c r="R66" s="4">
        <f t="shared" si="301"/>
        <v>0.37272295263741484</v>
      </c>
      <c r="S66" s="4">
        <f>S43/S41</f>
        <v>0.44751746271474419</v>
      </c>
      <c r="T66" s="4">
        <f t="shared" ref="T66:V66" si="302">T43/T41</f>
        <v>0.43111269234190164</v>
      </c>
      <c r="U66" s="4">
        <f t="shared" si="302"/>
        <v>0.45563387081201118</v>
      </c>
      <c r="V66" s="4">
        <f t="shared" si="302"/>
        <v>0.45811730395333766</v>
      </c>
      <c r="W66" s="4">
        <f t="shared" ref="W66:Y66" si="303">W43/W41</f>
        <v>0.46505551926845201</v>
      </c>
      <c r="X66" s="4">
        <f t="shared" si="303"/>
        <v>0.45901206304481817</v>
      </c>
      <c r="Y66" s="4">
        <f t="shared" si="303"/>
        <v>0.4661024744733695</v>
      </c>
      <c r="Z66" s="4">
        <f>Z43/Z41</f>
        <v>0.44981199934608468</v>
      </c>
      <c r="AA66" s="4">
        <f>AA43/AA41</f>
        <v>0.44257901789233073</v>
      </c>
      <c r="AB66" s="4">
        <f t="shared" ref="AB66:AD66" si="304">AB43/AB41</f>
        <v>0.42891475779196397</v>
      </c>
      <c r="AC66" s="4">
        <f t="shared" si="304"/>
        <v>0.43349475383373687</v>
      </c>
      <c r="AD66" s="4">
        <f t="shared" si="304"/>
        <v>0.43625730994152045</v>
      </c>
      <c r="AE66" s="4">
        <f t="shared" ref="AE66:AF66" si="305">AE43/AE41</f>
        <v>0.44207434886776414</v>
      </c>
      <c r="AF66" s="4">
        <f t="shared" si="305"/>
        <v>0.44599641469973111</v>
      </c>
      <c r="AG66" s="4">
        <f t="shared" ref="AG66:AH66" si="306">AG43/AG41</f>
        <v>0.43927541961094363</v>
      </c>
      <c r="AH66" s="4">
        <f t="shared" si="306"/>
        <v>0.46389175553262246</v>
      </c>
      <c r="AN66" s="4">
        <f>AN43/AN41</f>
        <v>0.445764192139738</v>
      </c>
      <c r="AO66" s="4">
        <f t="shared" ref="AO66:AS66" si="307">AO43/AO41</f>
        <v>0.42835948017693765</v>
      </c>
      <c r="AP66" s="4">
        <f t="shared" si="307"/>
        <v>0.44671114860546568</v>
      </c>
      <c r="AQ66" s="4">
        <f t="shared" si="307"/>
        <v>0.43421650669732376</v>
      </c>
      <c r="AR66" s="4">
        <f t="shared" si="307"/>
        <v>0.44820153576721</v>
      </c>
      <c r="AS66" s="4">
        <f t="shared" si="307"/>
        <v>0.45983729394134021</v>
      </c>
      <c r="AT66" s="4">
        <f t="shared" ref="AT66:AX66" si="308">AT43/AT41</f>
        <v>0.43524610969014194</v>
      </c>
      <c r="AU66" s="4">
        <f t="shared" si="308"/>
        <v>0.44797005666266421</v>
      </c>
      <c r="AV66" s="4">
        <f t="shared" si="308"/>
        <v>0.45863412203362286</v>
      </c>
      <c r="AW66" s="4">
        <f t="shared" si="308"/>
        <v>0.46937285425524933</v>
      </c>
      <c r="AX66" s="4">
        <f t="shared" si="308"/>
        <v>0.48017530823788335</v>
      </c>
      <c r="BA66" s="2" t="s">
        <v>64</v>
      </c>
      <c r="BB66" s="13">
        <f>Main!C4</f>
        <v>105.27</v>
      </c>
    </row>
    <row r="67" spans="2:54" x14ac:dyDescent="0.25">
      <c r="B67" s="1" t="s">
        <v>40</v>
      </c>
      <c r="C67" s="4">
        <f t="shared" ref="C67:R67" si="309">C47/C41</f>
        <v>0.13530515395651693</v>
      </c>
      <c r="D67" s="4">
        <f t="shared" si="309"/>
        <v>0.13581907090464548</v>
      </c>
      <c r="E67" s="4">
        <f t="shared" si="309"/>
        <v>0.14871916508538899</v>
      </c>
      <c r="F67" s="4">
        <f t="shared" si="309"/>
        <v>0.13345626368560562</v>
      </c>
      <c r="G67" s="4">
        <f t="shared" si="309"/>
        <v>0.12194046306504962</v>
      </c>
      <c r="H67" s="4">
        <f t="shared" si="309"/>
        <v>0.10638297872340426</v>
      </c>
      <c r="I67" s="4">
        <f t="shared" si="309"/>
        <v>5.0422974176313445E-2</v>
      </c>
      <c r="J67" s="4">
        <f t="shared" si="309"/>
        <v>0.12851159464705281</v>
      </c>
      <c r="K67" s="4">
        <f t="shared" si="309"/>
        <v>0.13409730599115399</v>
      </c>
      <c r="L67" s="4">
        <f t="shared" si="309"/>
        <v>0.10273095796885001</v>
      </c>
      <c r="M67" s="4">
        <f t="shared" si="309"/>
        <v>0.12985121215274165</v>
      </c>
      <c r="N67" s="4">
        <f t="shared" si="309"/>
        <v>0.12048311076197958</v>
      </c>
      <c r="O67" s="4">
        <f t="shared" si="309"/>
        <v>0.14474671669793621</v>
      </c>
      <c r="P67" s="4">
        <f t="shared" si="309"/>
        <v>0.11814836335463877</v>
      </c>
      <c r="Q67" s="4">
        <f t="shared" si="309"/>
        <v>0.11777513855898654</v>
      </c>
      <c r="R67" s="4">
        <f t="shared" si="309"/>
        <v>-0.13274196103278948</v>
      </c>
      <c r="S67" s="4">
        <f>S47/S41</f>
        <v>0.16669813101755709</v>
      </c>
      <c r="T67" s="4">
        <f t="shared" ref="T67:V67" si="310">T47/T41</f>
        <v>0.14053188650716</v>
      </c>
      <c r="U67" s="4">
        <f t="shared" si="310"/>
        <v>0.16201602780728011</v>
      </c>
      <c r="V67" s="4">
        <f t="shared" si="310"/>
        <v>0.15497407647440051</v>
      </c>
      <c r="W67" s="4">
        <f t="shared" ref="W67:Y67" si="311">W47/W41</f>
        <v>0.17341606792945788</v>
      </c>
      <c r="X67" s="4">
        <f t="shared" si="311"/>
        <v>0.12802676763229726</v>
      </c>
      <c r="Y67" s="4">
        <f t="shared" si="311"/>
        <v>0.14984822003495538</v>
      </c>
      <c r="Z67" s="4">
        <f>Z47/Z41</f>
        <v>0.11999346084682033</v>
      </c>
      <c r="AA67" s="4">
        <f>AA47/AA41</f>
        <v>0.13360132419011586</v>
      </c>
      <c r="AB67" s="4">
        <f t="shared" ref="AB67:AD67" si="312">AB47/AB41</f>
        <v>0.11918888471648517</v>
      </c>
      <c r="AC67" s="4">
        <f t="shared" si="312"/>
        <v>0.11396287328490719</v>
      </c>
      <c r="AD67" s="4">
        <f t="shared" si="312"/>
        <v>9.5204678362573097E-2</v>
      </c>
      <c r="AE67" s="4">
        <f t="shared" ref="AE67:AF67" si="313">AE47/AE41</f>
        <v>0.12396630342375763</v>
      </c>
      <c r="AF67" s="4">
        <f t="shared" si="313"/>
        <v>0.1363161039737078</v>
      </c>
      <c r="AG67" s="4">
        <f t="shared" ref="AG67:AH67" si="314">AG47/AG41</f>
        <v>0.10996195088204769</v>
      </c>
      <c r="AH67" s="4">
        <f t="shared" si="314"/>
        <v>0.12618277720444909</v>
      </c>
      <c r="AN67" s="4">
        <f>AN47/AN41</f>
        <v>0.13825327510917029</v>
      </c>
      <c r="AO67" s="4">
        <f t="shared" ref="AO67:AS67" si="315">AO47/AO41</f>
        <v>0.10239854933098881</v>
      </c>
      <c r="AP67" s="4">
        <f t="shared" si="315"/>
        <v>0.12199299537285579</v>
      </c>
      <c r="AQ67" s="4">
        <f t="shared" si="315"/>
        <v>8.3282089671951443E-2</v>
      </c>
      <c r="AR67" s="4">
        <f t="shared" si="315"/>
        <v>0.15575463649018814</v>
      </c>
      <c r="AS67" s="4">
        <f t="shared" si="315"/>
        <v>0.14290301862556198</v>
      </c>
      <c r="AT67" s="4">
        <f t="shared" ref="AT67:AX67" si="316">AT47/AT41</f>
        <v>0.11548899779370131</v>
      </c>
      <c r="AU67" s="4">
        <f t="shared" si="316"/>
        <v>0.12443749551412499</v>
      </c>
      <c r="AV67" s="4">
        <f t="shared" si="316"/>
        <v>0.15041675093687337</v>
      </c>
      <c r="AW67" s="4">
        <f t="shared" si="316"/>
        <v>0.16726939603881477</v>
      </c>
      <c r="AX67" s="4">
        <f t="shared" si="316"/>
        <v>0.18422204179272969</v>
      </c>
      <c r="BA67" s="21" t="s">
        <v>65</v>
      </c>
      <c r="BB67" s="6">
        <f>BB65/BB66-1</f>
        <v>-0.38985588389954162</v>
      </c>
    </row>
    <row r="68" spans="2:54" x14ac:dyDescent="0.25">
      <c r="B68" s="1" t="s">
        <v>29</v>
      </c>
      <c r="C68" s="4">
        <f t="shared" ref="C68:R68" si="317">C51/C50</f>
        <v>2.4980483996877439E-2</v>
      </c>
      <c r="D68" s="4">
        <f t="shared" si="317"/>
        <v>0.24416517055655296</v>
      </c>
      <c r="E68" s="4">
        <f t="shared" si="317"/>
        <v>0.13756613756613756</v>
      </c>
      <c r="F68" s="4">
        <f t="shared" si="317"/>
        <v>0.13698630136986301</v>
      </c>
      <c r="G68" s="4">
        <f t="shared" si="317"/>
        <v>0.11380597014925373</v>
      </c>
      <c r="H68" s="4">
        <f t="shared" si="317"/>
        <v>0.12741751990898748</v>
      </c>
      <c r="I68" s="4">
        <f t="shared" si="317"/>
        <v>0.19024390243902439</v>
      </c>
      <c r="J68" s="4">
        <f t="shared" si="317"/>
        <v>6.4197530864197536E-2</v>
      </c>
      <c r="K68" s="4">
        <f t="shared" si="317"/>
        <v>0.14015748031496064</v>
      </c>
      <c r="L68" s="4">
        <f t="shared" si="317"/>
        <v>0.15045135406218657</v>
      </c>
      <c r="M68" s="4">
        <f t="shared" si="317"/>
        <v>0.14717273431448488</v>
      </c>
      <c r="N68" s="4">
        <f t="shared" si="317"/>
        <v>0.20434432823813356</v>
      </c>
      <c r="O68" s="4">
        <f t="shared" si="317"/>
        <v>0.12427930813581038</v>
      </c>
      <c r="P68" s="4">
        <f t="shared" si="317"/>
        <v>0.10728582866293035</v>
      </c>
      <c r="Q68" s="4">
        <f t="shared" si="317"/>
        <v>3.8592508513053347E-2</v>
      </c>
      <c r="R68" s="4">
        <f t="shared" si="317"/>
        <v>1.7412935323383085E-2</v>
      </c>
      <c r="S68" s="4">
        <f>S51/S50</f>
        <v>0.11486880466472303</v>
      </c>
      <c r="T68" s="4">
        <f t="shared" ref="T68:V68" si="318">T51/T50</f>
        <v>0.1407967032967033</v>
      </c>
      <c r="U68" s="4">
        <f t="shared" si="318"/>
        <v>0.11430317848410758</v>
      </c>
      <c r="V68" s="4">
        <f t="shared" si="318"/>
        <v>0.18608414239482202</v>
      </c>
      <c r="W68" s="4">
        <f t="shared" ref="W68:Z68" si="319">W51/W50</f>
        <v>0.11016144349477683</v>
      </c>
      <c r="X68" s="4">
        <f t="shared" si="319"/>
        <v>0.10926049300466356</v>
      </c>
      <c r="Y68" s="4">
        <f t="shared" si="319"/>
        <v>0.16407185628742516</v>
      </c>
      <c r="Z68" s="4">
        <f t="shared" si="319"/>
        <v>-4.730713245997089E-2</v>
      </c>
      <c r="AA68" s="4">
        <f>AA51/AA50</f>
        <v>0.19693654266958424</v>
      </c>
      <c r="AB68" s="4">
        <f t="shared" ref="AB68:AD68" si="320">AB51/AB50</f>
        <v>0.19333333333333333</v>
      </c>
      <c r="AC68" s="4">
        <f t="shared" si="320"/>
        <v>0.16046039268788084</v>
      </c>
      <c r="AD68" s="4">
        <f t="shared" si="320"/>
        <v>0.1725521669341894</v>
      </c>
      <c r="AE68" s="4">
        <f t="shared" ref="AE68:AF68" si="321">AE51/AE50</f>
        <v>0.12014563106796117</v>
      </c>
      <c r="AF68" s="4">
        <f t="shared" si="321"/>
        <v>0.17898022892819979</v>
      </c>
      <c r="AG68" s="4">
        <f>AG51/AG50</f>
        <v>0.12945690930680789</v>
      </c>
      <c r="AH68" s="4">
        <f>AH51/AH50</f>
        <v>0.1329394568171389</v>
      </c>
      <c r="AN68" s="4">
        <f t="shared" ref="AN68:AX68" si="322">AN51/AN50</f>
        <v>0.13221449038067951</v>
      </c>
      <c r="AO68" s="4">
        <f t="shared" si="322"/>
        <v>0.10906040268456375</v>
      </c>
      <c r="AP68" s="4">
        <f t="shared" si="322"/>
        <v>0.16079983336804832</v>
      </c>
      <c r="AQ68" s="4">
        <f t="shared" si="322"/>
        <v>0.12054035330793211</v>
      </c>
      <c r="AR68" s="4">
        <f t="shared" si="322"/>
        <v>0.14021918630836211</v>
      </c>
      <c r="AS68" s="4">
        <f t="shared" si="322"/>
        <v>9.0963764847391368E-2</v>
      </c>
      <c r="AT68" s="4">
        <f t="shared" si="322"/>
        <v>0.18238993710691823</v>
      </c>
      <c r="AU68" s="4">
        <f t="shared" si="322"/>
        <v>0.14302676181998472</v>
      </c>
      <c r="AV68" s="4">
        <f t="shared" si="322"/>
        <v>0.21</v>
      </c>
      <c r="AW68" s="4">
        <f t="shared" si="322"/>
        <v>0.1846468685396378</v>
      </c>
      <c r="AX68" s="4">
        <f t="shared" si="322"/>
        <v>0.16391517156729041</v>
      </c>
    </row>
    <row r="75" spans="2:54" x14ac:dyDescent="0.25">
      <c r="AP75" s="4"/>
    </row>
  </sheetData>
  <phoneticPr fontId="8" type="noConversion"/>
  <conditionalFormatting sqref="BB67">
    <cfRule type="cellIs" dxfId="1" priority="1" operator="lessThan">
      <formula>0</formula>
    </cfRule>
    <cfRule type="cellIs" dxfId="0"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C7D2-E78F-45BD-A606-12D107F1324A}">
  <dimension ref="B3:D18"/>
  <sheetViews>
    <sheetView workbookViewId="0">
      <selection activeCell="C18" sqref="C18"/>
    </sheetView>
  </sheetViews>
  <sheetFormatPr defaultColWidth="9.21875" defaultRowHeight="13.8" x14ac:dyDescent="0.25"/>
  <cols>
    <col min="1" max="1" width="9.21875" style="1"/>
    <col min="2" max="2" width="16.21875" style="1" bestFit="1" customWidth="1"/>
    <col min="3" max="3" width="8.44140625" style="1" bestFit="1" customWidth="1"/>
    <col min="4" max="4" width="17.77734375" style="1" bestFit="1" customWidth="1"/>
    <col min="5" max="16384" width="9.21875" style="1"/>
  </cols>
  <sheetData>
    <row r="3" spans="2:4" x14ac:dyDescent="0.25">
      <c r="B3" s="1" t="s">
        <v>7</v>
      </c>
      <c r="C3" s="2">
        <f>Main!C8</f>
        <v>8936</v>
      </c>
    </row>
    <row r="4" spans="2:4" x14ac:dyDescent="0.25">
      <c r="B4" s="1" t="s">
        <v>9</v>
      </c>
      <c r="C4" s="2">
        <f>Main!C6</f>
        <v>161284.16699999999</v>
      </c>
    </row>
    <row r="5" spans="2:4" x14ac:dyDescent="0.25">
      <c r="B5" s="1" t="s">
        <v>10</v>
      </c>
      <c r="C5" s="2">
        <f>+C3+C4</f>
        <v>170220.16699999999</v>
      </c>
    </row>
    <row r="6" spans="2:4" x14ac:dyDescent="0.25">
      <c r="B6" s="1" t="s">
        <v>11</v>
      </c>
      <c r="C6" s="3">
        <f>C3/C5</f>
        <v>5.2496717383669358E-2</v>
      </c>
    </row>
    <row r="7" spans="2:4" x14ac:dyDescent="0.25">
      <c r="B7" s="1" t="s">
        <v>12</v>
      </c>
      <c r="C7" s="3">
        <f>C4/C5</f>
        <v>0.94750328261633066</v>
      </c>
    </row>
    <row r="9" spans="2:4" x14ac:dyDescent="0.25">
      <c r="B9" s="1" t="s">
        <v>13</v>
      </c>
      <c r="C9" s="4">
        <f>AVERAGE(DCF!AN68:AT68)</f>
        <v>0.13374113828627077</v>
      </c>
      <c r="D9" s="1" t="s">
        <v>66</v>
      </c>
    </row>
    <row r="10" spans="2:4" x14ac:dyDescent="0.25">
      <c r="B10" s="1" t="s">
        <v>14</v>
      </c>
      <c r="C10" s="2">
        <f>DCF!AT48</f>
        <v>-6</v>
      </c>
      <c r="D10" s="38" t="s">
        <v>110</v>
      </c>
    </row>
    <row r="11" spans="2:4" x14ac:dyDescent="0.25">
      <c r="B11" s="1" t="s">
        <v>15</v>
      </c>
      <c r="C11" s="3">
        <f>(C10*(1-C9))/C3</f>
        <v>-5.8164202890357837E-4</v>
      </c>
    </row>
    <row r="13" spans="2:4" x14ac:dyDescent="0.25">
      <c r="B13" s="1" t="s">
        <v>16</v>
      </c>
      <c r="C13" s="3">
        <f>'[1]T-Bond Yields'!$C$12</f>
        <v>4.2999999999999997E-2</v>
      </c>
      <c r="D13" s="33" t="s">
        <v>111</v>
      </c>
    </row>
    <row r="14" spans="2:4" x14ac:dyDescent="0.25">
      <c r="B14" s="1" t="s">
        <v>17</v>
      </c>
      <c r="C14" s="1">
        <v>1.1100000000000001</v>
      </c>
      <c r="D14" s="33" t="s">
        <v>112</v>
      </c>
    </row>
    <row r="15" spans="2:4" x14ac:dyDescent="0.25">
      <c r="B15" s="1" t="s">
        <v>18</v>
      </c>
      <c r="C15" s="4">
        <v>0.08</v>
      </c>
      <c r="D15" s="1" t="s">
        <v>19</v>
      </c>
    </row>
    <row r="16" spans="2:4" x14ac:dyDescent="0.25">
      <c r="B16" s="1" t="s">
        <v>20</v>
      </c>
      <c r="C16" s="3">
        <f>(C13+C14*(C15-C13))</f>
        <v>8.4070000000000006E-2</v>
      </c>
    </row>
    <row r="18" spans="2:3" x14ac:dyDescent="0.25">
      <c r="B18" s="5" t="s">
        <v>21</v>
      </c>
      <c r="C18" s="6">
        <f>(C7*C16)+(C6*C11)*(1-C9)</f>
        <v>7.9630150364010721E-2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2020-12-14T19:14:35Z</dcterms:created>
  <dcterms:modified xsi:type="dcterms:W3CDTF">2024-02-22T04:08:54Z</dcterms:modified>
</cp:coreProperties>
</file>