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lshe\Documents\Models\"/>
    </mc:Choice>
  </mc:AlternateContent>
  <xr:revisionPtr revIDLastSave="0" documentId="13_ncr:1_{520185AF-EE84-4F8A-8A3E-D7E861B7813A}" xr6:coauthVersionLast="47" xr6:coauthVersionMax="47" xr10:uidLastSave="{00000000-0000-0000-0000-000000000000}"/>
  <bookViews>
    <workbookView xWindow="-28905" yWindow="0" windowWidth="14265" windowHeight="15585" activeTab="1" xr2:uid="{7EC169C9-317E-43F0-A9FE-A2A5C4455016}"/>
  </bookViews>
  <sheets>
    <sheet name="Main" sheetId="1" r:id="rId1"/>
    <sheet name="DCF"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3" l="1"/>
  <c r="C10" i="3"/>
  <c r="AN4" i="2"/>
  <c r="AO4" i="2"/>
  <c r="AP4" i="2" s="1"/>
  <c r="AP6" i="2"/>
  <c r="AO6" i="2"/>
  <c r="AN6" i="2"/>
  <c r="AN3" i="2"/>
  <c r="AM4" i="2"/>
  <c r="AM3" i="2"/>
  <c r="Z9" i="2"/>
  <c r="AL9" i="2" s="1"/>
  <c r="Z6" i="2"/>
  <c r="AL6" i="2" s="1"/>
  <c r="AO3" i="2"/>
  <c r="AP3" i="2" s="1"/>
  <c r="AP19" i="2" s="1"/>
  <c r="AN14" i="2"/>
  <c r="AO14" i="2" s="1"/>
  <c r="AP14" i="2" s="1"/>
  <c r="AM14" i="2"/>
  <c r="AM24" i="2"/>
  <c r="AM20" i="2"/>
  <c r="AM19" i="2"/>
  <c r="AL26" i="2"/>
  <c r="AL24" i="2"/>
  <c r="AL20" i="2"/>
  <c r="AL19" i="2"/>
  <c r="AK28" i="2"/>
  <c r="AK27" i="2"/>
  <c r="AK26" i="2"/>
  <c r="AK25" i="2"/>
  <c r="AK24" i="2"/>
  <c r="AK23" i="2"/>
  <c r="AK22" i="2"/>
  <c r="AK21" i="2"/>
  <c r="AK20" i="2"/>
  <c r="AK19" i="2"/>
  <c r="AM10" i="2"/>
  <c r="AN10" i="2" s="1"/>
  <c r="AO10" i="2" s="1"/>
  <c r="AP10" i="2" s="1"/>
  <c r="AL14" i="2"/>
  <c r="AL10" i="2"/>
  <c r="AL4" i="2"/>
  <c r="AL3" i="2"/>
  <c r="AL5" i="2" s="1"/>
  <c r="AJ28" i="2"/>
  <c r="AI28" i="2"/>
  <c r="AH28" i="2"/>
  <c r="AG28" i="2"/>
  <c r="AJ27" i="2"/>
  <c r="AI27" i="2"/>
  <c r="AH27" i="2"/>
  <c r="AG27" i="2"/>
  <c r="AJ26" i="2"/>
  <c r="AI26" i="2"/>
  <c r="AH26" i="2"/>
  <c r="AG26" i="2"/>
  <c r="Y28" i="2"/>
  <c r="X28" i="2"/>
  <c r="W28" i="2"/>
  <c r="V28" i="2"/>
  <c r="U28" i="2"/>
  <c r="T28" i="2"/>
  <c r="S28" i="2"/>
  <c r="R28" i="2"/>
  <c r="Q28" i="2"/>
  <c r="P28" i="2"/>
  <c r="O28" i="2"/>
  <c r="N28" i="2"/>
  <c r="M28" i="2"/>
  <c r="L28" i="2"/>
  <c r="K28" i="2"/>
  <c r="J28" i="2"/>
  <c r="I28" i="2"/>
  <c r="H28" i="2"/>
  <c r="G28" i="2"/>
  <c r="F28" i="2"/>
  <c r="E28" i="2"/>
  <c r="D28" i="2"/>
  <c r="C28" i="2"/>
  <c r="Y27" i="2"/>
  <c r="X27" i="2"/>
  <c r="W27" i="2"/>
  <c r="V27" i="2"/>
  <c r="U27" i="2"/>
  <c r="T27" i="2"/>
  <c r="S27" i="2"/>
  <c r="R27" i="2"/>
  <c r="Q27" i="2"/>
  <c r="P27" i="2"/>
  <c r="O27" i="2"/>
  <c r="N27" i="2"/>
  <c r="M27" i="2"/>
  <c r="L27" i="2"/>
  <c r="K27" i="2"/>
  <c r="J27" i="2"/>
  <c r="I27" i="2"/>
  <c r="H27" i="2"/>
  <c r="G27" i="2"/>
  <c r="F27" i="2"/>
  <c r="E27" i="2"/>
  <c r="D27" i="2"/>
  <c r="C27" i="2"/>
  <c r="C26" i="2"/>
  <c r="Y26" i="2"/>
  <c r="X26" i="2"/>
  <c r="W26" i="2"/>
  <c r="V26" i="2"/>
  <c r="U26" i="2"/>
  <c r="T26" i="2"/>
  <c r="S26" i="2"/>
  <c r="R26" i="2"/>
  <c r="Q26" i="2"/>
  <c r="P26" i="2"/>
  <c r="O26" i="2"/>
  <c r="N26" i="2"/>
  <c r="M26" i="2"/>
  <c r="L26" i="2"/>
  <c r="K26" i="2"/>
  <c r="J26" i="2"/>
  <c r="I26" i="2"/>
  <c r="H26" i="2"/>
  <c r="G26" i="2"/>
  <c r="F26" i="2"/>
  <c r="E26" i="2"/>
  <c r="D26" i="2"/>
  <c r="Z26" i="2"/>
  <c r="Z14" i="2"/>
  <c r="Z10" i="2"/>
  <c r="Z4" i="2"/>
  <c r="Z5" i="2"/>
  <c r="X25" i="2"/>
  <c r="W25" i="2"/>
  <c r="V25" i="2"/>
  <c r="U25" i="2"/>
  <c r="T25" i="2"/>
  <c r="S25" i="2"/>
  <c r="R25" i="2"/>
  <c r="Q25" i="2"/>
  <c r="P25" i="2"/>
  <c r="O25" i="2"/>
  <c r="N25" i="2"/>
  <c r="M25" i="2"/>
  <c r="L25" i="2"/>
  <c r="K25" i="2"/>
  <c r="J25" i="2"/>
  <c r="I25" i="2"/>
  <c r="H25" i="2"/>
  <c r="G25" i="2"/>
  <c r="Y24" i="2"/>
  <c r="X24" i="2"/>
  <c r="W24" i="2"/>
  <c r="V24" i="2"/>
  <c r="U24" i="2"/>
  <c r="T24" i="2"/>
  <c r="S24" i="2"/>
  <c r="R24" i="2"/>
  <c r="Q24" i="2"/>
  <c r="P24" i="2"/>
  <c r="O24" i="2"/>
  <c r="N24" i="2"/>
  <c r="M24" i="2"/>
  <c r="L24" i="2"/>
  <c r="K24" i="2"/>
  <c r="J24" i="2"/>
  <c r="I24" i="2"/>
  <c r="H24" i="2"/>
  <c r="G24" i="2"/>
  <c r="X23" i="2"/>
  <c r="W23" i="2"/>
  <c r="V23" i="2"/>
  <c r="U23" i="2"/>
  <c r="T23" i="2"/>
  <c r="S23" i="2"/>
  <c r="R23" i="2"/>
  <c r="Q23" i="2"/>
  <c r="P23" i="2"/>
  <c r="O23" i="2"/>
  <c r="N23" i="2"/>
  <c r="M23" i="2"/>
  <c r="L23" i="2"/>
  <c r="K23" i="2"/>
  <c r="J23" i="2"/>
  <c r="I23" i="2"/>
  <c r="H23" i="2"/>
  <c r="G23" i="2"/>
  <c r="X22" i="2"/>
  <c r="W22" i="2"/>
  <c r="V22" i="2"/>
  <c r="U22" i="2"/>
  <c r="T22" i="2"/>
  <c r="S22" i="2"/>
  <c r="R22" i="2"/>
  <c r="Q22" i="2"/>
  <c r="P22" i="2"/>
  <c r="O22" i="2"/>
  <c r="N22" i="2"/>
  <c r="M22" i="2"/>
  <c r="L22" i="2"/>
  <c r="K22" i="2"/>
  <c r="J22" i="2"/>
  <c r="I22" i="2"/>
  <c r="H22" i="2"/>
  <c r="G22" i="2"/>
  <c r="Y21" i="2"/>
  <c r="X21" i="2"/>
  <c r="W21" i="2"/>
  <c r="V21" i="2"/>
  <c r="U21" i="2"/>
  <c r="T21" i="2"/>
  <c r="S21" i="2"/>
  <c r="R21" i="2"/>
  <c r="Q21" i="2"/>
  <c r="P21" i="2"/>
  <c r="O21" i="2"/>
  <c r="N21" i="2"/>
  <c r="M21" i="2"/>
  <c r="L21" i="2"/>
  <c r="K21" i="2"/>
  <c r="J21" i="2"/>
  <c r="I21" i="2"/>
  <c r="H21" i="2"/>
  <c r="G21" i="2"/>
  <c r="Z24" i="2"/>
  <c r="Y20" i="2"/>
  <c r="X20" i="2"/>
  <c r="W20" i="2"/>
  <c r="V20" i="2"/>
  <c r="U20" i="2"/>
  <c r="T20" i="2"/>
  <c r="S20" i="2"/>
  <c r="R20" i="2"/>
  <c r="Q20" i="2"/>
  <c r="P20" i="2"/>
  <c r="O20" i="2"/>
  <c r="N20" i="2"/>
  <c r="M20" i="2"/>
  <c r="L20" i="2"/>
  <c r="K20" i="2"/>
  <c r="J20" i="2"/>
  <c r="I20" i="2"/>
  <c r="H20" i="2"/>
  <c r="G20" i="2"/>
  <c r="Y19" i="2"/>
  <c r="X19" i="2"/>
  <c r="W19" i="2"/>
  <c r="V19" i="2"/>
  <c r="U19" i="2"/>
  <c r="T19" i="2"/>
  <c r="S19" i="2"/>
  <c r="R19" i="2"/>
  <c r="Q19" i="2"/>
  <c r="P19" i="2"/>
  <c r="O19" i="2"/>
  <c r="N19" i="2"/>
  <c r="M19" i="2"/>
  <c r="L19" i="2"/>
  <c r="K19" i="2"/>
  <c r="J19" i="2"/>
  <c r="I19" i="2"/>
  <c r="H19" i="2"/>
  <c r="G19" i="2"/>
  <c r="Z19" i="2"/>
  <c r="Z3" i="2"/>
  <c r="AI12" i="2"/>
  <c r="AI10" i="2"/>
  <c r="AI9" i="2"/>
  <c r="AI6" i="2"/>
  <c r="AI4" i="2"/>
  <c r="AI3" i="2"/>
  <c r="AH12" i="2"/>
  <c r="AH10" i="2"/>
  <c r="AH9" i="2"/>
  <c r="AH6" i="2"/>
  <c r="AH3" i="2"/>
  <c r="AK14" i="2"/>
  <c r="AJ14" i="2"/>
  <c r="AI14" i="2"/>
  <c r="AH14" i="2"/>
  <c r="AG14" i="2"/>
  <c r="AG12" i="2"/>
  <c r="AG10" i="2"/>
  <c r="AG9" i="2"/>
  <c r="AG6" i="2"/>
  <c r="AG4" i="2"/>
  <c r="AG3" i="2"/>
  <c r="F4" i="2"/>
  <c r="F5" i="2" s="1"/>
  <c r="N5" i="2"/>
  <c r="J4" i="2"/>
  <c r="J5" i="2" s="1"/>
  <c r="N4" i="2"/>
  <c r="M7" i="2"/>
  <c r="Q7" i="2"/>
  <c r="P7" i="2"/>
  <c r="X7" i="2"/>
  <c r="Y7" i="2"/>
  <c r="AJ12" i="2"/>
  <c r="AJ10" i="2"/>
  <c r="AJ9" i="2"/>
  <c r="AJ6" i="2"/>
  <c r="AJ4" i="2"/>
  <c r="AJ3" i="2"/>
  <c r="AK12" i="2"/>
  <c r="AK10" i="2"/>
  <c r="AK9" i="2"/>
  <c r="AK6" i="2"/>
  <c r="AK3" i="2"/>
  <c r="R4" i="2"/>
  <c r="X5" i="2"/>
  <c r="X8" i="2" s="1"/>
  <c r="W5" i="2"/>
  <c r="U5" i="2"/>
  <c r="T5" i="2"/>
  <c r="S5" i="2"/>
  <c r="Q5" i="2"/>
  <c r="P5" i="2"/>
  <c r="O5" i="2"/>
  <c r="M5" i="2"/>
  <c r="M8" i="2" s="1"/>
  <c r="M11" i="2" s="1"/>
  <c r="M13" i="2" s="1"/>
  <c r="M15" i="2" s="1"/>
  <c r="L5" i="2"/>
  <c r="K5" i="2"/>
  <c r="I5" i="2"/>
  <c r="H5" i="2"/>
  <c r="G5" i="2"/>
  <c r="E5" i="2"/>
  <c r="D5" i="2"/>
  <c r="C5" i="2"/>
  <c r="Y5" i="2"/>
  <c r="V4" i="2"/>
  <c r="W7" i="2"/>
  <c r="V7" i="2"/>
  <c r="U7" i="2"/>
  <c r="T7" i="2"/>
  <c r="S7" i="2"/>
  <c r="R7" i="2"/>
  <c r="R8" i="2" s="1"/>
  <c r="O7" i="2"/>
  <c r="N7" i="2"/>
  <c r="L7" i="2"/>
  <c r="K7" i="2"/>
  <c r="J7" i="2"/>
  <c r="I7" i="2"/>
  <c r="H7" i="2"/>
  <c r="G7" i="2"/>
  <c r="F7" i="2"/>
  <c r="E7" i="2"/>
  <c r="D7" i="2"/>
  <c r="C7" i="2"/>
  <c r="AP20" i="2" l="1"/>
  <c r="AO20" i="2"/>
  <c r="AN20" i="2"/>
  <c r="AM9" i="2"/>
  <c r="AN9" i="2" s="1"/>
  <c r="AO9" i="2" s="1"/>
  <c r="AP9" i="2" s="1"/>
  <c r="AL7" i="2"/>
  <c r="AL21" i="2" s="1"/>
  <c r="AM6" i="2"/>
  <c r="Z7" i="2"/>
  <c r="AN19" i="2"/>
  <c r="AO19" i="2"/>
  <c r="Z20" i="2"/>
  <c r="Z8" i="2"/>
  <c r="Z27" i="2" s="1"/>
  <c r="Z21" i="2"/>
  <c r="Y8" i="2"/>
  <c r="Y22" i="2" s="1"/>
  <c r="AK4" i="2"/>
  <c r="AK5" i="2" s="1"/>
  <c r="N8" i="2"/>
  <c r="V5" i="2"/>
  <c r="AM7" i="2"/>
  <c r="AL8" i="2" l="1"/>
  <c r="AM21" i="2"/>
  <c r="Z22" i="2"/>
  <c r="Z11" i="2"/>
  <c r="W8" i="2"/>
  <c r="W11" i="2" s="1"/>
  <c r="AT23" i="2"/>
  <c r="Z12" i="2" l="1"/>
  <c r="AL27" i="2"/>
  <c r="AL22" i="2"/>
  <c r="AL11" i="2"/>
  <c r="X11" i="2"/>
  <c r="Y11" i="2"/>
  <c r="S8" i="2"/>
  <c r="S11" i="2" s="1"/>
  <c r="Z28" i="2" l="1"/>
  <c r="AL12" i="2"/>
  <c r="AL28" i="2" s="1"/>
  <c r="Z13" i="2"/>
  <c r="V8" i="2"/>
  <c r="V11" i="2" s="1"/>
  <c r="W13" i="2"/>
  <c r="P8" i="2"/>
  <c r="AI7" i="2"/>
  <c r="AI5" i="2"/>
  <c r="AH7" i="2"/>
  <c r="AH4" i="2"/>
  <c r="AH5" i="2" s="1"/>
  <c r="AG7" i="2"/>
  <c r="AG5" i="2"/>
  <c r="K8" i="2"/>
  <c r="O8" i="2"/>
  <c r="C3" i="3"/>
  <c r="C16" i="3"/>
  <c r="C4" i="1" a="1"/>
  <c r="C4" i="1" s="1"/>
  <c r="Z23" i="2" l="1"/>
  <c r="Z15" i="2"/>
  <c r="Z25" i="2" s="1"/>
  <c r="AM5" i="2"/>
  <c r="AM26" i="2" s="1"/>
  <c r="AL13" i="2"/>
  <c r="L8" i="2"/>
  <c r="L11" i="2" s="1"/>
  <c r="H8" i="2"/>
  <c r="H11" i="2" s="1"/>
  <c r="T8" i="2"/>
  <c r="T11" i="2" s="1"/>
  <c r="F8" i="2"/>
  <c r="F11" i="2" s="1"/>
  <c r="U8" i="2"/>
  <c r="U11" i="2" s="1"/>
  <c r="D8" i="2"/>
  <c r="D11" i="2" s="1"/>
  <c r="N11" i="2"/>
  <c r="N13" i="2" s="1"/>
  <c r="G8" i="2"/>
  <c r="G11" i="2" s="1"/>
  <c r="E8" i="2"/>
  <c r="E11" i="2" s="1"/>
  <c r="C8" i="2"/>
  <c r="C11" i="2" s="1"/>
  <c r="J8" i="2"/>
  <c r="J11" i="2" s="1"/>
  <c r="I8" i="2"/>
  <c r="I11" i="2" s="1"/>
  <c r="K11" i="2"/>
  <c r="O11" i="2"/>
  <c r="P11" i="2"/>
  <c r="W15" i="2"/>
  <c r="X13" i="2"/>
  <c r="S13" i="2"/>
  <c r="AH20" i="2"/>
  <c r="AJ7" i="2"/>
  <c r="AI20" i="2"/>
  <c r="AH19" i="2"/>
  <c r="AI19" i="2"/>
  <c r="Q8" i="2"/>
  <c r="C6" i="1"/>
  <c r="C4" i="3" s="1"/>
  <c r="C5" i="3" s="1"/>
  <c r="C6" i="3" s="1"/>
  <c r="AT26" i="2"/>
  <c r="AI24" i="2"/>
  <c r="AH24" i="2"/>
  <c r="AL15" i="2" l="1"/>
  <c r="AL25" i="2" s="1"/>
  <c r="AL23" i="2"/>
  <c r="AM8" i="2"/>
  <c r="AJ20" i="2"/>
  <c r="AJ5" i="2"/>
  <c r="AJ8" i="2" s="1"/>
  <c r="AG8" i="2"/>
  <c r="AG11" i="2" s="1"/>
  <c r="AI8" i="2"/>
  <c r="AI11" i="2" s="1"/>
  <c r="AH8" i="2"/>
  <c r="AH11" i="2" s="1"/>
  <c r="R11" i="2"/>
  <c r="Q11" i="2"/>
  <c r="X15" i="2"/>
  <c r="V13" i="2"/>
  <c r="S15" i="2"/>
  <c r="C13" i="2"/>
  <c r="G13" i="2"/>
  <c r="AI21" i="2"/>
  <c r="D13" i="2"/>
  <c r="AJ19" i="2"/>
  <c r="AK7" i="2"/>
  <c r="AJ24" i="2"/>
  <c r="AH21" i="2"/>
  <c r="L13" i="2"/>
  <c r="N15" i="2"/>
  <c r="I13" i="2"/>
  <c r="F13" i="2"/>
  <c r="J13" i="2"/>
  <c r="H13" i="2"/>
  <c r="C9" i="1"/>
  <c r="E13" i="2"/>
  <c r="C7" i="3"/>
  <c r="AM27" i="2" l="1"/>
  <c r="AM22" i="2"/>
  <c r="AJ11" i="2"/>
  <c r="V15" i="2"/>
  <c r="U13" i="2"/>
  <c r="T13" i="2"/>
  <c r="C15" i="2"/>
  <c r="AJ21" i="2"/>
  <c r="AK8" i="2"/>
  <c r="K13" i="2"/>
  <c r="O13" i="2"/>
  <c r="AI13" i="2"/>
  <c r="AI22" i="2"/>
  <c r="E15" i="2"/>
  <c r="AH13" i="2"/>
  <c r="AH22" i="2"/>
  <c r="AG13" i="2"/>
  <c r="AG15" i="2" s="1"/>
  <c r="H15" i="2"/>
  <c r="J15" i="2"/>
  <c r="G15" i="2"/>
  <c r="D15" i="2"/>
  <c r="F15" i="2"/>
  <c r="I15" i="2"/>
  <c r="L15" i="2"/>
  <c r="P13" i="2"/>
  <c r="AN24" i="2" l="1"/>
  <c r="AO5" i="2"/>
  <c r="AO26" i="2" s="1"/>
  <c r="AN5" i="2"/>
  <c r="AN26" i="2" s="1"/>
  <c r="AJ22" i="2"/>
  <c r="U15" i="2"/>
  <c r="T15" i="2"/>
  <c r="R13" i="2"/>
  <c r="AK11" i="2"/>
  <c r="Q13" i="2"/>
  <c r="AH15" i="2"/>
  <c r="AH25" i="2" s="1"/>
  <c r="AH23" i="2"/>
  <c r="AI15" i="2"/>
  <c r="AI23" i="2"/>
  <c r="K15" i="2"/>
  <c r="O15" i="2"/>
  <c r="P15" i="2"/>
  <c r="AP24" i="2" l="1"/>
  <c r="AO24" i="2"/>
  <c r="AP5" i="2"/>
  <c r="AP26" i="2" s="1"/>
  <c r="AJ13" i="2"/>
  <c r="AJ15" i="2" s="1"/>
  <c r="AJ25" i="2" s="1"/>
  <c r="R15" i="2"/>
  <c r="AN7" i="2"/>
  <c r="Q15" i="2"/>
  <c r="AI25" i="2"/>
  <c r="AN8" i="2" l="1"/>
  <c r="AN27" i="2" s="1"/>
  <c r="AN21" i="2"/>
  <c r="AO7" i="2"/>
  <c r="AM11" i="2"/>
  <c r="AM12" i="2" s="1"/>
  <c r="AM28" i="2" s="1"/>
  <c r="AJ23" i="2"/>
  <c r="AN22" i="2" l="1"/>
  <c r="AO8" i="2"/>
  <c r="AO27" i="2" s="1"/>
  <c r="AO21" i="2"/>
  <c r="AK13" i="2"/>
  <c r="C9" i="3"/>
  <c r="C11" i="3" s="1"/>
  <c r="C18" i="3" s="1"/>
  <c r="AT21" i="2" s="1"/>
  <c r="AP7" i="2"/>
  <c r="AN11" i="2"/>
  <c r="AN12" i="2" s="1"/>
  <c r="AN28" i="2" s="1"/>
  <c r="AO22" i="2" l="1"/>
  <c r="AP8" i="2"/>
  <c r="AP27" i="2" s="1"/>
  <c r="AP21" i="2"/>
  <c r="Y13" i="2"/>
  <c r="Y23" i="2" s="1"/>
  <c r="AK15" i="2"/>
  <c r="AP22" i="2" l="1"/>
  <c r="Y15" i="2"/>
  <c r="Y25" i="2" s="1"/>
  <c r="AP11" i="2"/>
  <c r="AP12" i="2" s="1"/>
  <c r="AP28" i="2" s="1"/>
  <c r="AO11" i="2"/>
  <c r="AO12" i="2" s="1"/>
  <c r="AO28" i="2" s="1"/>
  <c r="AN13" i="2"/>
  <c r="AM13" i="2"/>
  <c r="AM23" i="2" s="1"/>
  <c r="AN23" i="2" l="1"/>
  <c r="AO13" i="2"/>
  <c r="AN15" i="2"/>
  <c r="AM15" i="2"/>
  <c r="AM25" i="2" s="1"/>
  <c r="AO15" i="2" l="1"/>
  <c r="AO25" i="2" s="1"/>
  <c r="AO23" i="2"/>
  <c r="AN25" i="2"/>
  <c r="AP13" i="2"/>
  <c r="AP23" i="2" s="1"/>
  <c r="AP15" i="2" l="1"/>
  <c r="AP25" i="2" s="1"/>
  <c r="AQ13" i="2"/>
  <c r="AR13" i="2" s="1"/>
  <c r="AS13" i="2" s="1"/>
  <c r="AT13" i="2" s="1"/>
  <c r="AU13" i="2" s="1"/>
  <c r="AV13" i="2" s="1"/>
  <c r="AW13" i="2" s="1"/>
  <c r="AX13" i="2" s="1"/>
  <c r="AY13" i="2" s="1"/>
  <c r="AZ13" i="2" s="1"/>
  <c r="BA13" i="2" s="1"/>
  <c r="BB13" i="2" s="1"/>
  <c r="BC13" i="2" s="1"/>
  <c r="BD13" i="2" s="1"/>
  <c r="BE13" i="2" s="1"/>
  <c r="BF13" i="2" s="1"/>
  <c r="BG13" i="2" s="1"/>
  <c r="BH13" i="2" s="1"/>
  <c r="BI13" i="2" s="1"/>
  <c r="BJ13" i="2" s="1"/>
  <c r="BK13" i="2" s="1"/>
  <c r="BL13" i="2" s="1"/>
  <c r="BM13" i="2" s="1"/>
  <c r="BN13" i="2" s="1"/>
  <c r="BO13" i="2" s="1"/>
  <c r="BP13" i="2" s="1"/>
  <c r="BQ13" i="2" s="1"/>
  <c r="BR13" i="2" s="1"/>
  <c r="BS13" i="2" s="1"/>
  <c r="BT13" i="2" s="1"/>
  <c r="BU13" i="2" s="1"/>
  <c r="BV13" i="2" s="1"/>
  <c r="BW13" i="2" s="1"/>
  <c r="BX13" i="2" s="1"/>
  <c r="BY13" i="2" s="1"/>
  <c r="BZ13" i="2" s="1"/>
  <c r="CA13" i="2" s="1"/>
  <c r="CB13" i="2" s="1"/>
  <c r="CC13" i="2" s="1"/>
  <c r="CD13" i="2" s="1"/>
  <c r="CE13" i="2" s="1"/>
  <c r="CF13" i="2" s="1"/>
  <c r="CG13" i="2" s="1"/>
  <c r="CH13" i="2" s="1"/>
  <c r="CI13" i="2" s="1"/>
  <c r="CJ13" i="2" s="1"/>
  <c r="CK13" i="2" s="1"/>
  <c r="CL13" i="2" s="1"/>
  <c r="CM13" i="2" s="1"/>
  <c r="CN13" i="2" s="1"/>
  <c r="CO13" i="2" s="1"/>
  <c r="CP13" i="2" s="1"/>
  <c r="CQ13" i="2" s="1"/>
  <c r="CR13" i="2" s="1"/>
  <c r="CS13" i="2" s="1"/>
  <c r="CT13" i="2" s="1"/>
  <c r="CU13" i="2" s="1"/>
  <c r="CV13" i="2" s="1"/>
  <c r="CW13" i="2" s="1"/>
  <c r="CX13" i="2" s="1"/>
  <c r="CY13" i="2" s="1"/>
  <c r="CZ13" i="2" s="1"/>
  <c r="DA13" i="2" s="1"/>
  <c r="DB13" i="2" s="1"/>
  <c r="DC13" i="2" s="1"/>
  <c r="DD13" i="2" s="1"/>
  <c r="DE13" i="2" s="1"/>
  <c r="DF13" i="2" s="1"/>
  <c r="DG13" i="2" s="1"/>
  <c r="DH13" i="2" s="1"/>
  <c r="DI13" i="2" s="1"/>
  <c r="DJ13" i="2" s="1"/>
  <c r="DK13" i="2" s="1"/>
  <c r="DL13" i="2" s="1"/>
  <c r="DM13" i="2" s="1"/>
  <c r="DN13" i="2" s="1"/>
  <c r="DO13" i="2" s="1"/>
  <c r="DP13" i="2" s="1"/>
  <c r="DQ13" i="2" s="1"/>
  <c r="DR13" i="2" s="1"/>
  <c r="DS13" i="2" s="1"/>
  <c r="DT13" i="2" s="1"/>
  <c r="DU13" i="2" s="1"/>
  <c r="DV13" i="2" s="1"/>
  <c r="DW13" i="2" s="1"/>
  <c r="DX13" i="2" s="1"/>
  <c r="DY13" i="2" s="1"/>
  <c r="DZ13" i="2" s="1"/>
  <c r="EA13" i="2" s="1"/>
  <c r="EB13" i="2" s="1"/>
  <c r="EC13" i="2" s="1"/>
  <c r="ED13" i="2" s="1"/>
  <c r="EE13" i="2" s="1"/>
  <c r="EF13" i="2" s="1"/>
  <c r="EG13" i="2" s="1"/>
  <c r="EH13" i="2" s="1"/>
  <c r="EI13" i="2" s="1"/>
  <c r="EJ13" i="2" s="1"/>
  <c r="EK13" i="2" s="1"/>
  <c r="EL13" i="2" s="1"/>
  <c r="EM13" i="2" s="1"/>
  <c r="EN13" i="2" s="1"/>
  <c r="EO13" i="2" s="1"/>
  <c r="EP13" i="2" s="1"/>
  <c r="EQ13" i="2" s="1"/>
  <c r="ER13" i="2" s="1"/>
  <c r="ES13" i="2" s="1"/>
  <c r="ET13" i="2" s="1"/>
  <c r="EU13" i="2" s="1"/>
  <c r="EV13" i="2" s="1"/>
  <c r="EW13" i="2" s="1"/>
  <c r="EX13" i="2" s="1"/>
  <c r="EY13" i="2" s="1"/>
  <c r="EZ13" i="2" s="1"/>
  <c r="FA13" i="2" s="1"/>
  <c r="FB13" i="2" s="1"/>
  <c r="FC13" i="2" s="1"/>
  <c r="FD13" i="2" s="1"/>
  <c r="FE13" i="2" s="1"/>
  <c r="FF13" i="2" s="1"/>
  <c r="FG13" i="2" s="1"/>
  <c r="FH13" i="2" s="1"/>
  <c r="FI13" i="2" s="1"/>
  <c r="FJ13" i="2" s="1"/>
  <c r="FK13" i="2" s="1"/>
  <c r="FL13" i="2" s="1"/>
  <c r="FM13" i="2" s="1"/>
  <c r="FN13" i="2" s="1"/>
  <c r="FO13" i="2" s="1"/>
  <c r="FP13" i="2" s="1"/>
  <c r="FQ13" i="2" s="1"/>
  <c r="FR13" i="2" s="1"/>
  <c r="FS13" i="2" s="1"/>
  <c r="FT13" i="2" s="1"/>
  <c r="FU13" i="2" s="1"/>
  <c r="FV13" i="2" s="1"/>
  <c r="FW13" i="2" s="1"/>
  <c r="FX13" i="2" s="1"/>
  <c r="FY13" i="2" s="1"/>
  <c r="FZ13" i="2" s="1"/>
  <c r="GA13" i="2" s="1"/>
  <c r="GB13" i="2" s="1"/>
  <c r="GC13" i="2" s="1"/>
  <c r="GD13" i="2" s="1"/>
  <c r="GE13" i="2" s="1"/>
  <c r="GF13" i="2" s="1"/>
  <c r="GG13" i="2" s="1"/>
  <c r="GH13" i="2" s="1"/>
  <c r="GI13" i="2" s="1"/>
  <c r="GJ13" i="2" s="1"/>
  <c r="GK13" i="2" s="1"/>
  <c r="GL13" i="2" s="1"/>
  <c r="GM13" i="2" s="1"/>
  <c r="GN13" i="2" s="1"/>
  <c r="GO13" i="2" s="1"/>
  <c r="GP13" i="2" s="1"/>
  <c r="GQ13" i="2" s="1"/>
  <c r="GR13" i="2" s="1"/>
  <c r="GS13" i="2" s="1"/>
  <c r="GT13" i="2" s="1"/>
  <c r="GU13" i="2" s="1"/>
  <c r="GV13" i="2" s="1"/>
  <c r="GW13" i="2" s="1"/>
  <c r="GX13" i="2" s="1"/>
  <c r="GY13" i="2" s="1"/>
  <c r="GZ13" i="2" s="1"/>
  <c r="HA13" i="2" s="1"/>
  <c r="HB13" i="2" s="1"/>
  <c r="HC13" i="2" s="1"/>
  <c r="HD13" i="2" s="1"/>
  <c r="HE13" i="2" s="1"/>
  <c r="HF13" i="2" s="1"/>
  <c r="HG13" i="2" s="1"/>
  <c r="HH13" i="2" s="1"/>
  <c r="HI13" i="2" s="1"/>
  <c r="HJ13" i="2" s="1"/>
  <c r="HK13" i="2" s="1"/>
  <c r="HL13" i="2" s="1"/>
  <c r="HM13" i="2" s="1"/>
  <c r="HN13" i="2" s="1"/>
  <c r="HO13" i="2" s="1"/>
  <c r="HP13" i="2" s="1"/>
  <c r="HQ13" i="2" s="1"/>
  <c r="HR13" i="2" s="1"/>
  <c r="HS13" i="2" s="1"/>
  <c r="HT13" i="2" s="1"/>
  <c r="HU13" i="2" s="1"/>
  <c r="HV13" i="2" s="1"/>
  <c r="HW13" i="2" s="1"/>
  <c r="HX13" i="2" s="1"/>
  <c r="HY13" i="2" s="1"/>
  <c r="HZ13" i="2" s="1"/>
  <c r="IA13" i="2" s="1"/>
  <c r="IB13" i="2" s="1"/>
  <c r="IC13" i="2" s="1"/>
  <c r="ID13" i="2" s="1"/>
  <c r="IE13" i="2" s="1"/>
  <c r="IF13" i="2" s="1"/>
  <c r="IG13" i="2" s="1"/>
  <c r="IH13" i="2" s="1"/>
  <c r="II13" i="2" s="1"/>
  <c r="IJ13" i="2" s="1"/>
  <c r="IK13" i="2" s="1"/>
  <c r="IL13" i="2" s="1"/>
  <c r="IM13" i="2" s="1"/>
  <c r="IN13" i="2" s="1"/>
  <c r="IO13" i="2" s="1"/>
  <c r="IP13" i="2" s="1"/>
  <c r="IQ13" i="2" s="1"/>
  <c r="IR13" i="2" s="1"/>
  <c r="IS13" i="2" s="1"/>
  <c r="IT13" i="2" s="1"/>
  <c r="IU13" i="2" s="1"/>
  <c r="IV13" i="2" s="1"/>
  <c r="IW13" i="2" s="1"/>
  <c r="IX13" i="2" s="1"/>
  <c r="IY13" i="2" s="1"/>
  <c r="IZ13" i="2" s="1"/>
  <c r="JA13" i="2" s="1"/>
  <c r="JB13" i="2" s="1"/>
  <c r="JC13" i="2" s="1"/>
  <c r="JD13" i="2" s="1"/>
  <c r="JE13" i="2" s="1"/>
  <c r="JF13" i="2" s="1"/>
  <c r="JG13" i="2" s="1"/>
  <c r="JH13" i="2" s="1"/>
  <c r="JI13" i="2" s="1"/>
  <c r="JJ13" i="2" s="1"/>
  <c r="JK13" i="2" s="1"/>
  <c r="JL13" i="2" s="1"/>
  <c r="JM13" i="2" s="1"/>
  <c r="JN13" i="2" s="1"/>
  <c r="JO13" i="2" s="1"/>
  <c r="JP13" i="2" s="1"/>
  <c r="JQ13" i="2" s="1"/>
  <c r="JR13" i="2" s="1"/>
  <c r="JS13" i="2" s="1"/>
  <c r="JT13" i="2" s="1"/>
  <c r="JU13" i="2" s="1"/>
  <c r="JV13" i="2" s="1"/>
  <c r="JW13" i="2" s="1"/>
  <c r="JX13" i="2" s="1"/>
  <c r="JY13" i="2" s="1"/>
  <c r="JZ13" i="2" s="1"/>
  <c r="KA13" i="2" s="1"/>
  <c r="KB13" i="2" s="1"/>
  <c r="KC13" i="2" s="1"/>
  <c r="KD13" i="2" s="1"/>
  <c r="KE13" i="2" s="1"/>
  <c r="KF13" i="2" s="1"/>
  <c r="KG13" i="2" s="1"/>
  <c r="KH13" i="2" s="1"/>
  <c r="KI13" i="2" s="1"/>
  <c r="KJ13" i="2" s="1"/>
  <c r="KK13" i="2" s="1"/>
  <c r="KL13" i="2" s="1"/>
  <c r="KM13" i="2" s="1"/>
  <c r="KN13" i="2" s="1"/>
  <c r="KO13" i="2" s="1"/>
  <c r="KP13" i="2" s="1"/>
  <c r="KQ13" i="2" s="1"/>
  <c r="KR13" i="2" s="1"/>
  <c r="KS13" i="2" s="1"/>
  <c r="KT13" i="2" s="1"/>
  <c r="KU13" i="2" s="1"/>
  <c r="KV13" i="2" s="1"/>
  <c r="KW13" i="2" s="1"/>
  <c r="KX13" i="2" s="1"/>
  <c r="KY13" i="2" s="1"/>
  <c r="KZ13" i="2" s="1"/>
  <c r="LA13" i="2" s="1"/>
  <c r="LB13" i="2" s="1"/>
  <c r="LC13" i="2" s="1"/>
  <c r="LD13" i="2" s="1"/>
  <c r="LE13" i="2" s="1"/>
  <c r="LF13" i="2" s="1"/>
  <c r="LG13" i="2" s="1"/>
  <c r="LH13" i="2" s="1"/>
  <c r="LI13" i="2" s="1"/>
  <c r="LJ13" i="2" s="1"/>
  <c r="LK13" i="2" s="1"/>
  <c r="LL13" i="2" s="1"/>
  <c r="LM13" i="2" s="1"/>
  <c r="LN13" i="2" s="1"/>
  <c r="LO13" i="2" s="1"/>
  <c r="LP13" i="2" s="1"/>
  <c r="LQ13" i="2" s="1"/>
  <c r="LR13" i="2" s="1"/>
  <c r="LS13" i="2" s="1"/>
  <c r="LT13" i="2" s="1"/>
  <c r="LU13" i="2" s="1"/>
  <c r="LV13" i="2" s="1"/>
  <c r="LW13" i="2" s="1"/>
  <c r="LX13" i="2" s="1"/>
  <c r="LY13" i="2" s="1"/>
  <c r="LZ13" i="2" s="1"/>
  <c r="MA13" i="2" s="1"/>
  <c r="MB13" i="2" s="1"/>
  <c r="MC13" i="2" s="1"/>
  <c r="MD13" i="2" s="1"/>
  <c r="ME13" i="2" s="1"/>
  <c r="MF13" i="2" s="1"/>
  <c r="MG13" i="2" s="1"/>
  <c r="MH13" i="2" s="1"/>
  <c r="MI13" i="2" s="1"/>
  <c r="MJ13" i="2" s="1"/>
  <c r="MK13" i="2" s="1"/>
  <c r="ML13" i="2" s="1"/>
  <c r="MM13" i="2" s="1"/>
  <c r="MN13" i="2" s="1"/>
  <c r="MO13" i="2" s="1"/>
  <c r="MP13" i="2" s="1"/>
  <c r="MQ13" i="2" s="1"/>
  <c r="MR13" i="2" s="1"/>
  <c r="MS13" i="2" s="1"/>
  <c r="MT13" i="2" s="1"/>
  <c r="MU13" i="2" s="1"/>
  <c r="MV13" i="2" s="1"/>
  <c r="MW13" i="2" s="1"/>
  <c r="MX13" i="2" s="1"/>
  <c r="MY13" i="2" s="1"/>
  <c r="MZ13" i="2" s="1"/>
  <c r="NA13" i="2" s="1"/>
  <c r="NB13" i="2" s="1"/>
  <c r="NC13" i="2" s="1"/>
  <c r="ND13" i="2" s="1"/>
  <c r="NE13" i="2" s="1"/>
  <c r="NF13" i="2" s="1"/>
  <c r="NG13" i="2" s="1"/>
  <c r="NH13" i="2" s="1"/>
  <c r="NI13" i="2" s="1"/>
  <c r="NJ13" i="2" s="1"/>
  <c r="NK13" i="2" s="1"/>
  <c r="NL13" i="2" s="1"/>
  <c r="NM13" i="2" s="1"/>
  <c r="NN13" i="2" s="1"/>
  <c r="NO13" i="2" s="1"/>
  <c r="NP13" i="2" s="1"/>
  <c r="NQ13" i="2" s="1"/>
  <c r="NR13" i="2" s="1"/>
  <c r="NS13" i="2" s="1"/>
  <c r="NT13" i="2" s="1"/>
  <c r="NU13" i="2" s="1"/>
  <c r="NV13" i="2" s="1"/>
  <c r="AT22" i="2" s="1"/>
  <c r="AT24" i="2" s="1"/>
  <c r="AT25" i="2" s="1"/>
  <c r="AT2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<sst xmlns="http://schemas.openxmlformats.org/spreadsheetml/2006/main" count="85" uniqueCount="79">
  <si>
    <t>Company</t>
  </si>
  <si>
    <t>Source</t>
  </si>
  <si>
    <t>Price</t>
  </si>
  <si>
    <t>Shares</t>
  </si>
  <si>
    <t>1Q21</t>
  </si>
  <si>
    <t>Market Cap</t>
  </si>
  <si>
    <t>Cash</t>
  </si>
  <si>
    <t>Debt</t>
  </si>
  <si>
    <t>EV</t>
  </si>
  <si>
    <t>Equity</t>
  </si>
  <si>
    <t>D+E</t>
  </si>
  <si>
    <t>Wdebt</t>
  </si>
  <si>
    <t>Wequity</t>
  </si>
  <si>
    <t>Tax rate</t>
  </si>
  <si>
    <t>Interest expense</t>
  </si>
  <si>
    <t>Cost of debt</t>
  </si>
  <si>
    <t>Risk-free rate</t>
  </si>
  <si>
    <t>Beta</t>
  </si>
  <si>
    <t>Market return</t>
  </si>
  <si>
    <t xml:space="preserve">average </t>
  </si>
  <si>
    <t>Cost of equity</t>
  </si>
  <si>
    <t>WACC</t>
  </si>
  <si>
    <t>COGS</t>
  </si>
  <si>
    <t>Gross Profit</t>
  </si>
  <si>
    <t>Opex</t>
  </si>
  <si>
    <t>Operating Income</t>
  </si>
  <si>
    <t>Pretax Income</t>
  </si>
  <si>
    <t>Taxes</t>
  </si>
  <si>
    <t>Net Income</t>
  </si>
  <si>
    <t>EPS</t>
  </si>
  <si>
    <t>Revenue Y/Y</t>
  </si>
  <si>
    <t>COGS Y/Y</t>
  </si>
  <si>
    <t>Opex Y/Y</t>
  </si>
  <si>
    <t>OI Y/Y</t>
  </si>
  <si>
    <t>NI Y/Y</t>
  </si>
  <si>
    <t>Shares Y/Y</t>
  </si>
  <si>
    <t>EPS Y/Y</t>
  </si>
  <si>
    <t>GM</t>
  </si>
  <si>
    <t>OM</t>
  </si>
  <si>
    <t>1Q18</t>
  </si>
  <si>
    <t>2Q18</t>
  </si>
  <si>
    <t>3Q19</t>
  </si>
  <si>
    <t>4Q18</t>
  </si>
  <si>
    <t>1Q19</t>
  </si>
  <si>
    <t>2Q19</t>
  </si>
  <si>
    <t>4Q19</t>
  </si>
  <si>
    <t>1Q20</t>
  </si>
  <si>
    <t>2Q20</t>
  </si>
  <si>
    <t>3Q20</t>
  </si>
  <si>
    <t>4Q20</t>
  </si>
  <si>
    <t>2Q21</t>
  </si>
  <si>
    <t>3Q21</t>
  </si>
  <si>
    <t>4Q21</t>
  </si>
  <si>
    <t>Maturity</t>
  </si>
  <si>
    <t>NPV</t>
  </si>
  <si>
    <t>Net Cash</t>
  </si>
  <si>
    <t>Total Value</t>
  </si>
  <si>
    <t>Model Price</t>
  </si>
  <si>
    <t>Current Price</t>
  </si>
  <si>
    <t>Difference</t>
  </si>
  <si>
    <t>average</t>
  </si>
  <si>
    <t>1Q22</t>
  </si>
  <si>
    <t>2Q22</t>
  </si>
  <si>
    <t>3Q22</t>
  </si>
  <si>
    <t>4Q22</t>
  </si>
  <si>
    <t>1Q23</t>
  </si>
  <si>
    <t>Interest Expense/(Income)</t>
  </si>
  <si>
    <t>2Q23</t>
  </si>
  <si>
    <t>3Q23</t>
  </si>
  <si>
    <t>4Q23</t>
  </si>
  <si>
    <t>3Q24</t>
  </si>
  <si>
    <t>5yr t-bond 2/21/24</t>
  </si>
  <si>
    <t>koyfin 2/21/24</t>
  </si>
  <si>
    <t>Discount (WACC)</t>
  </si>
  <si>
    <t>Revenue</t>
  </si>
  <si>
    <t>S&amp;A</t>
  </si>
  <si>
    <t>Other Income/(Expense)</t>
  </si>
  <si>
    <t>Dividend/Share</t>
  </si>
  <si>
    <t>2023 estimated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</si>
</sst>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0.000"/>
  </numFmts>
  <fonts count="8"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Calibri"/>
      <family val="2"/>
      <scheme val="minor"/>
    </font>
    <font>
      <b/>
      <sz val="11"/>
      <color theme="1"/>
      <name val="Arial"/>
      <family val="2"/>
    </font>
    <font>
      <sz val="8"/>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33">
    <xf numFmtId="0" fontId="0" fillId="0" borderId="0" xfId="0"/>
    <xf numFmtId="0" fontId="4" fillId="0" borderId="0" xfId="0" applyFont="1"/>
    <xf numFmtId="3" fontId="4" fillId="0" borderId="0" xfId="0" applyNumberFormat="1" applyFont="1"/>
    <xf numFmtId="10" fontId="4" fillId="0" borderId="0" xfId="0" applyNumberFormat="1" applyFont="1"/>
    <xf numFmtId="9" fontId="4" fillId="0" borderId="0" xfId="0" applyNumberFormat="1" applyFont="1"/>
    <xf numFmtId="0" fontId="6" fillId="0" borderId="0" xfId="0" applyFont="1"/>
    <xf numFmtId="9" fontId="6" fillId="0" borderId="0" xfId="0" applyNumberFormat="1" applyFont="1"/>
    <xf numFmtId="0" fontId="4" fillId="0" borderId="1" xfId="0" applyFont="1" applyBorder="1"/>
    <xf numFmtId="164" fontId="4" fillId="0" borderId="0" xfId="0" applyNumberFormat="1" applyFont="1" applyAlignment="1">
      <alignment horizontal="right"/>
    </xf>
    <xf numFmtId="4" fontId="4" fillId="0" borderId="0" xfId="0" applyNumberFormat="1" applyFont="1"/>
    <xf numFmtId="3" fontId="4" fillId="0" borderId="0" xfId="0" applyNumberFormat="1" applyFont="1" applyAlignment="1">
      <alignment horizontal="right"/>
    </xf>
    <xf numFmtId="0" fontId="4" fillId="0" borderId="1" xfId="0" applyFont="1" applyBorder="1" applyAlignment="1">
      <alignment horizontal="right"/>
    </xf>
    <xf numFmtId="0" fontId="4" fillId="0" borderId="2" xfId="0" applyFont="1" applyBorder="1"/>
    <xf numFmtId="3" fontId="4" fillId="0" borderId="3" xfId="0" applyNumberFormat="1" applyFont="1" applyBorder="1" applyAlignment="1">
      <alignment horizontal="right"/>
    </xf>
    <xf numFmtId="0" fontId="4" fillId="0" borderId="2" xfId="0" applyFont="1" applyBorder="1" applyAlignment="1">
      <alignment horizontal="right"/>
    </xf>
    <xf numFmtId="14" fontId="4" fillId="0" borderId="0" xfId="0" applyNumberFormat="1" applyFont="1"/>
    <xf numFmtId="0" fontId="4" fillId="0" borderId="0" xfId="0" applyFont="1" applyAlignment="1">
      <alignment horizontal="right"/>
    </xf>
    <xf numFmtId="3" fontId="6" fillId="0" borderId="0" xfId="0" applyNumberFormat="1" applyFont="1"/>
    <xf numFmtId="9" fontId="4" fillId="0" borderId="0" xfId="1" applyFont="1"/>
    <xf numFmtId="38" fontId="4" fillId="0" borderId="0" xfId="0" applyNumberFormat="1" applyFont="1"/>
    <xf numFmtId="0" fontId="3" fillId="0" borderId="0" xfId="0" applyFont="1" applyAlignment="1">
      <alignment horizontal="right"/>
    </xf>
    <xf numFmtId="0" fontId="3" fillId="0" borderId="0" xfId="0" applyFont="1"/>
    <xf numFmtId="0" fontId="2" fillId="0" borderId="0" xfId="0" applyFont="1" applyAlignment="1">
      <alignment horizontal="right"/>
    </xf>
    <xf numFmtId="0" fontId="1" fillId="0" borderId="0" xfId="0" applyFont="1"/>
    <xf numFmtId="0" fontId="1" fillId="0" borderId="1" xfId="0" applyFont="1" applyBorder="1" applyAlignment="1">
      <alignment horizontal="right"/>
    </xf>
    <xf numFmtId="0" fontId="1" fillId="0" borderId="0" xfId="0" applyFont="1" applyAlignment="1">
      <alignment horizontal="right"/>
    </xf>
    <xf numFmtId="0" fontId="1" fillId="0" borderId="0" xfId="0" applyFont="1" applyAlignment="1">
      <alignment horizontal="left"/>
    </xf>
    <xf numFmtId="0" fontId="1" fillId="0" borderId="4" xfId="0" applyFont="1" applyBorder="1"/>
    <xf numFmtId="0" fontId="4" fillId="0" borderId="5" xfId="0" applyFont="1" applyBorder="1"/>
    <xf numFmtId="0" fontId="4" fillId="0" borderId="6" xfId="0" applyFont="1" applyBorder="1"/>
    <xf numFmtId="165" fontId="4" fillId="0" borderId="0" xfId="0" applyNumberFormat="1" applyFont="1"/>
    <xf numFmtId="3" fontId="1" fillId="0" borderId="0" xfId="0" applyNumberFormat="1" applyFont="1"/>
    <xf numFmtId="14" fontId="1"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37</xdr:col>
      <xdr:colOff>38100</xdr:colOff>
      <xdr:row>0</xdr:row>
      <xdr:rowOff>59055</xdr:rowOff>
    </xdr:from>
    <xdr:to>
      <xdr:col>37</xdr:col>
      <xdr:colOff>38100</xdr:colOff>
      <xdr:row>33</xdr:row>
      <xdr:rowOff>87630</xdr:rowOff>
    </xdr:to>
    <xdr:cxnSp macro="">
      <xdr:nvCxnSpPr>
        <xdr:cNvPr id="3" name="Straight Connector 2">
          <a:extLst>
            <a:ext uri="{FF2B5EF4-FFF2-40B4-BE49-F238E27FC236}">
              <a16:creationId xmlns:a16="http://schemas.microsoft.com/office/drawing/2014/main" id="{3FA47D1E-DE85-4366-AC13-684BC4172594}"/>
            </a:ext>
          </a:extLst>
        </xdr:cNvPr>
        <xdr:cNvCxnSpPr/>
      </xdr:nvCxnSpPr>
      <xdr:spPr>
        <a:xfrm>
          <a:off x="27755850" y="59055"/>
          <a:ext cx="0" cy="56864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46355</xdr:colOff>
      <xdr:row>0</xdr:row>
      <xdr:rowOff>15875</xdr:rowOff>
    </xdr:from>
    <xdr:to>
      <xdr:col>25</xdr:col>
      <xdr:colOff>46355</xdr:colOff>
      <xdr:row>33</xdr:row>
      <xdr:rowOff>59690</xdr:rowOff>
    </xdr:to>
    <xdr:cxnSp macro="">
      <xdr:nvCxnSpPr>
        <xdr:cNvPr id="4" name="Straight Connector 3">
          <a:extLst>
            <a:ext uri="{FF2B5EF4-FFF2-40B4-BE49-F238E27FC236}">
              <a16:creationId xmlns:a16="http://schemas.microsoft.com/office/drawing/2014/main" id="{99E8B9FD-BEA6-40AB-9E07-2C67D2F97A38}"/>
            </a:ext>
          </a:extLst>
        </xdr:cNvPr>
        <xdr:cNvCxnSpPr/>
      </xdr:nvCxnSpPr>
      <xdr:spPr>
        <a:xfrm>
          <a:off x="22468205" y="15875"/>
          <a:ext cx="0" cy="55302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20Dashboard.xlsx" TargetMode="External"/><Relationship Id="rId1" Type="http://schemas.openxmlformats.org/officeDocument/2006/relationships/externalLinkPath" Target="00%2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4.2999999999999997E-2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https://www.bing.com/financeapi/forcetrigger?t=a1ohrw&amp;q=XNYS%3aBIG&amp;form=skydnc</v>
    <v>Learn more on Bing</v>
  </rv>
  <rv s="1">
    <v>en-US</v>
    <v>a1ohrw</v>
    <v>268435456</v>
    <v>1</v>
    <v>Powered by Refinitiv</v>
    <v>0</v>
    <v>BIG LOTS, INC. (XNYS:BIG)</v>
    <v>2</v>
    <v>3</v>
    <v>Finance</v>
    <v>4</v>
    <v>15.125</v>
    <v>3.47</v>
    <v>2.3595000000000002</v>
    <v>0.02</v>
    <v>1.838E-3</v>
    <v>3.6900000000000001E-3</v>
    <v>0.01</v>
    <v>USD</v>
    <v>Big Lots, Inc. is a home discount retailer in the United States. It operates over 1,300 stores in 48 states and an ecommerce store. The Company's merchandise categories include Food; Consumables; Soft Home; Hard Home; Furniture; Seasonal; and Apparel, Electronics, &amp; Other. The Food category includes beverage and grocery, specialty foods and pet departments. The Consumables category includes health, beauty and cosmetics and chemical departments. The Soft Home category includes home organization, fashion bedding, utility bedding and area rugs departments. The Hard Home category includes small appliances, tabletop and toys departments. The Furniture category includes mattress, case goods, and home decor departments. The Seasonal category includes lawn and garden; summer; Christmas, and other holiday departments. The Apparel, Electronics, &amp; Other department includes apparel; electronics; jewelry; hosiery; and candy and snacks departments, and the assortments for the Lot and the Queue Line.</v>
    <v>10200</v>
    <v>New York Stock Exchange</v>
    <v>XNYS</v>
    <v>XNYS</v>
    <v>4900 E Dublin Granville Rd, COLUMBUS, OH, 43081-7651 US</v>
    <v>5.66</v>
    <v>Diversified Retail</v>
    <v>Stock</v>
    <v>45352.976326238284</v>
    <v>0</v>
    <v>5.21</v>
    <v>158938100</v>
    <v>BIG LOTS, INC.</v>
    <v>BIG LOTS, INC.</v>
    <v>5.48</v>
    <v>5.42</v>
    <v>5.44</v>
    <v>5.45</v>
    <v>29216560</v>
    <v>BIG</v>
    <v>BIG LOTS, INC. (XNYS:BIG)</v>
    <v>1712898</v>
    <v>1842758</v>
    <v>2001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4" formatCode="#,##0.00"/>
    </x:dxf>
    <x:dxf>
      <x:numFmt numFmtId="3" formatCode="#,##0"/>
    </x:dxf>
    <x:dxf>
      <x:numFmt numFmtId="14" formatCode="0.00%"/>
    </x:dxf>
    <x:dxf>
      <x:numFmt numFmtId="27" formatCode="m/d/yyyy\ h:mm"/>
    </x:dxf>
    <x:dxf>
      <x:numFmt numFmtId="1" formatCode="0"/>
    </x:dxf>
    <x:dxf>
      <x:numFmt numFmtId="2" formatCode="0.00"/>
    </x:dxf>
    <x:dxf>
      <x:numFmt numFmtId="0" formatCode="General"/>
    </x:dxf>
  </dxfs>
  <richProperties>
    <rPr n="NumberFormat" t="s"/>
    <rPr n="IsTitleField" t="b"/>
  </richProperties>
  <richStyles>
    <rSty dxfid="6">
      <rpv i="0">_([$$-en-US]* #,##0.00_);_([$$-en-US]* (#,##0.00);_([$$-en-US]* "-"??_);_(@_)</rpv>
    </rSty>
    <rSty dxfid="0">
      <rpv i="0">#,##0.00</rpv>
    </rSty>
    <rSty>
      <rpv i="1">1</rpv>
    </rSty>
    <rSty dxfid="1">
      <rpv i="0">#,##0</rpv>
    </rSty>
    <rSty dxfid="2"/>
    <rSty dxfid="6">
      <rpv i="0">_([$$-en-US]* #,##0_);_([$$-en-US]* (#,##0);_([$$-en-US]* "-"_);_(@_)</rpv>
    </rSty>
    <rSty dxfid="3"/>
    <rSty dxfid="4">
      <rpv i="0">0</rpv>
    </rSty>
    <rSty dxfid="5">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8B6C1-D0C4-4A77-A0D0-4E8E2424B6C8}">
  <dimension ref="B3:G9"/>
  <sheetViews>
    <sheetView workbookViewId="0">
      <selection activeCell="F7" sqref="F7"/>
    </sheetView>
  </sheetViews>
  <sheetFormatPr defaultColWidth="9.21875" defaultRowHeight="13.8" x14ac:dyDescent="0.25"/>
  <cols>
    <col min="1" max="1" width="9.21875" style="1"/>
    <col min="2" max="2" width="11.5546875" style="1" bestFit="1" customWidth="1"/>
    <col min="3" max="3" width="29.33203125" style="1" bestFit="1" customWidth="1"/>
    <col min="4" max="4" width="9.21875" style="1" bestFit="1" customWidth="1"/>
    <col min="5" max="5" width="9.21875" style="1"/>
    <col min="6" max="6" width="14.21875" style="1" bestFit="1" customWidth="1"/>
    <col min="7" max="7" width="7.21875" style="1" bestFit="1" customWidth="1"/>
    <col min="8" max="16384" width="9.21875" style="1"/>
  </cols>
  <sheetData>
    <row r="3" spans="2:7" x14ac:dyDescent="0.25">
      <c r="B3" s="28" t="s">
        <v>0</v>
      </c>
      <c r="C3" s="27" t="e" vm="1">
        <v>#VALUE!</v>
      </c>
      <c r="D3" s="29" t="s">
        <v>1</v>
      </c>
    </row>
    <row r="4" spans="2:7" x14ac:dyDescent="0.25">
      <c r="B4" s="7" t="s">
        <v>2</v>
      </c>
      <c r="C4" s="8" cm="1">
        <f t="array" ref="C4">_FV(C3,"Price")</f>
        <v>5.44</v>
      </c>
      <c r="D4" s="11"/>
      <c r="G4" s="9"/>
    </row>
    <row r="5" spans="2:7" x14ac:dyDescent="0.25">
      <c r="B5" s="7" t="s">
        <v>3</v>
      </c>
      <c r="C5" s="10">
        <v>29.3</v>
      </c>
      <c r="D5" s="24" t="s">
        <v>70</v>
      </c>
    </row>
    <row r="6" spans="2:7" x14ac:dyDescent="0.25">
      <c r="B6" s="7" t="s">
        <v>5</v>
      </c>
      <c r="C6" s="10">
        <f>C5*C4</f>
        <v>159.39200000000002</v>
      </c>
      <c r="D6" s="11"/>
    </row>
    <row r="7" spans="2:7" x14ac:dyDescent="0.25">
      <c r="B7" s="7" t="s">
        <v>6</v>
      </c>
      <c r="C7" s="10">
        <v>46.594000000000001</v>
      </c>
      <c r="D7" s="24" t="s">
        <v>70</v>
      </c>
    </row>
    <row r="8" spans="2:7" x14ac:dyDescent="0.25">
      <c r="B8" s="7" t="s">
        <v>7</v>
      </c>
      <c r="C8" s="10">
        <v>533</v>
      </c>
      <c r="D8" s="24" t="s">
        <v>70</v>
      </c>
    </row>
    <row r="9" spans="2:7" x14ac:dyDescent="0.25">
      <c r="B9" s="12" t="s">
        <v>8</v>
      </c>
      <c r="C9" s="13">
        <f>C6-C7+C8</f>
        <v>645.798</v>
      </c>
      <c r="D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4E13-EFB0-4F1E-976B-AC98D9E8DF6E}">
  <dimension ref="A1:NV35"/>
  <sheetViews>
    <sheetView tabSelected="1" workbookViewId="0">
      <pane xSplit="2" ySplit="2" topLeftCell="AO3" activePane="bottomRight" state="frozen"/>
      <selection pane="topRight" activeCell="C1" sqref="C1"/>
      <selection pane="bottomLeft" activeCell="A3" sqref="A3"/>
      <selection pane="bottomRight" activeCell="AT25" sqref="AT25"/>
    </sheetView>
  </sheetViews>
  <sheetFormatPr defaultColWidth="9.21875" defaultRowHeight="13.8" x14ac:dyDescent="0.25"/>
  <cols>
    <col min="1" max="1" width="9.21875" style="1"/>
    <col min="2" max="2" width="42.21875" style="1" bestFit="1" customWidth="1"/>
    <col min="3" max="4" width="9.21875" style="2" bestFit="1" customWidth="1"/>
    <col min="5" max="5" width="9.88671875" style="2" bestFit="1" customWidth="1"/>
    <col min="6" max="7" width="10.21875" style="2" bestFit="1" customWidth="1"/>
    <col min="8" max="8" width="11.21875" style="2" bestFit="1" customWidth="1"/>
    <col min="9" max="11" width="10.21875" style="2" bestFit="1" customWidth="1"/>
    <col min="12" max="12" width="11.21875" style="2" bestFit="1" customWidth="1"/>
    <col min="13" max="13" width="11" style="2" bestFit="1" customWidth="1"/>
    <col min="14" max="15" width="10.21875" style="2" bestFit="1" customWidth="1"/>
    <col min="16" max="16" width="11.21875" style="2" bestFit="1" customWidth="1"/>
    <col min="17" max="17" width="11" style="2" bestFit="1" customWidth="1"/>
    <col min="18" max="19" width="10.21875" style="2" bestFit="1" customWidth="1"/>
    <col min="20" max="20" width="11.21875" style="2" bestFit="1" customWidth="1"/>
    <col min="21" max="21" width="11" style="2" bestFit="1" customWidth="1"/>
    <col min="22" max="23" width="10.21875" style="2" bestFit="1" customWidth="1"/>
    <col min="24" max="24" width="10.77734375" style="2" bestFit="1" customWidth="1"/>
    <col min="25" max="26" width="11" style="2" bestFit="1" customWidth="1"/>
    <col min="27" max="32" width="9.21875" style="2"/>
    <col min="33" max="42" width="9.21875" style="2" bestFit="1" customWidth="1"/>
    <col min="43" max="43" width="13.5546875" style="2" bestFit="1" customWidth="1"/>
    <col min="44" max="44" width="9.21875" style="2" bestFit="1" customWidth="1"/>
    <col min="45" max="45" width="17.6640625" style="2" bestFit="1" customWidth="1"/>
    <col min="46" max="386" width="9.21875" style="2" bestFit="1" customWidth="1"/>
    <col min="387" max="16384" width="9.21875" style="2"/>
  </cols>
  <sheetData>
    <row r="1" spans="1:386" s="1" customFormat="1" x14ac:dyDescent="0.25">
      <c r="C1" s="15">
        <v>43225</v>
      </c>
      <c r="D1" s="15">
        <v>43316</v>
      </c>
      <c r="E1" s="15">
        <v>43407</v>
      </c>
      <c r="F1" s="15"/>
      <c r="G1" s="15">
        <v>43589</v>
      </c>
      <c r="H1" s="15">
        <v>43680</v>
      </c>
      <c r="I1" s="15">
        <v>43771</v>
      </c>
      <c r="J1" s="15">
        <v>43862</v>
      </c>
      <c r="K1" s="32">
        <v>43953</v>
      </c>
      <c r="L1" s="15">
        <v>44044</v>
      </c>
      <c r="M1" s="15">
        <v>44135</v>
      </c>
      <c r="N1" s="15">
        <v>44227</v>
      </c>
      <c r="O1" s="15">
        <v>44317</v>
      </c>
      <c r="P1" s="15">
        <v>44408</v>
      </c>
      <c r="Q1" s="15">
        <v>44499</v>
      </c>
      <c r="R1" s="15">
        <v>44590</v>
      </c>
      <c r="S1" s="15"/>
      <c r="T1" s="15"/>
      <c r="U1" s="15">
        <v>44863</v>
      </c>
      <c r="V1" s="15">
        <v>44954</v>
      </c>
      <c r="W1" s="15"/>
      <c r="X1" s="15"/>
      <c r="Y1" s="15">
        <v>45227</v>
      </c>
      <c r="Z1" s="15">
        <v>45322</v>
      </c>
    </row>
    <row r="2" spans="1:386" s="16" customFormat="1" x14ac:dyDescent="0.25">
      <c r="A2" s="1"/>
      <c r="B2" s="1"/>
      <c r="C2" s="16" t="s">
        <v>39</v>
      </c>
      <c r="D2" s="16" t="s">
        <v>40</v>
      </c>
      <c r="E2" s="16" t="s">
        <v>41</v>
      </c>
      <c r="F2" s="16" t="s">
        <v>42</v>
      </c>
      <c r="G2" s="16" t="s">
        <v>43</v>
      </c>
      <c r="H2" s="16" t="s">
        <v>44</v>
      </c>
      <c r="I2" s="16" t="s">
        <v>41</v>
      </c>
      <c r="J2" s="16" t="s">
        <v>45</v>
      </c>
      <c r="K2" s="16" t="s">
        <v>46</v>
      </c>
      <c r="L2" s="16" t="s">
        <v>47</v>
      </c>
      <c r="M2" s="16" t="s">
        <v>48</v>
      </c>
      <c r="N2" s="16" t="s">
        <v>49</v>
      </c>
      <c r="O2" s="16" t="s">
        <v>4</v>
      </c>
      <c r="P2" s="16" t="s">
        <v>50</v>
      </c>
      <c r="Q2" s="16" t="s">
        <v>51</v>
      </c>
      <c r="R2" s="16" t="s">
        <v>52</v>
      </c>
      <c r="S2" s="16" t="s">
        <v>61</v>
      </c>
      <c r="T2" s="16" t="s">
        <v>62</v>
      </c>
      <c r="U2" s="16" t="s">
        <v>63</v>
      </c>
      <c r="V2" s="16" t="s">
        <v>64</v>
      </c>
      <c r="W2" s="20" t="s">
        <v>65</v>
      </c>
      <c r="X2" s="22" t="s">
        <v>67</v>
      </c>
      <c r="Y2" s="22" t="s">
        <v>68</v>
      </c>
      <c r="Z2" s="22" t="s">
        <v>69</v>
      </c>
      <c r="AA2" s="25"/>
      <c r="AB2" s="22"/>
      <c r="AC2" s="22"/>
      <c r="AD2" s="22"/>
      <c r="AG2" s="16">
        <v>2018</v>
      </c>
      <c r="AH2" s="16">
        <v>2019</v>
      </c>
      <c r="AI2" s="16">
        <v>2020</v>
      </c>
      <c r="AJ2" s="16">
        <v>2021</v>
      </c>
      <c r="AK2" s="16">
        <v>2022</v>
      </c>
      <c r="AL2" s="16">
        <v>2023</v>
      </c>
      <c r="AM2" s="16">
        <v>2024</v>
      </c>
      <c r="AN2" s="16">
        <v>2025</v>
      </c>
      <c r="AO2" s="16">
        <v>2026</v>
      </c>
      <c r="AP2" s="16">
        <v>2027</v>
      </c>
    </row>
    <row r="3" spans="1:386" s="17" customFormat="1" x14ac:dyDescent="0.25">
      <c r="A3" s="5"/>
      <c r="B3" s="5" t="s">
        <v>74</v>
      </c>
      <c r="C3" s="17">
        <v>1267.9829999999999</v>
      </c>
      <c r="D3" s="17">
        <v>1222.1690000000001</v>
      </c>
      <c r="E3" s="17">
        <v>1149.402</v>
      </c>
      <c r="F3" s="17">
        <v>1598.5509999999999</v>
      </c>
      <c r="G3" s="17">
        <v>1295.796</v>
      </c>
      <c r="H3" s="17">
        <v>1252.414</v>
      </c>
      <c r="I3" s="17">
        <v>1167.9880000000001</v>
      </c>
      <c r="J3" s="17">
        <v>1606.982</v>
      </c>
      <c r="K3" s="17">
        <v>1439.1489999999999</v>
      </c>
      <c r="L3" s="17">
        <v>1644.1969999999999</v>
      </c>
      <c r="M3" s="17">
        <v>1377.925</v>
      </c>
      <c r="N3" s="17">
        <v>1737.915</v>
      </c>
      <c r="O3" s="17">
        <v>1625.5519999999999</v>
      </c>
      <c r="P3" s="17">
        <v>1457.374</v>
      </c>
      <c r="Q3" s="17">
        <v>1335.6559999999999</v>
      </c>
      <c r="R3" s="17">
        <v>1732.021</v>
      </c>
      <c r="S3" s="17">
        <v>1374.7139999999999</v>
      </c>
      <c r="T3" s="17">
        <v>1346.221</v>
      </c>
      <c r="U3" s="17">
        <v>1204.2809999999999</v>
      </c>
      <c r="V3" s="17">
        <v>1543.1130000000001</v>
      </c>
      <c r="W3" s="17">
        <v>1123.577</v>
      </c>
      <c r="X3" s="17">
        <v>1139.3610000000001</v>
      </c>
      <c r="Y3" s="17">
        <v>1026.6769999999999</v>
      </c>
      <c r="Z3" s="17">
        <f>V3*0.92</f>
        <v>1419.6639600000001</v>
      </c>
      <c r="AG3" s="17">
        <f>SUM(C3:F3)</f>
        <v>5238.1049999999996</v>
      </c>
      <c r="AH3" s="17">
        <f>SUM(G3:J3)</f>
        <v>5323.18</v>
      </c>
      <c r="AI3" s="17">
        <f>SUM(K3:N3)</f>
        <v>6199.1859999999997</v>
      </c>
      <c r="AJ3" s="17">
        <f>SUM(O3:R3)</f>
        <v>6150.6030000000001</v>
      </c>
      <c r="AK3" s="17">
        <f>SUM(S3:V3)</f>
        <v>5468.3289999999997</v>
      </c>
      <c r="AL3" s="17">
        <f>SUM(W3:Z3)</f>
        <v>4709.2789599999996</v>
      </c>
      <c r="AM3" s="17">
        <f>AL3*0.95</f>
        <v>4473.8150119999991</v>
      </c>
      <c r="AN3" s="17">
        <f>AM3*1</f>
        <v>4473.8150119999991</v>
      </c>
      <c r="AO3" s="17">
        <f t="shared" ref="AN3:AP3" si="0">AN3*1.01</f>
        <v>4518.5531621199989</v>
      </c>
      <c r="AP3" s="17">
        <f t="shared" si="0"/>
        <v>4563.7386937411993</v>
      </c>
    </row>
    <row r="4" spans="1:386" x14ac:dyDescent="0.25">
      <c r="B4" s="1" t="s">
        <v>22</v>
      </c>
      <c r="C4" s="2">
        <v>756.02499999999998</v>
      </c>
      <c r="D4" s="2">
        <v>730.75</v>
      </c>
      <c r="E4" s="2">
        <v>690.22799999999995</v>
      </c>
      <c r="F4" s="2">
        <f>3116.21-SUM(C4:E4)</f>
        <v>939.20699999999988</v>
      </c>
      <c r="G4" s="2">
        <v>776.74900000000002</v>
      </c>
      <c r="H4" s="2">
        <v>754.18399999999997</v>
      </c>
      <c r="I4" s="2">
        <v>704.60199999999998</v>
      </c>
      <c r="J4" s="2">
        <f>3208.498-SUM(G4:I4)</f>
        <v>972.96300000000019</v>
      </c>
      <c r="K4" s="2">
        <v>868.39300000000003</v>
      </c>
      <c r="L4" s="2">
        <v>960.63300000000004</v>
      </c>
      <c r="M4" s="2">
        <v>820.03200000000004</v>
      </c>
      <c r="N4" s="2">
        <f>3701.8-SUM(K4:M4)</f>
        <v>1052.7420000000002</v>
      </c>
      <c r="O4" s="2">
        <v>971.30499999999995</v>
      </c>
      <c r="P4" s="2">
        <v>879.577</v>
      </c>
      <c r="Q4" s="2">
        <v>816.47500000000002</v>
      </c>
      <c r="R4" s="2">
        <f>3554.829-SUM(O4:Q4)</f>
        <v>887.47200000000021</v>
      </c>
      <c r="S4" s="2">
        <v>870.12</v>
      </c>
      <c r="T4" s="2">
        <v>907.673</v>
      </c>
      <c r="U4" s="2">
        <v>794.82100000000003</v>
      </c>
      <c r="V4" s="2">
        <f>3554.829-SUM(S4:U4)</f>
        <v>982.21500000000015</v>
      </c>
      <c r="W4" s="2">
        <v>731.10799999999995</v>
      </c>
      <c r="X4" s="2">
        <v>763.47699999999998</v>
      </c>
      <c r="Y4" s="2">
        <v>652.86199999999997</v>
      </c>
      <c r="Z4" s="2">
        <f>V4*0.9</f>
        <v>883.99350000000015</v>
      </c>
      <c r="AG4" s="2">
        <f>SUM(C4:F4)</f>
        <v>3116.21</v>
      </c>
      <c r="AH4" s="2">
        <f>SUM(G4:J4)</f>
        <v>3208.498</v>
      </c>
      <c r="AI4" s="31">
        <f>SUM(K4:N4)</f>
        <v>3701.8</v>
      </c>
      <c r="AJ4" s="31">
        <f>SUM(O4:R4)</f>
        <v>3554.8290000000002</v>
      </c>
      <c r="AK4" s="2">
        <f>SUM(S4:V4)</f>
        <v>3554.8290000000002</v>
      </c>
      <c r="AL4" s="10">
        <f>SUM(W4:Z4)</f>
        <v>3031.4405000000002</v>
      </c>
      <c r="AM4" s="31">
        <f>AL4*0.9</f>
        <v>2728.2964500000003</v>
      </c>
      <c r="AN4" s="31">
        <f>AM4*0.97</f>
        <v>2646.4475565000002</v>
      </c>
      <c r="AO4" s="31">
        <f>AN4*1</f>
        <v>2646.4475565000002</v>
      </c>
      <c r="AP4" s="31">
        <f>AO4*1</f>
        <v>2646.4475565000002</v>
      </c>
    </row>
    <row r="5" spans="1:386" s="17" customFormat="1" x14ac:dyDescent="0.25">
      <c r="A5" s="5"/>
      <c r="B5" s="5" t="s">
        <v>23</v>
      </c>
      <c r="C5" s="17">
        <f t="shared" ref="C5:X5" si="1">+C3-C4</f>
        <v>511.95799999999997</v>
      </c>
      <c r="D5" s="17">
        <f t="shared" si="1"/>
        <v>491.4190000000001</v>
      </c>
      <c r="E5" s="17">
        <f t="shared" si="1"/>
        <v>459.17400000000009</v>
      </c>
      <c r="F5" s="17">
        <f t="shared" si="1"/>
        <v>659.34400000000005</v>
      </c>
      <c r="G5" s="17">
        <f t="shared" si="1"/>
        <v>519.04700000000003</v>
      </c>
      <c r="H5" s="17">
        <f t="shared" si="1"/>
        <v>498.23</v>
      </c>
      <c r="I5" s="17">
        <f t="shared" si="1"/>
        <v>463.38600000000008</v>
      </c>
      <c r="J5" s="17">
        <f t="shared" si="1"/>
        <v>634.01899999999978</v>
      </c>
      <c r="K5" s="17">
        <f t="shared" si="1"/>
        <v>570.75599999999986</v>
      </c>
      <c r="L5" s="17">
        <f t="shared" si="1"/>
        <v>683.56399999999985</v>
      </c>
      <c r="M5" s="17">
        <f t="shared" si="1"/>
        <v>557.89299999999992</v>
      </c>
      <c r="N5" s="17">
        <f t="shared" si="1"/>
        <v>685.17299999999977</v>
      </c>
      <c r="O5" s="17">
        <f t="shared" si="1"/>
        <v>654.24699999999996</v>
      </c>
      <c r="P5" s="17">
        <f t="shared" si="1"/>
        <v>577.79700000000003</v>
      </c>
      <c r="Q5" s="17">
        <f t="shared" si="1"/>
        <v>519.18099999999993</v>
      </c>
      <c r="R5" s="17">
        <v>646.08199999999999</v>
      </c>
      <c r="S5" s="17">
        <f t="shared" si="1"/>
        <v>504.59399999999994</v>
      </c>
      <c r="T5" s="17">
        <f t="shared" si="1"/>
        <v>438.548</v>
      </c>
      <c r="U5" s="17">
        <f t="shared" si="1"/>
        <v>409.45999999999992</v>
      </c>
      <c r="V5" s="17">
        <f t="shared" si="1"/>
        <v>560.89799999999991</v>
      </c>
      <c r="W5" s="17">
        <f t="shared" si="1"/>
        <v>392.46900000000005</v>
      </c>
      <c r="X5" s="17">
        <f t="shared" si="1"/>
        <v>375.88400000000013</v>
      </c>
      <c r="Y5" s="17">
        <f>+Y3-Y4</f>
        <v>373.81499999999994</v>
      </c>
      <c r="Z5" s="17">
        <f t="shared" ref="Z5" si="2">+Z3-Z4</f>
        <v>535.67045999999993</v>
      </c>
      <c r="AG5" s="17">
        <f t="shared" ref="AG5:AP5" si="3">+AG3-AG4</f>
        <v>2121.8949999999995</v>
      </c>
      <c r="AH5" s="17">
        <f t="shared" si="3"/>
        <v>2114.6820000000002</v>
      </c>
      <c r="AI5" s="17">
        <f t="shared" si="3"/>
        <v>2497.3859999999995</v>
      </c>
      <c r="AJ5" s="17">
        <f t="shared" si="3"/>
        <v>2595.7739999999999</v>
      </c>
      <c r="AK5" s="17">
        <f>+AK3-AK4</f>
        <v>1913.4999999999995</v>
      </c>
      <c r="AL5" s="17">
        <f t="shared" si="3"/>
        <v>1677.8384599999995</v>
      </c>
      <c r="AM5" s="17">
        <f t="shared" si="3"/>
        <v>1745.5185619999988</v>
      </c>
      <c r="AN5" s="17">
        <f t="shared" si="3"/>
        <v>1827.3674554999989</v>
      </c>
      <c r="AO5" s="17">
        <f t="shared" si="3"/>
        <v>1872.1056056199986</v>
      </c>
      <c r="AP5" s="17">
        <f t="shared" si="3"/>
        <v>1917.2911372411991</v>
      </c>
    </row>
    <row r="6" spans="1:386" x14ac:dyDescent="0.25">
      <c r="B6" s="23" t="s">
        <v>75</v>
      </c>
      <c r="C6" s="2">
        <v>438.09199999999998</v>
      </c>
      <c r="D6" s="2">
        <v>426.60500000000002</v>
      </c>
      <c r="E6" s="2">
        <v>436.82600000000002</v>
      </c>
      <c r="F6" s="2">
        <v>476.89299999999997</v>
      </c>
      <c r="G6" s="2">
        <v>460.60500000000002</v>
      </c>
      <c r="H6" s="2">
        <v>455.02600000000001</v>
      </c>
      <c r="I6" s="2">
        <v>436.714</v>
      </c>
      <c r="J6" s="2">
        <v>471.06400000000002</v>
      </c>
      <c r="K6" s="2">
        <v>458.63099999999997</v>
      </c>
      <c r="L6" s="2">
        <v>504</v>
      </c>
      <c r="M6" s="2">
        <v>482.30700000000002</v>
      </c>
      <c r="N6" s="2">
        <v>520.61699999999996</v>
      </c>
      <c r="O6" s="2">
        <v>497.41800000000001</v>
      </c>
      <c r="P6" s="2">
        <v>488.65800000000002</v>
      </c>
      <c r="Q6" s="2">
        <v>487.37799999999999</v>
      </c>
      <c r="R6" s="2">
        <v>541.22799999999995</v>
      </c>
      <c r="S6" s="2">
        <v>480.779</v>
      </c>
      <c r="T6" s="2">
        <v>510.44400000000002</v>
      </c>
      <c r="U6" s="2">
        <v>503.01600000000002</v>
      </c>
      <c r="V6" s="2">
        <v>525.90499999999997</v>
      </c>
      <c r="W6" s="2">
        <v>617.06600000000003</v>
      </c>
      <c r="X6" s="2">
        <v>456.68900000000002</v>
      </c>
      <c r="Y6" s="2">
        <v>525.73</v>
      </c>
      <c r="Z6" s="2">
        <f>V6*0.92</f>
        <v>483.83260000000001</v>
      </c>
      <c r="AG6" s="2">
        <f>SUM(C6:F6)</f>
        <v>1778.4160000000002</v>
      </c>
      <c r="AH6" s="2">
        <f>SUM(G6:J6)</f>
        <v>1823.4090000000001</v>
      </c>
      <c r="AI6" s="31">
        <f>SUM(K6:N6)</f>
        <v>1965.5550000000001</v>
      </c>
      <c r="AJ6" s="31">
        <f>SUM(O6:R6)</f>
        <v>2014.6819999999998</v>
      </c>
      <c r="AK6" s="2">
        <f>SUM(S6:V6)</f>
        <v>2020.144</v>
      </c>
      <c r="AL6" s="10">
        <f>SUM(W6:Z6)</f>
        <v>2083.3176000000003</v>
      </c>
      <c r="AM6" s="31">
        <f t="shared" ref="AM6:AP6" si="4">AL6*0.99</f>
        <v>2062.4844240000002</v>
      </c>
      <c r="AN6" s="31">
        <f>AM6*1</f>
        <v>2062.4844240000002</v>
      </c>
      <c r="AO6" s="31">
        <f>AN6*1.01</f>
        <v>2083.1092682400003</v>
      </c>
      <c r="AP6" s="31">
        <f>AO6*1.01</f>
        <v>2103.9403609224005</v>
      </c>
    </row>
    <row r="7" spans="1:386" s="17" customFormat="1" x14ac:dyDescent="0.25">
      <c r="A7" s="5"/>
      <c r="B7" s="5" t="s">
        <v>24</v>
      </c>
      <c r="C7" s="17">
        <f t="shared" ref="C7:R7" si="5">C6</f>
        <v>438.09199999999998</v>
      </c>
      <c r="D7" s="17">
        <f t="shared" si="5"/>
        <v>426.60500000000002</v>
      </c>
      <c r="E7" s="17">
        <f t="shared" si="5"/>
        <v>436.82600000000002</v>
      </c>
      <c r="F7" s="17">
        <f t="shared" si="5"/>
        <v>476.89299999999997</v>
      </c>
      <c r="G7" s="17">
        <f t="shared" si="5"/>
        <v>460.60500000000002</v>
      </c>
      <c r="H7" s="17">
        <f t="shared" si="5"/>
        <v>455.02600000000001</v>
      </c>
      <c r="I7" s="17">
        <f t="shared" si="5"/>
        <v>436.714</v>
      </c>
      <c r="J7" s="17">
        <f t="shared" si="5"/>
        <v>471.06400000000002</v>
      </c>
      <c r="K7" s="17">
        <f t="shared" si="5"/>
        <v>458.63099999999997</v>
      </c>
      <c r="L7" s="17">
        <f t="shared" si="5"/>
        <v>504</v>
      </c>
      <c r="M7" s="17">
        <f>M6</f>
        <v>482.30700000000002</v>
      </c>
      <c r="N7" s="17">
        <f t="shared" si="5"/>
        <v>520.61699999999996</v>
      </c>
      <c r="O7" s="17">
        <f t="shared" si="5"/>
        <v>497.41800000000001</v>
      </c>
      <c r="P7" s="17">
        <f>P6</f>
        <v>488.65800000000002</v>
      </c>
      <c r="Q7" s="17">
        <f>Q6</f>
        <v>487.37799999999999</v>
      </c>
      <c r="R7" s="17">
        <f t="shared" si="5"/>
        <v>541.22799999999995</v>
      </c>
      <c r="S7" s="17">
        <f>S6</f>
        <v>480.779</v>
      </c>
      <c r="T7" s="17">
        <f>T6</f>
        <v>510.44400000000002</v>
      </c>
      <c r="U7" s="17">
        <f>U6</f>
        <v>503.01600000000002</v>
      </c>
      <c r="V7" s="17">
        <f>V6</f>
        <v>525.90499999999997</v>
      </c>
      <c r="W7" s="17">
        <f>W6</f>
        <v>617.06600000000003</v>
      </c>
      <c r="X7" s="17">
        <f>X6</f>
        <v>456.68900000000002</v>
      </c>
      <c r="Y7" s="17">
        <f>Y6</f>
        <v>525.73</v>
      </c>
      <c r="Z7" s="17">
        <f t="shared" ref="Z7" si="6">Z6</f>
        <v>483.83260000000001</v>
      </c>
      <c r="AG7" s="17">
        <f t="shared" ref="AG7:AK7" si="7">AG6</f>
        <v>1778.4160000000002</v>
      </c>
      <c r="AH7" s="17">
        <f t="shared" si="7"/>
        <v>1823.4090000000001</v>
      </c>
      <c r="AI7" s="17">
        <f t="shared" si="7"/>
        <v>1965.5550000000001</v>
      </c>
      <c r="AJ7" s="17">
        <f t="shared" si="7"/>
        <v>2014.6819999999998</v>
      </c>
      <c r="AK7" s="17">
        <f t="shared" si="7"/>
        <v>2020.144</v>
      </c>
      <c r="AL7" s="17">
        <f>AL6</f>
        <v>2083.3176000000003</v>
      </c>
      <c r="AM7" s="17">
        <f t="shared" ref="AM7:AP7" si="8">AM6</f>
        <v>2062.4844240000002</v>
      </c>
      <c r="AN7" s="17">
        <f t="shared" si="8"/>
        <v>2062.4844240000002</v>
      </c>
      <c r="AO7" s="17">
        <f t="shared" si="8"/>
        <v>2083.1092682400003</v>
      </c>
      <c r="AP7" s="17">
        <f t="shared" si="8"/>
        <v>2103.9403609224005</v>
      </c>
    </row>
    <row r="8" spans="1:386" s="17" customFormat="1" x14ac:dyDescent="0.25">
      <c r="A8" s="5"/>
      <c r="B8" s="5" t="s">
        <v>25</v>
      </c>
      <c r="C8" s="17">
        <f t="shared" ref="C8:Q8" si="9">+C5-C7</f>
        <v>73.865999999999985</v>
      </c>
      <c r="D8" s="17">
        <f t="shared" si="9"/>
        <v>64.814000000000078</v>
      </c>
      <c r="E8" s="17">
        <f t="shared" si="9"/>
        <v>22.34800000000007</v>
      </c>
      <c r="F8" s="17">
        <f t="shared" si="9"/>
        <v>182.45100000000008</v>
      </c>
      <c r="G8" s="17">
        <f t="shared" si="9"/>
        <v>58.442000000000007</v>
      </c>
      <c r="H8" s="17">
        <f t="shared" si="9"/>
        <v>43.204000000000008</v>
      </c>
      <c r="I8" s="17">
        <f t="shared" si="9"/>
        <v>26.672000000000082</v>
      </c>
      <c r="J8" s="17">
        <f t="shared" si="9"/>
        <v>162.95499999999976</v>
      </c>
      <c r="K8" s="17">
        <f t="shared" si="9"/>
        <v>112.12499999999989</v>
      </c>
      <c r="L8" s="17">
        <f t="shared" si="9"/>
        <v>179.56399999999985</v>
      </c>
      <c r="M8" s="17">
        <f>+M5-M7</f>
        <v>75.585999999999899</v>
      </c>
      <c r="N8" s="17">
        <f>+N5-N7</f>
        <v>164.55599999999981</v>
      </c>
      <c r="O8" s="17">
        <f t="shared" si="9"/>
        <v>156.82899999999995</v>
      </c>
      <c r="P8" s="17">
        <f t="shared" si="9"/>
        <v>89.13900000000001</v>
      </c>
      <c r="Q8" s="17">
        <f t="shared" si="9"/>
        <v>31.80299999999994</v>
      </c>
      <c r="R8" s="17">
        <f>+R5-R7</f>
        <v>104.85400000000004</v>
      </c>
      <c r="S8" s="17">
        <f>+S5-S7</f>
        <v>23.814999999999941</v>
      </c>
      <c r="T8" s="17">
        <f>+T5-T7</f>
        <v>-71.896000000000015</v>
      </c>
      <c r="U8" s="17">
        <f>+U5-U7</f>
        <v>-93.556000000000097</v>
      </c>
      <c r="V8" s="17">
        <f>+V5-V7</f>
        <v>34.992999999999938</v>
      </c>
      <c r="W8" s="17">
        <f>+W5-W7</f>
        <v>-224.59699999999998</v>
      </c>
      <c r="X8" s="17">
        <f>+X5-X7</f>
        <v>-80.804999999999893</v>
      </c>
      <c r="Y8" s="17">
        <f>+Y5-Y7</f>
        <v>-151.91500000000008</v>
      </c>
      <c r="Z8" s="17">
        <f t="shared" ref="Z8" si="10">+Z5-Z7</f>
        <v>51.837859999999921</v>
      </c>
      <c r="AG8" s="17">
        <f t="shared" ref="AG8:AK8" si="11">+AG5-AG7</f>
        <v>343.47899999999936</v>
      </c>
      <c r="AH8" s="17">
        <f t="shared" si="11"/>
        <v>291.27300000000014</v>
      </c>
      <c r="AI8" s="17">
        <f t="shared" si="11"/>
        <v>531.83099999999945</v>
      </c>
      <c r="AJ8" s="17">
        <f t="shared" si="11"/>
        <v>581.0920000000001</v>
      </c>
      <c r="AK8" s="17">
        <f t="shared" si="11"/>
        <v>-106.64400000000046</v>
      </c>
      <c r="AL8" s="17">
        <f>+AL5-AL7</f>
        <v>-405.47914000000083</v>
      </c>
      <c r="AM8" s="17">
        <f t="shared" ref="AM8:AP8" si="12">+AM5-AM7</f>
        <v>-316.96586200000138</v>
      </c>
      <c r="AN8" s="17">
        <f t="shared" si="12"/>
        <v>-235.11696850000135</v>
      </c>
      <c r="AO8" s="17">
        <f t="shared" si="12"/>
        <v>-211.00366262000171</v>
      </c>
      <c r="AP8" s="17">
        <f t="shared" si="12"/>
        <v>-186.64922368120142</v>
      </c>
    </row>
    <row r="9" spans="1:386" x14ac:dyDescent="0.25">
      <c r="B9" s="21" t="s">
        <v>66</v>
      </c>
      <c r="C9" s="2">
        <v>1.5760000000000001</v>
      </c>
      <c r="D9" s="2">
        <v>2.407</v>
      </c>
      <c r="E9" s="2">
        <v>3.1379999999999999</v>
      </c>
      <c r="F9" s="2">
        <v>3.2170000000000001</v>
      </c>
      <c r="G9" s="2">
        <v>3.7330000000000001</v>
      </c>
      <c r="H9" s="2">
        <v>4.5650000000000004</v>
      </c>
      <c r="I9" s="2">
        <v>5.359</v>
      </c>
      <c r="J9" s="2">
        <v>3.17</v>
      </c>
      <c r="K9" s="2">
        <v>3.3220000000000001</v>
      </c>
      <c r="L9" s="2">
        <v>2.548</v>
      </c>
      <c r="M9" s="2">
        <v>2.5859999999999999</v>
      </c>
      <c r="N9" s="2">
        <v>2.5750000000000002</v>
      </c>
      <c r="O9" s="2">
        <v>2.5680000000000001</v>
      </c>
      <c r="P9" s="2">
        <v>2.2959999999999998</v>
      </c>
      <c r="Q9" s="2">
        <v>2.2839999999999998</v>
      </c>
      <c r="R9" s="2">
        <v>2.133</v>
      </c>
      <c r="S9" s="2">
        <v>2.75</v>
      </c>
      <c r="T9" s="2">
        <v>3.9039999999999999</v>
      </c>
      <c r="U9" s="2">
        <v>6.2560000000000002</v>
      </c>
      <c r="V9" s="2">
        <v>7.37</v>
      </c>
      <c r="W9" s="2">
        <v>9.1489999999999991</v>
      </c>
      <c r="X9" s="2">
        <v>11.175000000000001</v>
      </c>
      <c r="Y9" s="2">
        <v>13.592000000000001</v>
      </c>
      <c r="Z9" s="2">
        <f>V9*1.5</f>
        <v>11.055</v>
      </c>
      <c r="AG9" s="2">
        <f t="shared" ref="AG9:AG10" si="13">SUM(C9:F9)</f>
        <v>10.338000000000001</v>
      </c>
      <c r="AH9" s="2">
        <f t="shared" ref="AH9:AH10" si="14">SUM(G9:J9)</f>
        <v>16.826999999999998</v>
      </c>
      <c r="AI9" s="31">
        <f t="shared" ref="AI9:AI10" si="15">SUM(K9:N9)</f>
        <v>11.030999999999999</v>
      </c>
      <c r="AJ9" s="31">
        <f>SUM(O9:R9)</f>
        <v>9.2809999999999988</v>
      </c>
      <c r="AK9" s="2">
        <f>SUM(S9:V9)</f>
        <v>20.28</v>
      </c>
      <c r="AL9" s="10">
        <f t="shared" ref="AL9:AL10" si="16">SUM(W9:Z9)</f>
        <v>44.970999999999997</v>
      </c>
      <c r="AM9" s="31">
        <f t="shared" ref="AM9:AP9" si="17">AL9*0.99</f>
        <v>44.521289999999993</v>
      </c>
      <c r="AN9" s="31">
        <f t="shared" si="17"/>
        <v>44.076077099999992</v>
      </c>
      <c r="AO9" s="31">
        <f t="shared" si="17"/>
        <v>43.635316328999991</v>
      </c>
      <c r="AP9" s="31">
        <f t="shared" si="17"/>
        <v>43.198963165709991</v>
      </c>
    </row>
    <row r="10" spans="1:386" x14ac:dyDescent="0.25">
      <c r="B10" s="23" t="s">
        <v>76</v>
      </c>
      <c r="C10" s="2">
        <v>0.50800000000000001</v>
      </c>
      <c r="D10" s="2">
        <v>0.14899999999999999</v>
      </c>
      <c r="E10" s="2">
        <v>5.8999999999999997E-2</v>
      </c>
      <c r="F10" s="2">
        <v>-1.274</v>
      </c>
      <c r="G10" s="2">
        <v>0.91</v>
      </c>
      <c r="H10" s="2">
        <v>-0.78900000000000003</v>
      </c>
      <c r="I10" s="2">
        <v>-0.32200000000000001</v>
      </c>
      <c r="J10" s="2">
        <v>-0.25</v>
      </c>
      <c r="K10" s="2">
        <v>3.3170000000000002</v>
      </c>
      <c r="L10" s="2">
        <v>1.357</v>
      </c>
      <c r="M10" s="2">
        <v>-0.48399999999999999</v>
      </c>
      <c r="N10" s="2">
        <v>1.5329999999999999</v>
      </c>
      <c r="O10" s="2">
        <v>0.96</v>
      </c>
      <c r="P10" s="2">
        <v>-0.13300000000000001</v>
      </c>
      <c r="Q10" s="2">
        <v>0.28499999999999998</v>
      </c>
      <c r="R10" s="2">
        <v>0.22700000000000001</v>
      </c>
      <c r="S10" s="2">
        <v>1.04</v>
      </c>
      <c r="T10" s="2">
        <v>0.25700000000000001</v>
      </c>
      <c r="U10" s="2">
        <v>62</v>
      </c>
      <c r="V10" s="2">
        <v>0.04</v>
      </c>
      <c r="W10" s="2">
        <v>5.0000000000000001E-3</v>
      </c>
      <c r="X10" s="2">
        <v>0</v>
      </c>
      <c r="Y10" s="2">
        <v>0</v>
      </c>
      <c r="Z10" s="2">
        <f>V10</f>
        <v>0.04</v>
      </c>
      <c r="AG10" s="2">
        <f t="shared" si="13"/>
        <v>-0.55800000000000005</v>
      </c>
      <c r="AH10" s="2">
        <f t="shared" si="14"/>
        <v>-0.45100000000000001</v>
      </c>
      <c r="AI10" s="31">
        <f t="shared" si="15"/>
        <v>5.7230000000000008</v>
      </c>
      <c r="AJ10" s="31">
        <f>SUM(O10:R10)</f>
        <v>1.339</v>
      </c>
      <c r="AK10" s="2">
        <f>SUM(S10:V10)</f>
        <v>63.336999999999996</v>
      </c>
      <c r="AL10" s="10">
        <f t="shared" si="16"/>
        <v>4.4999999999999998E-2</v>
      </c>
      <c r="AM10" s="31">
        <f t="shared" ref="AM10:AP10" si="18">AL10*0.99</f>
        <v>4.4549999999999999E-2</v>
      </c>
      <c r="AN10" s="31">
        <f t="shared" si="18"/>
        <v>4.4104499999999998E-2</v>
      </c>
      <c r="AO10" s="31">
        <f t="shared" si="18"/>
        <v>4.3663454999999997E-2</v>
      </c>
      <c r="AP10" s="31">
        <f t="shared" si="18"/>
        <v>4.3226820449999995E-2</v>
      </c>
    </row>
    <row r="11" spans="1:386" x14ac:dyDescent="0.25">
      <c r="B11" s="1" t="s">
        <v>26</v>
      </c>
      <c r="C11" s="2">
        <f t="shared" ref="C11:R11" si="19">+C8-C9+C10</f>
        <v>72.797999999999988</v>
      </c>
      <c r="D11" s="2">
        <f t="shared" si="19"/>
        <v>62.556000000000083</v>
      </c>
      <c r="E11" s="2">
        <f t="shared" si="19"/>
        <v>19.269000000000073</v>
      </c>
      <c r="F11" s="2">
        <f t="shared" si="19"/>
        <v>177.96000000000006</v>
      </c>
      <c r="G11" s="2">
        <f t="shared" si="19"/>
        <v>55.619000000000007</v>
      </c>
      <c r="H11" s="2">
        <f t="shared" si="19"/>
        <v>37.850000000000009</v>
      </c>
      <c r="I11" s="2">
        <f t="shared" si="19"/>
        <v>20.991000000000081</v>
      </c>
      <c r="J11" s="2">
        <f t="shared" si="19"/>
        <v>159.53499999999977</v>
      </c>
      <c r="K11" s="2">
        <f t="shared" si="19"/>
        <v>112.11999999999989</v>
      </c>
      <c r="L11" s="2">
        <f t="shared" si="19"/>
        <v>178.37299999999985</v>
      </c>
      <c r="M11" s="2">
        <f>+M8-M9+M10</f>
        <v>72.515999999999906</v>
      </c>
      <c r="N11" s="2">
        <f t="shared" si="19"/>
        <v>163.51399999999981</v>
      </c>
      <c r="O11" s="2">
        <f t="shared" si="19"/>
        <v>155.22099999999995</v>
      </c>
      <c r="P11" s="2">
        <f t="shared" si="19"/>
        <v>86.710000000000008</v>
      </c>
      <c r="Q11" s="2">
        <f t="shared" si="19"/>
        <v>29.803999999999942</v>
      </c>
      <c r="R11" s="2">
        <f t="shared" si="19"/>
        <v>102.94800000000005</v>
      </c>
      <c r="S11" s="2">
        <f>+S8-S9+S10</f>
        <v>22.10499999999994</v>
      </c>
      <c r="T11" s="2">
        <f>+T8-T9+T10</f>
        <v>-75.543000000000006</v>
      </c>
      <c r="U11" s="2">
        <f>+U8-U9+U10</f>
        <v>-37.812000000000097</v>
      </c>
      <c r="V11" s="2">
        <f>+V8-V9+V10</f>
        <v>27.662999999999936</v>
      </c>
      <c r="W11" s="2">
        <f>+W8-W9+W10</f>
        <v>-233.74099999999999</v>
      </c>
      <c r="X11" s="2">
        <f>+X8-X9+X10</f>
        <v>-91.97999999999989</v>
      </c>
      <c r="Y11" s="2">
        <f>+Y8-Y9+Y10</f>
        <v>-165.50700000000009</v>
      </c>
      <c r="Z11" s="2">
        <f t="shared" ref="Z11" si="20">+Z8-Z9+Z10</f>
        <v>40.82285999999992</v>
      </c>
      <c r="AG11" s="2">
        <f t="shared" ref="AG11:AJ11" si="21">+AG8-AG9-AG10</f>
        <v>333.69899999999933</v>
      </c>
      <c r="AH11" s="2">
        <f t="shared" si="21"/>
        <v>274.89700000000016</v>
      </c>
      <c r="AI11" s="2">
        <f t="shared" si="21"/>
        <v>515.07699999999954</v>
      </c>
      <c r="AJ11" s="2">
        <f t="shared" si="21"/>
        <v>570.47200000000009</v>
      </c>
      <c r="AK11" s="2">
        <f>+AK8-AK9-AK10</f>
        <v>-190.26100000000045</v>
      </c>
      <c r="AL11" s="2">
        <f>+AL8-AL9-AL10</f>
        <v>-450.49514000000084</v>
      </c>
      <c r="AM11" s="2">
        <f t="shared" ref="AM11:AP11" si="22">+AM8-AM9-AM10</f>
        <v>-361.53170200000142</v>
      </c>
      <c r="AN11" s="2">
        <f t="shared" si="22"/>
        <v>-279.23715010000137</v>
      </c>
      <c r="AO11" s="2">
        <f t="shared" si="22"/>
        <v>-254.68264240400168</v>
      </c>
      <c r="AP11" s="2">
        <f t="shared" si="22"/>
        <v>-229.89141366736141</v>
      </c>
    </row>
    <row r="12" spans="1:386" x14ac:dyDescent="0.25">
      <c r="B12" s="1" t="s">
        <v>27</v>
      </c>
      <c r="C12" s="2">
        <v>13.03</v>
      </c>
      <c r="D12" s="2">
        <v>7.8959999999999999</v>
      </c>
      <c r="E12" s="2">
        <v>-6.0860000000000003</v>
      </c>
      <c r="F12" s="2">
        <v>35.878999999999998</v>
      </c>
      <c r="G12" s="2">
        <v>7.282</v>
      </c>
      <c r="H12" s="2">
        <v>1.649</v>
      </c>
      <c r="I12" s="2">
        <v>37.790999999999997</v>
      </c>
      <c r="J12" s="2">
        <v>28.361999999999998</v>
      </c>
      <c r="K12" s="2">
        <v>18.472999999999999</v>
      </c>
      <c r="L12" s="2">
        <v>155.47999999999999</v>
      </c>
      <c r="M12" s="2">
        <v>9.52</v>
      </c>
      <c r="N12" s="2">
        <v>31.942</v>
      </c>
      <c r="O12" s="2">
        <v>26.381</v>
      </c>
      <c r="P12" s="2">
        <v>13.714</v>
      </c>
      <c r="Q12" s="2">
        <v>-1.796</v>
      </c>
      <c r="R12" s="2">
        <v>15.734</v>
      </c>
      <c r="S12" s="2">
        <v>-4.1689999999999996</v>
      </c>
      <c r="T12" s="31">
        <v>-28.59</v>
      </c>
      <c r="U12" s="2">
        <v>-33.991999999999997</v>
      </c>
      <c r="V12" s="2">
        <v>-2.9580000000000002</v>
      </c>
      <c r="W12" s="2">
        <v>-64.25</v>
      </c>
      <c r="X12" s="2">
        <v>116.575</v>
      </c>
      <c r="Y12" s="2">
        <v>1.347</v>
      </c>
      <c r="Z12" s="2">
        <f>0.21*Z11</f>
        <v>8.572800599999983</v>
      </c>
      <c r="AG12" s="2">
        <f>SUM(C12:F12)</f>
        <v>50.718999999999994</v>
      </c>
      <c r="AH12" s="2">
        <f>SUM(G12:J12)</f>
        <v>75.083999999999989</v>
      </c>
      <c r="AI12" s="31">
        <f>SUM(K12:N12)</f>
        <v>215.41499999999999</v>
      </c>
      <c r="AJ12" s="31">
        <f>SUM(O12:R12)</f>
        <v>54.033000000000001</v>
      </c>
      <c r="AK12" s="2">
        <f>SUM(S12:V12)</f>
        <v>-69.709000000000003</v>
      </c>
      <c r="AL12" s="10">
        <f>SUM(W12:Z12)</f>
        <v>62.244800599999991</v>
      </c>
      <c r="AM12" s="10">
        <f>0.21*AM11</f>
        <v>-75.921657420000301</v>
      </c>
      <c r="AN12" s="10">
        <f t="shared" ref="AN12:AP12" si="23">0.21*AN11</f>
        <v>-58.639801521000287</v>
      </c>
      <c r="AO12" s="10">
        <f t="shared" si="23"/>
        <v>-53.483354904840354</v>
      </c>
      <c r="AP12" s="10">
        <f t="shared" si="23"/>
        <v>-48.277196870145893</v>
      </c>
    </row>
    <row r="13" spans="1:386" s="17" customFormat="1" x14ac:dyDescent="0.25">
      <c r="A13" s="5"/>
      <c r="B13" s="5" t="s">
        <v>28</v>
      </c>
      <c r="C13" s="17">
        <f t="shared" ref="C13:P13" si="24">+C11-C12</f>
        <v>59.767999999999986</v>
      </c>
      <c r="D13" s="17">
        <f t="shared" si="24"/>
        <v>54.660000000000082</v>
      </c>
      <c r="E13" s="17">
        <f t="shared" si="24"/>
        <v>25.355000000000075</v>
      </c>
      <c r="F13" s="17">
        <f t="shared" si="24"/>
        <v>142.08100000000007</v>
      </c>
      <c r="G13" s="17">
        <f t="shared" si="24"/>
        <v>48.337000000000003</v>
      </c>
      <c r="H13" s="17">
        <f t="shared" si="24"/>
        <v>36.201000000000008</v>
      </c>
      <c r="I13" s="17">
        <f t="shared" si="24"/>
        <v>-16.799999999999915</v>
      </c>
      <c r="J13" s="17">
        <f t="shared" si="24"/>
        <v>131.17299999999977</v>
      </c>
      <c r="K13" s="17">
        <f t="shared" si="24"/>
        <v>93.646999999999892</v>
      </c>
      <c r="L13" s="17">
        <f t="shared" si="24"/>
        <v>22.892999999999859</v>
      </c>
      <c r="M13" s="17">
        <f>+M11-M12</f>
        <v>62.99599999999991</v>
      </c>
      <c r="N13" s="17">
        <f t="shared" si="24"/>
        <v>131.5719999999998</v>
      </c>
      <c r="O13" s="17">
        <f t="shared" si="24"/>
        <v>128.83999999999995</v>
      </c>
      <c r="P13" s="17">
        <f t="shared" si="24"/>
        <v>72.996000000000009</v>
      </c>
      <c r="Q13" s="17">
        <f t="shared" ref="Q13:R13" si="25">+Q11-Q12</f>
        <v>31.599999999999941</v>
      </c>
      <c r="R13" s="17">
        <f t="shared" si="25"/>
        <v>87.214000000000055</v>
      </c>
      <c r="S13" s="17">
        <f>+S11-S12</f>
        <v>26.273999999999941</v>
      </c>
      <c r="T13" s="17">
        <f>+T11-T12</f>
        <v>-46.953000000000003</v>
      </c>
      <c r="U13" s="17">
        <f>+U11-U12</f>
        <v>-3.8200000000000998</v>
      </c>
      <c r="V13" s="17">
        <f>+V11-V12</f>
        <v>30.620999999999938</v>
      </c>
      <c r="W13" s="17">
        <f>+W11-W12</f>
        <v>-169.49099999999999</v>
      </c>
      <c r="X13" s="17">
        <f>+X11-X12</f>
        <v>-208.55499999999989</v>
      </c>
      <c r="Y13" s="17">
        <f>+Y11-Y12</f>
        <v>-166.8540000000001</v>
      </c>
      <c r="Z13" s="17">
        <f t="shared" ref="Z13" si="26">+Z11-Z12</f>
        <v>32.250059399999941</v>
      </c>
      <c r="AG13" s="17">
        <f t="shared" ref="AG13:AI13" si="27">AG11-AG12</f>
        <v>282.97999999999934</v>
      </c>
      <c r="AH13" s="17">
        <f t="shared" si="27"/>
        <v>199.81300000000016</v>
      </c>
      <c r="AI13" s="17">
        <f t="shared" si="27"/>
        <v>299.66199999999958</v>
      </c>
      <c r="AJ13" s="17">
        <f>AJ11-AJ12</f>
        <v>516.43900000000008</v>
      </c>
      <c r="AK13" s="17">
        <f>AK11-AK12</f>
        <v>-120.55200000000045</v>
      </c>
      <c r="AL13" s="17">
        <f>AL11-AL12</f>
        <v>-512.73994060000086</v>
      </c>
      <c r="AM13" s="17">
        <f t="shared" ref="AM13:AP13" si="28">AM11-AM12</f>
        <v>-285.6100445800011</v>
      </c>
      <c r="AN13" s="17">
        <f t="shared" si="28"/>
        <v>-220.59734857900108</v>
      </c>
      <c r="AO13" s="17">
        <f t="shared" si="28"/>
        <v>-201.19928749916133</v>
      </c>
      <c r="AP13" s="17">
        <f t="shared" si="28"/>
        <v>-181.61421679721551</v>
      </c>
      <c r="AQ13" s="17">
        <f t="shared" ref="AQ13:DB13" si="29">AP13*(1+$AT$20)</f>
        <v>-179.79807462924336</v>
      </c>
      <c r="AR13" s="17">
        <f t="shared" si="29"/>
        <v>-178.00009388295092</v>
      </c>
      <c r="AS13" s="17">
        <f t="shared" si="29"/>
        <v>-176.2200929441214</v>
      </c>
      <c r="AT13" s="17">
        <f t="shared" si="29"/>
        <v>-174.4578920146802</v>
      </c>
      <c r="AU13" s="17">
        <f t="shared" si="29"/>
        <v>-172.71331309453339</v>
      </c>
      <c r="AV13" s="17">
        <f t="shared" si="29"/>
        <v>-170.98617996358806</v>
      </c>
      <c r="AW13" s="17">
        <f t="shared" si="29"/>
        <v>-169.27631816395217</v>
      </c>
      <c r="AX13" s="17">
        <f t="shared" si="29"/>
        <v>-167.58355498231265</v>
      </c>
      <c r="AY13" s="17">
        <f t="shared" si="29"/>
        <v>-165.90771943248953</v>
      </c>
      <c r="AZ13" s="17">
        <f t="shared" si="29"/>
        <v>-164.24864223816462</v>
      </c>
      <c r="BA13" s="17">
        <f t="shared" si="29"/>
        <v>-162.60615581578298</v>
      </c>
      <c r="BB13" s="17">
        <f t="shared" si="29"/>
        <v>-160.98009425762515</v>
      </c>
      <c r="BC13" s="17">
        <f t="shared" si="29"/>
        <v>-159.37029331504891</v>
      </c>
      <c r="BD13" s="17">
        <f t="shared" si="29"/>
        <v>-157.77659038189842</v>
      </c>
      <c r="BE13" s="17">
        <f t="shared" si="29"/>
        <v>-156.19882447807942</v>
      </c>
      <c r="BF13" s="17">
        <f t="shared" si="29"/>
        <v>-154.63683623329862</v>
      </c>
      <c r="BG13" s="17">
        <f t="shared" si="29"/>
        <v>-153.09046787096563</v>
      </c>
      <c r="BH13" s="17">
        <f t="shared" si="29"/>
        <v>-151.55956319225598</v>
      </c>
      <c r="BI13" s="17">
        <f t="shared" si="29"/>
        <v>-150.04396756033341</v>
      </c>
      <c r="BJ13" s="17">
        <f t="shared" si="29"/>
        <v>-148.54352788473008</v>
      </c>
      <c r="BK13" s="17">
        <f t="shared" si="29"/>
        <v>-147.05809260588279</v>
      </c>
      <c r="BL13" s="17">
        <f t="shared" si="29"/>
        <v>-145.58751167982396</v>
      </c>
      <c r="BM13" s="17">
        <f t="shared" si="29"/>
        <v>-144.13163656302572</v>
      </c>
      <c r="BN13" s="17">
        <f t="shared" si="29"/>
        <v>-142.69032019739547</v>
      </c>
      <c r="BO13" s="17">
        <f t="shared" si="29"/>
        <v>-141.26341699542152</v>
      </c>
      <c r="BP13" s="17">
        <f t="shared" si="29"/>
        <v>-139.85078282546732</v>
      </c>
      <c r="BQ13" s="17">
        <f t="shared" si="29"/>
        <v>-138.45227499721264</v>
      </c>
      <c r="BR13" s="17">
        <f t="shared" si="29"/>
        <v>-137.06775224724052</v>
      </c>
      <c r="BS13" s="17">
        <f t="shared" si="29"/>
        <v>-135.6970747247681</v>
      </c>
      <c r="BT13" s="17">
        <f t="shared" si="29"/>
        <v>-134.34010397752041</v>
      </c>
      <c r="BU13" s="17">
        <f t="shared" si="29"/>
        <v>-132.9967029377452</v>
      </c>
      <c r="BV13" s="17">
        <f t="shared" si="29"/>
        <v>-131.66673590836774</v>
      </c>
      <c r="BW13" s="17">
        <f t="shared" si="29"/>
        <v>-130.35006854928406</v>
      </c>
      <c r="BX13" s="17">
        <f t="shared" si="29"/>
        <v>-129.04656786379121</v>
      </c>
      <c r="BY13" s="17">
        <f t="shared" si="29"/>
        <v>-127.7561021851533</v>
      </c>
      <c r="BZ13" s="17">
        <f t="shared" si="29"/>
        <v>-126.47854116330176</v>
      </c>
      <c r="CA13" s="17">
        <f t="shared" si="29"/>
        <v>-125.21375575166874</v>
      </c>
      <c r="CB13" s="17">
        <f t="shared" si="29"/>
        <v>-123.96161819415205</v>
      </c>
      <c r="CC13" s="17">
        <f t="shared" si="29"/>
        <v>-122.72200201221052</v>
      </c>
      <c r="CD13" s="17">
        <f t="shared" si="29"/>
        <v>-121.49478199208842</v>
      </c>
      <c r="CE13" s="17">
        <f t="shared" si="29"/>
        <v>-120.27983417216754</v>
      </c>
      <c r="CF13" s="17">
        <f t="shared" si="29"/>
        <v>-119.07703583044587</v>
      </c>
      <c r="CG13" s="17">
        <f t="shared" si="29"/>
        <v>-117.8862654721414</v>
      </c>
      <c r="CH13" s="17">
        <f t="shared" si="29"/>
        <v>-116.70740281741999</v>
      </c>
      <c r="CI13" s="17">
        <f t="shared" si="29"/>
        <v>-115.54032878924579</v>
      </c>
      <c r="CJ13" s="17">
        <f t="shared" si="29"/>
        <v>-114.38492550135334</v>
      </c>
      <c r="CK13" s="17">
        <f t="shared" si="29"/>
        <v>-113.2410762463398</v>
      </c>
      <c r="CL13" s="17">
        <f t="shared" si="29"/>
        <v>-112.10866548387641</v>
      </c>
      <c r="CM13" s="17">
        <f t="shared" si="29"/>
        <v>-110.98757882903764</v>
      </c>
      <c r="CN13" s="17">
        <f t="shared" si="29"/>
        <v>-109.87770304074726</v>
      </c>
      <c r="CO13" s="17">
        <f t="shared" si="29"/>
        <v>-108.77892601033979</v>
      </c>
      <c r="CP13" s="17">
        <f t="shared" si="29"/>
        <v>-107.6911367502364</v>
      </c>
      <c r="CQ13" s="17">
        <f t="shared" si="29"/>
        <v>-106.61422538273403</v>
      </c>
      <c r="CR13" s="17">
        <f t="shared" si="29"/>
        <v>-105.5480831289067</v>
      </c>
      <c r="CS13" s="17">
        <f t="shared" si="29"/>
        <v>-104.49260229761762</v>
      </c>
      <c r="CT13" s="17">
        <f t="shared" si="29"/>
        <v>-103.44767627464145</v>
      </c>
      <c r="CU13" s="17">
        <f t="shared" si="29"/>
        <v>-102.41319951189503</v>
      </c>
      <c r="CV13" s="17">
        <f t="shared" si="29"/>
        <v>-101.38906751677608</v>
      </c>
      <c r="CW13" s="17">
        <f t="shared" si="29"/>
        <v>-100.37517684160832</v>
      </c>
      <c r="CX13" s="17">
        <f t="shared" si="29"/>
        <v>-99.371425073192242</v>
      </c>
      <c r="CY13" s="17">
        <f t="shared" si="29"/>
        <v>-98.377710822460315</v>
      </c>
      <c r="CZ13" s="17">
        <f t="shared" si="29"/>
        <v>-97.393933714235715</v>
      </c>
      <c r="DA13" s="17">
        <f t="shared" si="29"/>
        <v>-96.41999437709336</v>
      </c>
      <c r="DB13" s="17">
        <f t="shared" si="29"/>
        <v>-95.455794433322424</v>
      </c>
      <c r="DC13" s="17">
        <f t="shared" ref="DC13:FN13" si="30">DB13*(1+$AT$20)</f>
        <v>-94.501236488989193</v>
      </c>
      <c r="DD13" s="17">
        <f t="shared" si="30"/>
        <v>-93.556224124099302</v>
      </c>
      <c r="DE13" s="17">
        <f t="shared" si="30"/>
        <v>-92.620661882858315</v>
      </c>
      <c r="DF13" s="17">
        <f t="shared" si="30"/>
        <v>-91.694455264029727</v>
      </c>
      <c r="DG13" s="17">
        <f t="shared" si="30"/>
        <v>-90.777510711389425</v>
      </c>
      <c r="DH13" s="17">
        <f t="shared" si="30"/>
        <v>-89.869735604275533</v>
      </c>
      <c r="DI13" s="17">
        <f t="shared" si="30"/>
        <v>-88.971038248232773</v>
      </c>
      <c r="DJ13" s="17">
        <f t="shared" si="30"/>
        <v>-88.081327865750438</v>
      </c>
      <c r="DK13" s="17">
        <f t="shared" si="30"/>
        <v>-87.20051458709294</v>
      </c>
      <c r="DL13" s="17">
        <f t="shared" si="30"/>
        <v>-86.32850944122201</v>
      </c>
      <c r="DM13" s="17">
        <f t="shared" si="30"/>
        <v>-85.465224346809791</v>
      </c>
      <c r="DN13" s="17">
        <f t="shared" si="30"/>
        <v>-84.610572103341696</v>
      </c>
      <c r="DO13" s="17">
        <f t="shared" si="30"/>
        <v>-83.764466382308271</v>
      </c>
      <c r="DP13" s="17">
        <f t="shared" si="30"/>
        <v>-82.926821718485186</v>
      </c>
      <c r="DQ13" s="17">
        <f t="shared" si="30"/>
        <v>-82.097553501300339</v>
      </c>
      <c r="DR13" s="17">
        <f t="shared" si="30"/>
        <v>-81.276577966287334</v>
      </c>
      <c r="DS13" s="17">
        <f t="shared" si="30"/>
        <v>-80.463812186624466</v>
      </c>
      <c r="DT13" s="17">
        <f t="shared" si="30"/>
        <v>-79.659174064758218</v>
      </c>
      <c r="DU13" s="17">
        <f t="shared" si="30"/>
        <v>-78.862582324110633</v>
      </c>
      <c r="DV13" s="17">
        <f t="shared" si="30"/>
        <v>-78.073956500869528</v>
      </c>
      <c r="DW13" s="17">
        <f t="shared" si="30"/>
        <v>-77.293216935860826</v>
      </c>
      <c r="DX13" s="17">
        <f t="shared" si="30"/>
        <v>-76.520284766502215</v>
      </c>
      <c r="DY13" s="17">
        <f t="shared" si="30"/>
        <v>-75.755081918837192</v>
      </c>
      <c r="DZ13" s="17">
        <f t="shared" si="30"/>
        <v>-74.997531099648825</v>
      </c>
      <c r="EA13" s="17">
        <f t="shared" si="30"/>
        <v>-74.247555788652335</v>
      </c>
      <c r="EB13" s="17">
        <f t="shared" si="30"/>
        <v>-73.505080230765813</v>
      </c>
      <c r="EC13" s="17">
        <f t="shared" si="30"/>
        <v>-72.770029428458159</v>
      </c>
      <c r="ED13" s="17">
        <f t="shared" si="30"/>
        <v>-72.042329134173571</v>
      </c>
      <c r="EE13" s="17">
        <f t="shared" si="30"/>
        <v>-71.321905842831839</v>
      </c>
      <c r="EF13" s="17">
        <f t="shared" si="30"/>
        <v>-70.608686784403517</v>
      </c>
      <c r="EG13" s="17">
        <f t="shared" si="30"/>
        <v>-69.902599916559481</v>
      </c>
      <c r="EH13" s="17">
        <f t="shared" si="30"/>
        <v>-69.203573917393882</v>
      </c>
      <c r="EI13" s="17">
        <f t="shared" si="30"/>
        <v>-68.511538178219936</v>
      </c>
      <c r="EJ13" s="17">
        <f t="shared" si="30"/>
        <v>-67.82642279643774</v>
      </c>
      <c r="EK13" s="17">
        <f t="shared" si="30"/>
        <v>-67.148158568473363</v>
      </c>
      <c r="EL13" s="17">
        <f t="shared" si="30"/>
        <v>-66.476676982788632</v>
      </c>
      <c r="EM13" s="17">
        <f t="shared" si="30"/>
        <v>-65.81191021296074</v>
      </c>
      <c r="EN13" s="17">
        <f t="shared" si="30"/>
        <v>-65.153791110831136</v>
      </c>
      <c r="EO13" s="17">
        <f t="shared" si="30"/>
        <v>-64.50225319972283</v>
      </c>
      <c r="EP13" s="17">
        <f t="shared" si="30"/>
        <v>-63.857230667725602</v>
      </c>
      <c r="EQ13" s="17">
        <f t="shared" si="30"/>
        <v>-63.218658361048348</v>
      </c>
      <c r="ER13" s="17">
        <f t="shared" si="30"/>
        <v>-62.586471777437865</v>
      </c>
      <c r="ES13" s="17">
        <f t="shared" si="30"/>
        <v>-61.960607059663488</v>
      </c>
      <c r="ET13" s="17">
        <f t="shared" si="30"/>
        <v>-61.341000989066849</v>
      </c>
      <c r="EU13" s="17">
        <f t="shared" si="30"/>
        <v>-60.727590979176178</v>
      </c>
      <c r="EV13" s="17">
        <f t="shared" si="30"/>
        <v>-60.120315069384418</v>
      </c>
      <c r="EW13" s="17">
        <f t="shared" si="30"/>
        <v>-59.519111918690577</v>
      </c>
      <c r="EX13" s="17">
        <f t="shared" si="30"/>
        <v>-58.923920799503669</v>
      </c>
      <c r="EY13" s="17">
        <f t="shared" si="30"/>
        <v>-58.334681591508634</v>
      </c>
      <c r="EZ13" s="17">
        <f t="shared" si="30"/>
        <v>-57.751334775593548</v>
      </c>
      <c r="FA13" s="17">
        <f t="shared" si="30"/>
        <v>-57.173821427837609</v>
      </c>
      <c r="FB13" s="17">
        <f t="shared" si="30"/>
        <v>-56.602083213559233</v>
      </c>
      <c r="FC13" s="17">
        <f t="shared" si="30"/>
        <v>-56.03606238142364</v>
      </c>
      <c r="FD13" s="17">
        <f t="shared" si="30"/>
        <v>-55.4757017576094</v>
      </c>
      <c r="FE13" s="17">
        <f t="shared" si="30"/>
        <v>-54.920944740033306</v>
      </c>
      <c r="FF13" s="17">
        <f t="shared" si="30"/>
        <v>-54.37173529263297</v>
      </c>
      <c r="FG13" s="17">
        <f t="shared" si="30"/>
        <v>-53.828017939706641</v>
      </c>
      <c r="FH13" s="17">
        <f t="shared" si="30"/>
        <v>-53.289737760309571</v>
      </c>
      <c r="FI13" s="17">
        <f t="shared" si="30"/>
        <v>-52.756840382706471</v>
      </c>
      <c r="FJ13" s="17">
        <f t="shared" si="30"/>
        <v>-52.229271978879403</v>
      </c>
      <c r="FK13" s="17">
        <f t="shared" si="30"/>
        <v>-51.706979259090609</v>
      </c>
      <c r="FL13" s="17">
        <f t="shared" si="30"/>
        <v>-51.189909466499699</v>
      </c>
      <c r="FM13" s="17">
        <f t="shared" si="30"/>
        <v>-50.678010371834702</v>
      </c>
      <c r="FN13" s="17">
        <f t="shared" si="30"/>
        <v>-50.171230268116354</v>
      </c>
      <c r="FO13" s="17">
        <f t="shared" ref="FO13:HZ13" si="31">FN13*(1+$AT$20)</f>
        <v>-49.66951796543519</v>
      </c>
      <c r="FP13" s="17">
        <f t="shared" si="31"/>
        <v>-49.172822785780838</v>
      </c>
      <c r="FQ13" s="17">
        <f t="shared" si="31"/>
        <v>-48.681094557923032</v>
      </c>
      <c r="FR13" s="17">
        <f t="shared" si="31"/>
        <v>-48.194283612343803</v>
      </c>
      <c r="FS13" s="17">
        <f t="shared" si="31"/>
        <v>-47.712340776220366</v>
      </c>
      <c r="FT13" s="17">
        <f t="shared" si="31"/>
        <v>-47.235217368458159</v>
      </c>
      <c r="FU13" s="17">
        <f t="shared" si="31"/>
        <v>-46.762865194773575</v>
      </c>
      <c r="FV13" s="17">
        <f t="shared" si="31"/>
        <v>-46.29523654282584</v>
      </c>
      <c r="FW13" s="17">
        <f t="shared" si="31"/>
        <v>-45.832284177397582</v>
      </c>
      <c r="FX13" s="17">
        <f t="shared" si="31"/>
        <v>-45.373961335623605</v>
      </c>
      <c r="FY13" s="17">
        <f t="shared" si="31"/>
        <v>-44.920221722267371</v>
      </c>
      <c r="FZ13" s="17">
        <f t="shared" si="31"/>
        <v>-44.471019505044694</v>
      </c>
      <c r="GA13" s="17">
        <f t="shared" si="31"/>
        <v>-44.026309309994247</v>
      </c>
      <c r="GB13" s="17">
        <f t="shared" si="31"/>
        <v>-43.586046216894303</v>
      </c>
      <c r="GC13" s="17">
        <f t="shared" si="31"/>
        <v>-43.150185754725356</v>
      </c>
      <c r="GD13" s="17">
        <f t="shared" si="31"/>
        <v>-42.718683897178103</v>
      </c>
      <c r="GE13" s="17">
        <f t="shared" si="31"/>
        <v>-42.291497058206325</v>
      </c>
      <c r="GF13" s="17">
        <f t="shared" si="31"/>
        <v>-41.868582087624262</v>
      </c>
      <c r="GG13" s="17">
        <f t="shared" si="31"/>
        <v>-41.44989626674802</v>
      </c>
      <c r="GH13" s="17">
        <f t="shared" si="31"/>
        <v>-41.03539730408054</v>
      </c>
      <c r="GI13" s="17">
        <f t="shared" si="31"/>
        <v>-40.625043331039734</v>
      </c>
      <c r="GJ13" s="17">
        <f t="shared" si="31"/>
        <v>-40.218792897729337</v>
      </c>
      <c r="GK13" s="17">
        <f t="shared" si="31"/>
        <v>-39.816604968752046</v>
      </c>
      <c r="GL13" s="17">
        <f t="shared" si="31"/>
        <v>-39.418438919064528</v>
      </c>
      <c r="GM13" s="17">
        <f t="shared" si="31"/>
        <v>-39.024254529873879</v>
      </c>
      <c r="GN13" s="17">
        <f t="shared" si="31"/>
        <v>-38.634011984575139</v>
      </c>
      <c r="GO13" s="17">
        <f t="shared" si="31"/>
        <v>-38.247671864729384</v>
      </c>
      <c r="GP13" s="17">
        <f t="shared" si="31"/>
        <v>-37.865195146082087</v>
      </c>
      <c r="GQ13" s="17">
        <f t="shared" si="31"/>
        <v>-37.486543194621262</v>
      </c>
      <c r="GR13" s="17">
        <f t="shared" si="31"/>
        <v>-37.11167776267505</v>
      </c>
      <c r="GS13" s="17">
        <f t="shared" si="31"/>
        <v>-36.740560985048297</v>
      </c>
      <c r="GT13" s="17">
        <f t="shared" si="31"/>
        <v>-36.373155375197811</v>
      </c>
      <c r="GU13" s="17">
        <f t="shared" si="31"/>
        <v>-36.009423821445836</v>
      </c>
      <c r="GV13" s="17">
        <f t="shared" si="31"/>
        <v>-35.649329583231378</v>
      </c>
      <c r="GW13" s="17">
        <f t="shared" si="31"/>
        <v>-35.292836287399062</v>
      </c>
      <c r="GX13" s="17">
        <f t="shared" si="31"/>
        <v>-34.939907924525073</v>
      </c>
      <c r="GY13" s="17">
        <f t="shared" si="31"/>
        <v>-34.590508845279821</v>
      </c>
      <c r="GZ13" s="17">
        <f t="shared" si="31"/>
        <v>-34.244603756827026</v>
      </c>
      <c r="HA13" s="17">
        <f t="shared" si="31"/>
        <v>-33.902157719258753</v>
      </c>
      <c r="HB13" s="17">
        <f t="shared" si="31"/>
        <v>-33.563136142066163</v>
      </c>
      <c r="HC13" s="17">
        <f t="shared" si="31"/>
        <v>-33.227504780645504</v>
      </c>
      <c r="HD13" s="17">
        <f t="shared" si="31"/>
        <v>-32.895229732839049</v>
      </c>
      <c r="HE13" s="17">
        <f t="shared" si="31"/>
        <v>-32.566277435510656</v>
      </c>
      <c r="HF13" s="17">
        <f t="shared" si="31"/>
        <v>-32.240614661155547</v>
      </c>
      <c r="HG13" s="17">
        <f t="shared" si="31"/>
        <v>-31.918208514543991</v>
      </c>
      <c r="HH13" s="17">
        <f t="shared" si="31"/>
        <v>-31.599026429398553</v>
      </c>
      <c r="HI13" s="17">
        <f t="shared" si="31"/>
        <v>-31.283036165104566</v>
      </c>
      <c r="HJ13" s="17">
        <f t="shared" si="31"/>
        <v>-30.970205803453521</v>
      </c>
      <c r="HK13" s="17">
        <f t="shared" si="31"/>
        <v>-30.660503745418985</v>
      </c>
      <c r="HL13" s="17">
        <f t="shared" si="31"/>
        <v>-30.353898707964795</v>
      </c>
      <c r="HM13" s="17">
        <f t="shared" si="31"/>
        <v>-30.050359720885147</v>
      </c>
      <c r="HN13" s="17">
        <f t="shared" si="31"/>
        <v>-29.749856123676295</v>
      </c>
      <c r="HO13" s="17">
        <f t="shared" si="31"/>
        <v>-29.452357562439531</v>
      </c>
      <c r="HP13" s="17">
        <f t="shared" si="31"/>
        <v>-29.157833986815135</v>
      </c>
      <c r="HQ13" s="17">
        <f t="shared" si="31"/>
        <v>-28.866255646946982</v>
      </c>
      <c r="HR13" s="17">
        <f t="shared" si="31"/>
        <v>-28.57759309047751</v>
      </c>
      <c r="HS13" s="17">
        <f t="shared" si="31"/>
        <v>-28.291817159572734</v>
      </c>
      <c r="HT13" s="17">
        <f t="shared" si="31"/>
        <v>-28.008898987977005</v>
      </c>
      <c r="HU13" s="17">
        <f t="shared" si="31"/>
        <v>-27.728809998097233</v>
      </c>
      <c r="HV13" s="17">
        <f t="shared" si="31"/>
        <v>-27.451521898116262</v>
      </c>
      <c r="HW13" s="17">
        <f t="shared" si="31"/>
        <v>-27.177006679135101</v>
      </c>
      <c r="HX13" s="17">
        <f t="shared" si="31"/>
        <v>-26.905236612343749</v>
      </c>
      <c r="HY13" s="17">
        <f t="shared" si="31"/>
        <v>-26.63618424622031</v>
      </c>
      <c r="HZ13" s="17">
        <f t="shared" si="31"/>
        <v>-26.369822403758107</v>
      </c>
      <c r="IA13" s="17">
        <f t="shared" ref="IA13:KL13" si="32">HZ13*(1+$AT$20)</f>
        <v>-26.106124179720524</v>
      </c>
      <c r="IB13" s="17">
        <f t="shared" si="32"/>
        <v>-25.84506293792332</v>
      </c>
      <c r="IC13" s="17">
        <f t="shared" si="32"/>
        <v>-25.586612308544087</v>
      </c>
      <c r="ID13" s="17">
        <f t="shared" si="32"/>
        <v>-25.330746185458647</v>
      </c>
      <c r="IE13" s="17">
        <f t="shared" si="32"/>
        <v>-25.077438723604061</v>
      </c>
      <c r="IF13" s="17">
        <f t="shared" si="32"/>
        <v>-24.826664336368019</v>
      </c>
      <c r="IG13" s="17">
        <f t="shared" si="32"/>
        <v>-24.578397693004337</v>
      </c>
      <c r="IH13" s="17">
        <f t="shared" si="32"/>
        <v>-24.332613716074295</v>
      </c>
      <c r="II13" s="17">
        <f t="shared" si="32"/>
        <v>-24.089287578913552</v>
      </c>
      <c r="IJ13" s="17">
        <f t="shared" si="32"/>
        <v>-23.848394703124416</v>
      </c>
      <c r="IK13" s="17">
        <f t="shared" si="32"/>
        <v>-23.609910756093171</v>
      </c>
      <c r="IL13" s="17">
        <f t="shared" si="32"/>
        <v>-23.373811648532239</v>
      </c>
      <c r="IM13" s="17">
        <f t="shared" si="32"/>
        <v>-23.140073532046916</v>
      </c>
      <c r="IN13" s="17">
        <f t="shared" si="32"/>
        <v>-22.908672796726446</v>
      </c>
      <c r="IO13" s="17">
        <f t="shared" si="32"/>
        <v>-22.679586068759182</v>
      </c>
      <c r="IP13" s="17">
        <f t="shared" si="32"/>
        <v>-22.45279020807159</v>
      </c>
      <c r="IQ13" s="17">
        <f t="shared" si="32"/>
        <v>-22.228262305990874</v>
      </c>
      <c r="IR13" s="17">
        <f t="shared" si="32"/>
        <v>-22.005979682930967</v>
      </c>
      <c r="IS13" s="17">
        <f t="shared" si="32"/>
        <v>-21.785919886101656</v>
      </c>
      <c r="IT13" s="17">
        <f t="shared" si="32"/>
        <v>-21.568060687240639</v>
      </c>
      <c r="IU13" s="17">
        <f t="shared" si="32"/>
        <v>-21.352380080368231</v>
      </c>
      <c r="IV13" s="17">
        <f t="shared" si="32"/>
        <v>-21.13885627956455</v>
      </c>
      <c r="IW13" s="17">
        <f t="shared" si="32"/>
        <v>-20.927467716768906</v>
      </c>
      <c r="IX13" s="17">
        <f t="shared" si="32"/>
        <v>-20.718193039601218</v>
      </c>
      <c r="IY13" s="17">
        <f t="shared" si="32"/>
        <v>-20.511011109205207</v>
      </c>
      <c r="IZ13" s="17">
        <f t="shared" si="32"/>
        <v>-20.305900998113156</v>
      </c>
      <c r="JA13" s="17">
        <f t="shared" si="32"/>
        <v>-20.102841988132024</v>
      </c>
      <c r="JB13" s="17">
        <f t="shared" si="32"/>
        <v>-19.901813568250702</v>
      </c>
      <c r="JC13" s="17">
        <f t="shared" si="32"/>
        <v>-19.702795432568195</v>
      </c>
      <c r="JD13" s="17">
        <f t="shared" si="32"/>
        <v>-19.505767478242511</v>
      </c>
      <c r="JE13" s="17">
        <f t="shared" si="32"/>
        <v>-19.310709803460085</v>
      </c>
      <c r="JF13" s="17">
        <f t="shared" si="32"/>
        <v>-19.117602705425483</v>
      </c>
      <c r="JG13" s="17">
        <f t="shared" si="32"/>
        <v>-18.926426678371229</v>
      </c>
      <c r="JH13" s="17">
        <f t="shared" si="32"/>
        <v>-18.737162411587516</v>
      </c>
      <c r="JI13" s="17">
        <f t="shared" si="32"/>
        <v>-18.54979078747164</v>
      </c>
      <c r="JJ13" s="17">
        <f t="shared" si="32"/>
        <v>-18.364292879596924</v>
      </c>
      <c r="JK13" s="17">
        <f t="shared" si="32"/>
        <v>-18.180649950800955</v>
      </c>
      <c r="JL13" s="17">
        <f t="shared" si="32"/>
        <v>-17.998843451292945</v>
      </c>
      <c r="JM13" s="17">
        <f t="shared" si="32"/>
        <v>-17.818855016780017</v>
      </c>
      <c r="JN13" s="17">
        <f t="shared" si="32"/>
        <v>-17.640666466612217</v>
      </c>
      <c r="JO13" s="17">
        <f t="shared" si="32"/>
        <v>-17.464259801946096</v>
      </c>
      <c r="JP13" s="17">
        <f t="shared" si="32"/>
        <v>-17.289617203926635</v>
      </c>
      <c r="JQ13" s="17">
        <f t="shared" si="32"/>
        <v>-17.116721031887369</v>
      </c>
      <c r="JR13" s="17">
        <f t="shared" si="32"/>
        <v>-16.945553821568495</v>
      </c>
      <c r="JS13" s="17">
        <f t="shared" si="32"/>
        <v>-16.776098283352809</v>
      </c>
      <c r="JT13" s="17">
        <f t="shared" si="32"/>
        <v>-16.608337300519281</v>
      </c>
      <c r="JU13" s="17">
        <f t="shared" si="32"/>
        <v>-16.442253927514088</v>
      </c>
      <c r="JV13" s="17">
        <f t="shared" si="32"/>
        <v>-16.277831388238948</v>
      </c>
      <c r="JW13" s="17">
        <f t="shared" si="32"/>
        <v>-16.11505307435656</v>
      </c>
      <c r="JX13" s="17">
        <f t="shared" si="32"/>
        <v>-15.953902543612994</v>
      </c>
      <c r="JY13" s="17">
        <f t="shared" si="32"/>
        <v>-15.794363518176864</v>
      </c>
      <c r="JZ13" s="17">
        <f t="shared" si="32"/>
        <v>-15.636419882995096</v>
      </c>
      <c r="KA13" s="17">
        <f t="shared" si="32"/>
        <v>-15.480055684165144</v>
      </c>
      <c r="KB13" s="17">
        <f t="shared" si="32"/>
        <v>-15.325255127323492</v>
      </c>
      <c r="KC13" s="17">
        <f t="shared" si="32"/>
        <v>-15.172002576050257</v>
      </c>
      <c r="KD13" s="17">
        <f t="shared" si="32"/>
        <v>-15.020282550289755</v>
      </c>
      <c r="KE13" s="17">
        <f t="shared" si="32"/>
        <v>-14.870079724786857</v>
      </c>
      <c r="KF13" s="17">
        <f t="shared" si="32"/>
        <v>-14.721378927538987</v>
      </c>
      <c r="KG13" s="17">
        <f t="shared" si="32"/>
        <v>-14.574165138263597</v>
      </c>
      <c r="KH13" s="17">
        <f t="shared" si="32"/>
        <v>-14.428423486880961</v>
      </c>
      <c r="KI13" s="17">
        <f t="shared" si="32"/>
        <v>-14.284139252012151</v>
      </c>
      <c r="KJ13" s="17">
        <f t="shared" si="32"/>
        <v>-14.141297859492029</v>
      </c>
      <c r="KK13" s="17">
        <f t="shared" si="32"/>
        <v>-13.99988488089711</v>
      </c>
      <c r="KL13" s="17">
        <f t="shared" si="32"/>
        <v>-13.859886032088138</v>
      </c>
      <c r="KM13" s="17">
        <f t="shared" ref="KM13:MX13" si="33">KL13*(1+$AT$20)</f>
        <v>-13.721287171767257</v>
      </c>
      <c r="KN13" s="17">
        <f t="shared" si="33"/>
        <v>-13.584074300049584</v>
      </c>
      <c r="KO13" s="17">
        <f t="shared" si="33"/>
        <v>-13.448233557049088</v>
      </c>
      <c r="KP13" s="17">
        <f t="shared" si="33"/>
        <v>-13.313751221478597</v>
      </c>
      <c r="KQ13" s="17">
        <f t="shared" si="33"/>
        <v>-13.180613709263811</v>
      </c>
      <c r="KR13" s="17">
        <f t="shared" si="33"/>
        <v>-13.048807572171173</v>
      </c>
      <c r="KS13" s="17">
        <f t="shared" si="33"/>
        <v>-12.918319496449461</v>
      </c>
      <c r="KT13" s="17">
        <f t="shared" si="33"/>
        <v>-12.789136301484966</v>
      </c>
      <c r="KU13" s="17">
        <f t="shared" si="33"/>
        <v>-12.661244938470116</v>
      </c>
      <c r="KV13" s="17">
        <f t="shared" si="33"/>
        <v>-12.534632489085414</v>
      </c>
      <c r="KW13" s="17">
        <f t="shared" si="33"/>
        <v>-12.40928616419456</v>
      </c>
      <c r="KX13" s="17">
        <f t="shared" si="33"/>
        <v>-12.285193302552614</v>
      </c>
      <c r="KY13" s="17">
        <f t="shared" si="33"/>
        <v>-12.162341369527088</v>
      </c>
      <c r="KZ13" s="17">
        <f t="shared" si="33"/>
        <v>-12.040717955831816</v>
      </c>
      <c r="LA13" s="17">
        <f t="shared" si="33"/>
        <v>-11.920310776273498</v>
      </c>
      <c r="LB13" s="17">
        <f t="shared" si="33"/>
        <v>-11.801107668510763</v>
      </c>
      <c r="LC13" s="17">
        <f t="shared" si="33"/>
        <v>-11.683096591825656</v>
      </c>
      <c r="LD13" s="17">
        <f t="shared" si="33"/>
        <v>-11.5662656259074</v>
      </c>
      <c r="LE13" s="17">
        <f t="shared" si="33"/>
        <v>-11.450602969648326</v>
      </c>
      <c r="LF13" s="17">
        <f t="shared" si="33"/>
        <v>-11.336096939951842</v>
      </c>
      <c r="LG13" s="17">
        <f t="shared" si="33"/>
        <v>-11.222735970552323</v>
      </c>
      <c r="LH13" s="17">
        <f t="shared" si="33"/>
        <v>-11.1105086108468</v>
      </c>
      <c r="LI13" s="17">
        <f t="shared" si="33"/>
        <v>-10.999403524738332</v>
      </c>
      <c r="LJ13" s="17">
        <f t="shared" si="33"/>
        <v>-10.889409489490948</v>
      </c>
      <c r="LK13" s="17">
        <f t="shared" si="33"/>
        <v>-10.780515394596039</v>
      </c>
      <c r="LL13" s="17">
        <f t="shared" si="33"/>
        <v>-10.672710240650078</v>
      </c>
      <c r="LM13" s="17">
        <f t="shared" si="33"/>
        <v>-10.565983138243578</v>
      </c>
      <c r="LN13" s="17">
        <f t="shared" si="33"/>
        <v>-10.460323306861142</v>
      </c>
      <c r="LO13" s="17">
        <f t="shared" si="33"/>
        <v>-10.355720073792531</v>
      </c>
      <c r="LP13" s="17">
        <f t="shared" si="33"/>
        <v>-10.252162873054605</v>
      </c>
      <c r="LQ13" s="17">
        <f t="shared" si="33"/>
        <v>-10.149641244324059</v>
      </c>
      <c r="LR13" s="17">
        <f t="shared" si="33"/>
        <v>-10.048144831880817</v>
      </c>
      <c r="LS13" s="17">
        <f t="shared" si="33"/>
        <v>-9.9476633835620092</v>
      </c>
      <c r="LT13" s="17">
        <f t="shared" si="33"/>
        <v>-9.8481867497263895</v>
      </c>
      <c r="LU13" s="17">
        <f t="shared" si="33"/>
        <v>-9.7497048822291248</v>
      </c>
      <c r="LV13" s="17">
        <f t="shared" si="33"/>
        <v>-9.652207833406834</v>
      </c>
      <c r="LW13" s="17">
        <f t="shared" si="33"/>
        <v>-9.5556857550727656</v>
      </c>
      <c r="LX13" s="17">
        <f t="shared" si="33"/>
        <v>-9.4601288975220381</v>
      </c>
      <c r="LY13" s="17">
        <f t="shared" si="33"/>
        <v>-9.3655276085468184</v>
      </c>
      <c r="LZ13" s="17">
        <f t="shared" si="33"/>
        <v>-9.271872332461351</v>
      </c>
      <c r="MA13" s="17">
        <f t="shared" si="33"/>
        <v>-9.1791536091367369</v>
      </c>
      <c r="MB13" s="17">
        <f t="shared" si="33"/>
        <v>-9.0873620730453695</v>
      </c>
      <c r="MC13" s="17">
        <f t="shared" si="33"/>
        <v>-8.9964884523149156</v>
      </c>
      <c r="MD13" s="17">
        <f t="shared" si="33"/>
        <v>-8.9065235677917656</v>
      </c>
      <c r="ME13" s="17">
        <f t="shared" si="33"/>
        <v>-8.8174583321138478</v>
      </c>
      <c r="MF13" s="17">
        <f t="shared" si="33"/>
        <v>-8.7292837487927084</v>
      </c>
      <c r="MG13" s="17">
        <f t="shared" si="33"/>
        <v>-8.6419909113047808</v>
      </c>
      <c r="MH13" s="17">
        <f t="shared" si="33"/>
        <v>-8.5555710021917335</v>
      </c>
      <c r="MI13" s="17">
        <f t="shared" si="33"/>
        <v>-8.4700152921698155</v>
      </c>
      <c r="MJ13" s="17">
        <f t="shared" si="33"/>
        <v>-8.3853151392481173</v>
      </c>
      <c r="MK13" s="17">
        <f t="shared" si="33"/>
        <v>-8.3014619878556353</v>
      </c>
      <c r="ML13" s="17">
        <f t="shared" si="33"/>
        <v>-8.2184473679770793</v>
      </c>
      <c r="MM13" s="17">
        <f t="shared" si="33"/>
        <v>-8.1362628942973085</v>
      </c>
      <c r="MN13" s="17">
        <f t="shared" si="33"/>
        <v>-8.0549002653543358</v>
      </c>
      <c r="MO13" s="17">
        <f t="shared" si="33"/>
        <v>-7.9743512627007922</v>
      </c>
      <c r="MP13" s="17">
        <f t="shared" si="33"/>
        <v>-7.8946077500737841</v>
      </c>
      <c r="MQ13" s="17">
        <f t="shared" si="33"/>
        <v>-7.8156616725730466</v>
      </c>
      <c r="MR13" s="17">
        <f t="shared" si="33"/>
        <v>-7.7375050558473157</v>
      </c>
      <c r="MS13" s="17">
        <f t="shared" si="33"/>
        <v>-7.6601300052888428</v>
      </c>
      <c r="MT13" s="17">
        <f t="shared" si="33"/>
        <v>-7.5835287052359543</v>
      </c>
      <c r="MU13" s="17">
        <f t="shared" si="33"/>
        <v>-7.507693418183595</v>
      </c>
      <c r="MV13" s="17">
        <f t="shared" si="33"/>
        <v>-7.432616484001759</v>
      </c>
      <c r="MW13" s="17">
        <f t="shared" si="33"/>
        <v>-7.3582903191617417</v>
      </c>
      <c r="MX13" s="17">
        <f t="shared" si="33"/>
        <v>-7.2847074159701242</v>
      </c>
      <c r="MY13" s="17">
        <f t="shared" ref="MY13:NV13" si="34">MX13*(1+$AT$20)</f>
        <v>-7.2118603418104232</v>
      </c>
      <c r="MZ13" s="17">
        <f t="shared" si="34"/>
        <v>-7.1397417383923187</v>
      </c>
      <c r="NA13" s="17">
        <f t="shared" si="34"/>
        <v>-7.0683443210083956</v>
      </c>
      <c r="NB13" s="17">
        <f t="shared" si="34"/>
        <v>-6.9976608777983111</v>
      </c>
      <c r="NC13" s="17">
        <f t="shared" si="34"/>
        <v>-6.927684269020328</v>
      </c>
      <c r="ND13" s="17">
        <f t="shared" si="34"/>
        <v>-6.8584074263301247</v>
      </c>
      <c r="NE13" s="17">
        <f t="shared" si="34"/>
        <v>-6.789823352066823</v>
      </c>
      <c r="NF13" s="17">
        <f t="shared" si="34"/>
        <v>-6.7219251185461548</v>
      </c>
      <c r="NG13" s="17">
        <f t="shared" si="34"/>
        <v>-6.6547058673606934</v>
      </c>
      <c r="NH13" s="17">
        <f t="shared" si="34"/>
        <v>-6.5881588086870861</v>
      </c>
      <c r="NI13" s="17">
        <f t="shared" si="34"/>
        <v>-6.5222772206002153</v>
      </c>
      <c r="NJ13" s="17">
        <f t="shared" si="34"/>
        <v>-6.4570544483942127</v>
      </c>
      <c r="NK13" s="17">
        <f t="shared" si="34"/>
        <v>-6.3924839039102705</v>
      </c>
      <c r="NL13" s="17">
        <f t="shared" si="34"/>
        <v>-6.3285590648711674</v>
      </c>
      <c r="NM13" s="17">
        <f t="shared" si="34"/>
        <v>-6.2652734742224556</v>
      </c>
      <c r="NN13" s="17">
        <f t="shared" si="34"/>
        <v>-6.2026207394802313</v>
      </c>
      <c r="NO13" s="17">
        <f t="shared" si="34"/>
        <v>-6.1405945320854292</v>
      </c>
      <c r="NP13" s="17">
        <f t="shared" si="34"/>
        <v>-6.079188586764575</v>
      </c>
      <c r="NQ13" s="17">
        <f t="shared" si="34"/>
        <v>-6.018396700896929</v>
      </c>
      <c r="NR13" s="17">
        <f t="shared" si="34"/>
        <v>-5.9582127338879598</v>
      </c>
      <c r="NS13" s="17">
        <f t="shared" si="34"/>
        <v>-5.8986306065490801</v>
      </c>
      <c r="NT13" s="17">
        <f t="shared" si="34"/>
        <v>-5.839644300483589</v>
      </c>
      <c r="NU13" s="17">
        <f t="shared" si="34"/>
        <v>-5.7812478574787534</v>
      </c>
      <c r="NV13" s="17">
        <f t="shared" si="34"/>
        <v>-5.7234353789039654</v>
      </c>
    </row>
    <row r="14" spans="1:386" x14ac:dyDescent="0.25">
      <c r="B14" s="1" t="s">
        <v>3</v>
      </c>
      <c r="C14" s="2">
        <v>42.218000000000004</v>
      </c>
      <c r="D14" s="2">
        <v>41.280999999999999</v>
      </c>
      <c r="E14" s="2">
        <v>40.021000000000001</v>
      </c>
      <c r="F14" s="2">
        <v>40.360999999999997</v>
      </c>
      <c r="G14" s="2">
        <v>40.002000000000002</v>
      </c>
      <c r="H14" s="2">
        <v>39.076999999999998</v>
      </c>
      <c r="I14" s="2">
        <v>39.094000000000001</v>
      </c>
      <c r="J14" s="2">
        <v>39.201999999999998</v>
      </c>
      <c r="K14" s="2">
        <v>39.24</v>
      </c>
      <c r="L14" s="2">
        <v>40.04</v>
      </c>
      <c r="M14" s="2">
        <v>39.191000000000003</v>
      </c>
      <c r="N14" s="2">
        <v>37.825000000000003</v>
      </c>
      <c r="O14" s="2">
        <v>36.042000000000002</v>
      </c>
      <c r="P14" s="2">
        <v>34.716000000000001</v>
      </c>
      <c r="Q14" s="2">
        <v>31.678999999999998</v>
      </c>
      <c r="R14" s="2">
        <v>30.667000000000002</v>
      </c>
      <c r="S14" s="2">
        <v>28.620999999999999</v>
      </c>
      <c r="T14" s="2">
        <v>28.919</v>
      </c>
      <c r="U14" s="2">
        <v>28.943000000000001</v>
      </c>
      <c r="V14" s="2">
        <v>28.957000000000001</v>
      </c>
      <c r="W14" s="2">
        <v>29.018000000000001</v>
      </c>
      <c r="X14" s="2">
        <v>29.175000000000001</v>
      </c>
      <c r="Y14" s="2">
        <v>29.3</v>
      </c>
      <c r="Z14" s="2">
        <f>V14*1</f>
        <v>28.957000000000001</v>
      </c>
      <c r="AG14" s="2">
        <f>F14</f>
        <v>40.360999999999997</v>
      </c>
      <c r="AH14" s="2">
        <f>J14</f>
        <v>39.201999999999998</v>
      </c>
      <c r="AI14" s="2">
        <f>N14</f>
        <v>37.825000000000003</v>
      </c>
      <c r="AJ14" s="2">
        <f>R14</f>
        <v>30.667000000000002</v>
      </c>
      <c r="AK14" s="2">
        <f>V14</f>
        <v>28.957000000000001</v>
      </c>
      <c r="AL14" s="2">
        <f>Z14</f>
        <v>28.957000000000001</v>
      </c>
      <c r="AM14" s="2">
        <f>AL14*1</f>
        <v>28.957000000000001</v>
      </c>
      <c r="AN14" s="2">
        <f t="shared" ref="AN14:AP14" si="35">AM14*1</f>
        <v>28.957000000000001</v>
      </c>
      <c r="AO14" s="2">
        <f t="shared" si="35"/>
        <v>28.957000000000001</v>
      </c>
      <c r="AP14" s="2">
        <f t="shared" si="35"/>
        <v>28.957000000000001</v>
      </c>
    </row>
    <row r="15" spans="1:386" x14ac:dyDescent="0.25">
      <c r="B15" s="1" t="s">
        <v>29</v>
      </c>
      <c r="C15" s="9">
        <f t="shared" ref="C15:O15" si="36">C13/C14</f>
        <v>1.4156994646833101</v>
      </c>
      <c r="D15" s="9">
        <f t="shared" si="36"/>
        <v>1.3240958310118476</v>
      </c>
      <c r="E15" s="9">
        <f t="shared" si="36"/>
        <v>0.63354239024512315</v>
      </c>
      <c r="F15" s="9">
        <f t="shared" si="36"/>
        <v>3.5202547013205838</v>
      </c>
      <c r="G15" s="9">
        <f t="shared" si="36"/>
        <v>1.2083645817709114</v>
      </c>
      <c r="H15" s="9">
        <f t="shared" si="36"/>
        <v>0.92640171968165441</v>
      </c>
      <c r="I15" s="9">
        <f t="shared" si="36"/>
        <v>-0.42973346293548664</v>
      </c>
      <c r="J15" s="9">
        <f t="shared" si="36"/>
        <v>3.3460792816692968</v>
      </c>
      <c r="K15" s="9">
        <f t="shared" si="36"/>
        <v>2.3865188583078463</v>
      </c>
      <c r="L15" s="9">
        <f t="shared" si="36"/>
        <v>0.57175324675324324</v>
      </c>
      <c r="M15" s="9">
        <f>M13/M14</f>
        <v>1.6074098645097064</v>
      </c>
      <c r="N15" s="9">
        <f t="shared" si="36"/>
        <v>3.4784401850627837</v>
      </c>
      <c r="O15" s="9">
        <f t="shared" si="36"/>
        <v>3.5747183841074284</v>
      </c>
      <c r="P15" s="9">
        <f t="shared" ref="P15:R15" si="37">P13/P14</f>
        <v>2.1026615969581752</v>
      </c>
      <c r="Q15" s="9">
        <f t="shared" si="37"/>
        <v>0.99750623441396324</v>
      </c>
      <c r="R15" s="9">
        <f t="shared" si="37"/>
        <v>2.8439038706101036</v>
      </c>
      <c r="S15" s="9">
        <f>S13/S14</f>
        <v>0.91799727472834425</v>
      </c>
      <c r="T15" s="9">
        <f>T13/T14</f>
        <v>-1.6236038590546009</v>
      </c>
      <c r="U15" s="9">
        <f>U13/U14</f>
        <v>-0.13198355388177105</v>
      </c>
      <c r="V15" s="9">
        <f>V13/V14</f>
        <v>1.0574645163518299</v>
      </c>
      <c r="W15" s="9">
        <f>W13/W14</f>
        <v>-5.8408918602246871</v>
      </c>
      <c r="X15" s="9">
        <f>X13/X14</f>
        <v>-7.148414738646097</v>
      </c>
      <c r="Y15" s="9">
        <f>Y13/Y14</f>
        <v>-5.6946757679180919</v>
      </c>
      <c r="Z15" s="9">
        <f t="shared" ref="Z15" si="38">Z13/Z14</f>
        <v>1.1137223952757516</v>
      </c>
      <c r="AG15" s="9">
        <f t="shared" ref="AG15:AI15" si="39">AG13/AG14</f>
        <v>7.0112237060528573</v>
      </c>
      <c r="AH15" s="9">
        <f t="shared" si="39"/>
        <v>5.0970103566144624</v>
      </c>
      <c r="AI15" s="9">
        <f t="shared" si="39"/>
        <v>7.9223265036351505</v>
      </c>
      <c r="AJ15" s="9">
        <f>AJ13/AJ14</f>
        <v>16.840219128052958</v>
      </c>
      <c r="AK15" s="9">
        <f>AK13/AK14</f>
        <v>-4.163138446662308</v>
      </c>
      <c r="AL15" s="9">
        <f>AL13/AL14</f>
        <v>-17.706942728873877</v>
      </c>
      <c r="AM15" s="9">
        <f t="shared" ref="AM15:AP15" si="40">AM13/AM14</f>
        <v>-9.8632470414753293</v>
      </c>
      <c r="AN15" s="9">
        <f t="shared" si="40"/>
        <v>-7.6181009282384595</v>
      </c>
      <c r="AO15" s="9">
        <f t="shared" si="40"/>
        <v>-6.9482089822551139</v>
      </c>
      <c r="AP15" s="9">
        <f t="shared" si="40"/>
        <v>-6.2718588526855514</v>
      </c>
    </row>
    <row r="16" spans="1:386" x14ac:dyDescent="0.25">
      <c r="C16" s="30"/>
      <c r="D16" s="30"/>
      <c r="E16" s="30"/>
      <c r="F16" s="30"/>
      <c r="G16" s="9"/>
      <c r="H16" s="30"/>
      <c r="I16" s="30"/>
      <c r="J16" s="31"/>
      <c r="M16" s="9"/>
      <c r="R16" s="30"/>
      <c r="W16" s="30"/>
    </row>
    <row r="17" spans="2:46" x14ac:dyDescent="0.25">
      <c r="B17" s="23" t="s">
        <v>77</v>
      </c>
      <c r="C17" s="2">
        <v>0.3</v>
      </c>
      <c r="D17" s="2">
        <v>0.3</v>
      </c>
      <c r="E17" s="2">
        <v>0.3</v>
      </c>
      <c r="F17" s="2">
        <v>0.3</v>
      </c>
      <c r="G17" s="2">
        <v>0.3</v>
      </c>
      <c r="H17" s="2">
        <v>0.3</v>
      </c>
      <c r="I17" s="2">
        <v>0.3</v>
      </c>
      <c r="J17" s="9">
        <v>0.3</v>
      </c>
      <c r="K17" s="9">
        <v>0.3</v>
      </c>
      <c r="L17" s="9">
        <v>0.3</v>
      </c>
      <c r="M17" s="9">
        <v>0.3</v>
      </c>
      <c r="N17" s="9">
        <v>0.3</v>
      </c>
      <c r="O17" s="9">
        <v>0.3</v>
      </c>
      <c r="P17" s="9">
        <v>0.3</v>
      </c>
      <c r="Q17" s="9">
        <v>0.3</v>
      </c>
      <c r="R17" s="9">
        <v>0.3</v>
      </c>
      <c r="S17" s="9">
        <v>0.3</v>
      </c>
      <c r="T17" s="9">
        <v>0.3</v>
      </c>
      <c r="U17" s="9">
        <v>0.3</v>
      </c>
      <c r="V17" s="9">
        <v>0.3</v>
      </c>
      <c r="W17" s="9">
        <v>0</v>
      </c>
      <c r="X17" s="9">
        <v>0</v>
      </c>
      <c r="Y17" s="9">
        <v>0</v>
      </c>
      <c r="Z17" s="9">
        <v>0</v>
      </c>
    </row>
    <row r="19" spans="2:46" x14ac:dyDescent="0.25">
      <c r="B19" s="1" t="s">
        <v>30</v>
      </c>
      <c r="C19" s="4"/>
      <c r="D19" s="4"/>
      <c r="E19" s="4"/>
      <c r="F19" s="4"/>
      <c r="G19" s="4">
        <f t="shared" ref="G19:Y19" si="41">G3/C3-1</f>
        <v>2.1934836665791435E-2</v>
      </c>
      <c r="H19" s="4">
        <f t="shared" si="41"/>
        <v>2.4746986709693886E-2</v>
      </c>
      <c r="I19" s="4">
        <f t="shared" si="41"/>
        <v>1.6170147607190488E-2</v>
      </c>
      <c r="J19" s="4">
        <f t="shared" si="41"/>
        <v>5.2741514033647352E-3</v>
      </c>
      <c r="K19" s="4">
        <f t="shared" si="41"/>
        <v>0.11062929658680831</v>
      </c>
      <c r="L19" s="4">
        <f t="shared" si="41"/>
        <v>0.31282227761746517</v>
      </c>
      <c r="M19" s="4">
        <f t="shared" si="41"/>
        <v>0.17974242886057046</v>
      </c>
      <c r="N19" s="4">
        <f t="shared" si="41"/>
        <v>8.1477577222395681E-2</v>
      </c>
      <c r="O19" s="4">
        <f t="shared" si="41"/>
        <v>0.1295230723156533</v>
      </c>
      <c r="P19" s="4">
        <f t="shared" si="41"/>
        <v>-0.11362567867475726</v>
      </c>
      <c r="Q19" s="4">
        <f t="shared" si="41"/>
        <v>-3.0675835041820143E-2</v>
      </c>
      <c r="R19" s="4">
        <f t="shared" si="41"/>
        <v>-3.3914201787774712E-3</v>
      </c>
      <c r="S19" s="4">
        <f t="shared" si="41"/>
        <v>-0.15430942842800477</v>
      </c>
      <c r="T19" s="4">
        <f t="shared" si="41"/>
        <v>-7.6269372172139804E-2</v>
      </c>
      <c r="U19" s="4">
        <f t="shared" si="41"/>
        <v>-9.8359907041932981E-2</v>
      </c>
      <c r="V19" s="4">
        <f t="shared" si="41"/>
        <v>-0.10906796164711619</v>
      </c>
      <c r="W19" s="4">
        <f t="shared" si="41"/>
        <v>-0.18268308899160113</v>
      </c>
      <c r="X19" s="4">
        <f t="shared" si="41"/>
        <v>-0.15365976314438712</v>
      </c>
      <c r="Y19" s="4">
        <f t="shared" si="41"/>
        <v>-0.14747720839239353</v>
      </c>
      <c r="Z19" s="4">
        <f>Z3/V3-1</f>
        <v>-7.999999999999996E-2</v>
      </c>
      <c r="AA19" s="4"/>
      <c r="AG19" s="4"/>
      <c r="AH19" s="4">
        <f t="shared" ref="AH19:AP19" si="42">AH3/AG3-1</f>
        <v>1.6241560640728014E-2</v>
      </c>
      <c r="AI19" s="4">
        <f t="shared" si="42"/>
        <v>0.16456441450411208</v>
      </c>
      <c r="AJ19" s="4">
        <f t="shared" si="42"/>
        <v>-7.83699666375548E-3</v>
      </c>
      <c r="AK19" s="4">
        <f>AK3/AJ3-1</f>
        <v>-0.1109279854349241</v>
      </c>
      <c r="AL19" s="4">
        <f>AL3/AK3-1</f>
        <v>-0.13880840746780232</v>
      </c>
      <c r="AM19" s="4">
        <f>AM3/AL3-1</f>
        <v>-5.0000000000000155E-2</v>
      </c>
      <c r="AN19" s="4">
        <f t="shared" ref="AL19:AP19" si="43">AN3/AM3-1</f>
        <v>0</v>
      </c>
      <c r="AO19" s="4">
        <f t="shared" si="43"/>
        <v>1.0000000000000009E-2</v>
      </c>
      <c r="AP19" s="4">
        <f t="shared" si="43"/>
        <v>1.0000000000000009E-2</v>
      </c>
    </row>
    <row r="20" spans="2:46" x14ac:dyDescent="0.25">
      <c r="B20" s="1" t="s">
        <v>31</v>
      </c>
      <c r="C20" s="4"/>
      <c r="D20" s="4"/>
      <c r="E20" s="4"/>
      <c r="F20" s="4"/>
      <c r="G20" s="4">
        <f t="shared" ref="G20:Z20" si="44">G4/C4-1</f>
        <v>2.7411791938097396E-2</v>
      </c>
      <c r="H20" s="4">
        <f t="shared" si="44"/>
        <v>3.2068422853232859E-2</v>
      </c>
      <c r="I20" s="4">
        <f t="shared" si="44"/>
        <v>2.0825002752713706E-2</v>
      </c>
      <c r="J20" s="4">
        <f t="shared" si="44"/>
        <v>3.5940958702395109E-2</v>
      </c>
      <c r="K20" s="4">
        <f t="shared" si="44"/>
        <v>0.11798405920059118</v>
      </c>
      <c r="L20" s="4">
        <f t="shared" si="44"/>
        <v>0.27373823894434257</v>
      </c>
      <c r="M20" s="4">
        <f t="shared" si="44"/>
        <v>0.16382298091688652</v>
      </c>
      <c r="N20" s="4">
        <f t="shared" si="44"/>
        <v>8.1995923791552183E-2</v>
      </c>
      <c r="O20" s="4">
        <f t="shared" si="44"/>
        <v>0.11850855545818528</v>
      </c>
      <c r="P20" s="4">
        <f t="shared" si="44"/>
        <v>-8.4377696789512791E-2</v>
      </c>
      <c r="Q20" s="4">
        <f t="shared" si="44"/>
        <v>-4.3376356044642073E-3</v>
      </c>
      <c r="R20" s="4">
        <f t="shared" si="44"/>
        <v>-0.15699003174566983</v>
      </c>
      <c r="S20" s="4">
        <f t="shared" si="44"/>
        <v>-0.10417428099309689</v>
      </c>
      <c r="T20" s="4">
        <f t="shared" si="44"/>
        <v>3.1942626967280896E-2</v>
      </c>
      <c r="U20" s="4">
        <f t="shared" si="44"/>
        <v>-2.6521326433754822E-2</v>
      </c>
      <c r="V20" s="4">
        <f t="shared" si="44"/>
        <v>0.10675604413435003</v>
      </c>
      <c r="W20" s="4">
        <f t="shared" si="44"/>
        <v>-0.15976187192571145</v>
      </c>
      <c r="X20" s="4">
        <f t="shared" si="44"/>
        <v>-0.15886337921255789</v>
      </c>
      <c r="Y20" s="4">
        <f t="shared" si="44"/>
        <v>-0.17860499408042829</v>
      </c>
      <c r="Z20" s="4">
        <f t="shared" si="44"/>
        <v>-9.9999999999999978E-2</v>
      </c>
      <c r="AA20" s="4"/>
      <c r="AG20" s="4"/>
      <c r="AH20" s="4">
        <f t="shared" ref="AH20:AP20" si="45">AH4/AG4-1</f>
        <v>2.9615462372561518E-2</v>
      </c>
      <c r="AI20" s="4">
        <f t="shared" si="45"/>
        <v>0.15374857643670037</v>
      </c>
      <c r="AJ20" s="4">
        <f t="shared" si="45"/>
        <v>-3.9702577124642091E-2</v>
      </c>
      <c r="AK20" s="4">
        <f>AK4/AJ4-1</f>
        <v>0</v>
      </c>
      <c r="AL20" s="4">
        <f>AL4/AK4-1</f>
        <v>-0.14723310178914373</v>
      </c>
      <c r="AM20" s="4">
        <f>AM4/AL4-1</f>
        <v>-9.9999999999999978E-2</v>
      </c>
      <c r="AN20" s="4">
        <f t="shared" ref="AL20:AP20" si="46">AN4/AM4-1</f>
        <v>-3.0000000000000027E-2</v>
      </c>
      <c r="AO20" s="4">
        <f t="shared" si="46"/>
        <v>0</v>
      </c>
      <c r="AP20" s="4">
        <f t="shared" si="46"/>
        <v>0</v>
      </c>
      <c r="AS20" s="1" t="s">
        <v>53</v>
      </c>
      <c r="AT20" s="4">
        <v>-0.01</v>
      </c>
    </row>
    <row r="21" spans="2:46" x14ac:dyDescent="0.25">
      <c r="B21" s="1" t="s">
        <v>32</v>
      </c>
      <c r="C21" s="4"/>
      <c r="D21" s="4"/>
      <c r="E21" s="4"/>
      <c r="F21" s="4"/>
      <c r="G21" s="4">
        <f t="shared" ref="G21:Y21" si="47">G7/C7-1</f>
        <v>5.1388749395104405E-2</v>
      </c>
      <c r="H21" s="4">
        <f t="shared" si="47"/>
        <v>6.662134761664773E-2</v>
      </c>
      <c r="I21" s="4">
        <f t="shared" si="47"/>
        <v>-2.5639499480345496E-4</v>
      </c>
      <c r="J21" s="4">
        <f t="shared" si="47"/>
        <v>-1.2222867603424614E-2</v>
      </c>
      <c r="K21" s="4">
        <f t="shared" si="47"/>
        <v>-4.2856677630508377E-3</v>
      </c>
      <c r="L21" s="4">
        <f t="shared" si="47"/>
        <v>0.1076290146057588</v>
      </c>
      <c r="M21" s="4">
        <f t="shared" si="47"/>
        <v>0.10440013372596257</v>
      </c>
      <c r="N21" s="4">
        <f t="shared" si="47"/>
        <v>0.10519377409439046</v>
      </c>
      <c r="O21" s="4">
        <f t="shared" si="47"/>
        <v>8.4571256631148062E-2</v>
      </c>
      <c r="P21" s="4">
        <f t="shared" si="47"/>
        <v>-3.0440476190476184E-2</v>
      </c>
      <c r="Q21" s="4">
        <f t="shared" si="47"/>
        <v>1.0514050179657231E-2</v>
      </c>
      <c r="R21" s="4">
        <f t="shared" si="47"/>
        <v>3.9589563921270221E-2</v>
      </c>
      <c r="S21" s="4">
        <f t="shared" si="47"/>
        <v>-3.3450739619394598E-2</v>
      </c>
      <c r="T21" s="4">
        <f t="shared" si="47"/>
        <v>4.4583328217280727E-2</v>
      </c>
      <c r="U21" s="4">
        <f t="shared" si="47"/>
        <v>3.208597843973271E-2</v>
      </c>
      <c r="V21" s="4">
        <f t="shared" si="47"/>
        <v>-2.8311543379130333E-2</v>
      </c>
      <c r="W21" s="4">
        <f t="shared" si="47"/>
        <v>0.28347119986521885</v>
      </c>
      <c r="X21" s="4">
        <f t="shared" si="47"/>
        <v>-0.10531027889445266</v>
      </c>
      <c r="Y21" s="4">
        <f t="shared" si="47"/>
        <v>4.5155621292364501E-2</v>
      </c>
      <c r="Z21" s="4">
        <f>Z7/V7-1</f>
        <v>-7.999999999999996E-2</v>
      </c>
      <c r="AA21" s="4"/>
      <c r="AG21" s="4"/>
      <c r="AH21" s="4">
        <f t="shared" ref="AH21:AK21" si="48">AH7/AG7-1</f>
        <v>2.5299479986684803E-2</v>
      </c>
      <c r="AI21" s="4">
        <f t="shared" si="48"/>
        <v>7.7956179880652066E-2</v>
      </c>
      <c r="AJ21" s="4">
        <f t="shared" si="48"/>
        <v>2.499395844939456E-2</v>
      </c>
      <c r="AK21" s="4">
        <f>AK7/AJ7-1</f>
        <v>2.7110978308240163E-3</v>
      </c>
      <c r="AL21" s="4">
        <f>AL7/AK7-1</f>
        <v>3.1271830126961442E-2</v>
      </c>
      <c r="AM21" s="4">
        <f>AM7/AL7-1</f>
        <v>-1.0000000000000009E-2</v>
      </c>
      <c r="AN21" s="4">
        <f t="shared" ref="AL21:AP21" si="49">AN7/AM7-1</f>
        <v>0</v>
      </c>
      <c r="AO21" s="4">
        <f t="shared" si="49"/>
        <v>1.0000000000000009E-2</v>
      </c>
      <c r="AP21" s="4">
        <f t="shared" si="49"/>
        <v>1.0000000000000009E-2</v>
      </c>
      <c r="AS21" s="23" t="s">
        <v>73</v>
      </c>
      <c r="AT21" s="18">
        <f>WACC!C18</f>
        <v>6.1507586289484231E-2</v>
      </c>
    </row>
    <row r="22" spans="2:46" x14ac:dyDescent="0.25">
      <c r="B22" s="1" t="s">
        <v>33</v>
      </c>
      <c r="C22" s="4"/>
      <c r="D22" s="4"/>
      <c r="E22" s="4"/>
      <c r="F22" s="4"/>
      <c r="G22" s="4">
        <f t="shared" ref="G22:Y22" si="50">G8/C8-1</f>
        <v>-0.20881054883166794</v>
      </c>
      <c r="H22" s="4">
        <f t="shared" si="50"/>
        <v>-0.3334156200820817</v>
      </c>
      <c r="I22" s="4">
        <f t="shared" si="50"/>
        <v>0.19348487560408079</v>
      </c>
      <c r="J22" s="4">
        <f t="shared" si="50"/>
        <v>-0.10685608738784835</v>
      </c>
      <c r="K22" s="4">
        <f t="shared" si="50"/>
        <v>0.91856883747989237</v>
      </c>
      <c r="L22" s="4">
        <f t="shared" si="50"/>
        <v>3.1561892417368718</v>
      </c>
      <c r="M22" s="4">
        <f t="shared" si="50"/>
        <v>1.8339082183563162</v>
      </c>
      <c r="N22" s="4">
        <f t="shared" si="50"/>
        <v>9.8247982571879611E-3</v>
      </c>
      <c r="O22" s="4">
        <f t="shared" si="50"/>
        <v>0.39869788182831756</v>
      </c>
      <c r="P22" s="4">
        <f t="shared" si="50"/>
        <v>-0.5035808959479624</v>
      </c>
      <c r="Q22" s="4">
        <f t="shared" si="50"/>
        <v>-0.57924747969200663</v>
      </c>
      <c r="R22" s="4">
        <f t="shared" si="50"/>
        <v>-0.36280658256155862</v>
      </c>
      <c r="S22" s="4">
        <f t="shared" si="50"/>
        <v>-0.84814670756046429</v>
      </c>
      <c r="T22" s="4">
        <f t="shared" si="50"/>
        <v>-1.8065605402797877</v>
      </c>
      <c r="U22" s="4">
        <f t="shared" si="50"/>
        <v>-3.9417350564412246</v>
      </c>
      <c r="V22" s="4">
        <f t="shared" si="50"/>
        <v>-0.66626928872527591</v>
      </c>
      <c r="W22" s="4">
        <f t="shared" si="50"/>
        <v>-10.430904891874892</v>
      </c>
      <c r="X22" s="4">
        <f t="shared" si="50"/>
        <v>0.1239150995882925</v>
      </c>
      <c r="Y22" s="4">
        <f t="shared" si="50"/>
        <v>0.62378682286544862</v>
      </c>
      <c r="Z22" s="4">
        <f>Z8/V8-1</f>
        <v>0.4813779898836914</v>
      </c>
      <c r="AA22" s="4"/>
      <c r="AG22" s="4"/>
      <c r="AH22" s="4">
        <f t="shared" ref="AH22:AK22" si="51">AH8/AG8-1</f>
        <v>-0.15199182482771678</v>
      </c>
      <c r="AI22" s="4">
        <f t="shared" si="51"/>
        <v>0.82588499448970287</v>
      </c>
      <c r="AJ22" s="4">
        <f t="shared" si="51"/>
        <v>9.2625288860560318E-2</v>
      </c>
      <c r="AK22" s="4">
        <f>AK8/AJ8-1</f>
        <v>-1.1835234351875443</v>
      </c>
      <c r="AL22" s="4">
        <f>AL8/AK8-1</f>
        <v>2.8021748996661704</v>
      </c>
      <c r="AM22" s="4">
        <f>AM8/AL8-1</f>
        <v>-0.21829304955120321</v>
      </c>
      <c r="AN22" s="4">
        <f t="shared" ref="AL22:AP22" si="52">AN8/AM8-1</f>
        <v>-0.25822621080878316</v>
      </c>
      <c r="AO22" s="4">
        <f t="shared" si="52"/>
        <v>-0.10255876483027848</v>
      </c>
      <c r="AP22" s="4">
        <f t="shared" si="52"/>
        <v>-0.11542187768873191</v>
      </c>
      <c r="AS22" s="1" t="s">
        <v>54</v>
      </c>
      <c r="AT22" s="2">
        <f>NPV(AT21,AK13:NV13)</f>
        <v>-3014.8576153968029</v>
      </c>
    </row>
    <row r="23" spans="2:46" x14ac:dyDescent="0.25">
      <c r="B23" s="1" t="s">
        <v>34</v>
      </c>
      <c r="C23" s="4"/>
      <c r="D23" s="4"/>
      <c r="E23" s="4"/>
      <c r="F23" s="4"/>
      <c r="G23" s="4">
        <f t="shared" ref="G23:Y23" si="53">G13/C13-1</f>
        <v>-0.19125619060366728</v>
      </c>
      <c r="H23" s="4">
        <f t="shared" si="53"/>
        <v>-0.33770581778265729</v>
      </c>
      <c r="I23" s="4">
        <f t="shared" si="53"/>
        <v>-1.6625912048905489</v>
      </c>
      <c r="J23" s="4">
        <f t="shared" si="53"/>
        <v>-7.6773108297381709E-2</v>
      </c>
      <c r="K23" s="4">
        <f t="shared" si="53"/>
        <v>0.9373771644909672</v>
      </c>
      <c r="L23" s="4">
        <f t="shared" si="53"/>
        <v>-0.36761415430513378</v>
      </c>
      <c r="M23" s="4">
        <f t="shared" si="53"/>
        <v>-4.7497619047619182</v>
      </c>
      <c r="N23" s="4">
        <f t="shared" si="53"/>
        <v>3.0417845135815025E-3</v>
      </c>
      <c r="O23" s="4">
        <f t="shared" si="53"/>
        <v>0.37580488429955139</v>
      </c>
      <c r="P23" s="4">
        <f t="shared" si="53"/>
        <v>2.1885729262220095</v>
      </c>
      <c r="Q23" s="4">
        <f t="shared" si="53"/>
        <v>-0.49838084957775119</v>
      </c>
      <c r="R23" s="4">
        <f t="shared" si="53"/>
        <v>-0.33713860091812708</v>
      </c>
      <c r="S23" s="4">
        <f t="shared" si="53"/>
        <v>-0.79607264824588675</v>
      </c>
      <c r="T23" s="4">
        <f t="shared" si="53"/>
        <v>-1.6432270261384185</v>
      </c>
      <c r="U23" s="4">
        <f t="shared" si="53"/>
        <v>-1.1208860759493704</v>
      </c>
      <c r="V23" s="4">
        <f t="shared" si="53"/>
        <v>-0.64889811268833086</v>
      </c>
      <c r="W23" s="4">
        <f t="shared" si="53"/>
        <v>-7.4509020324275088</v>
      </c>
      <c r="X23" s="4">
        <f t="shared" si="53"/>
        <v>3.441782207739652</v>
      </c>
      <c r="Y23" s="4">
        <f t="shared" si="53"/>
        <v>42.67905759162192</v>
      </c>
      <c r="Z23" s="4">
        <f>Z13/V13-1</f>
        <v>5.3200724992652271E-2</v>
      </c>
      <c r="AA23" s="4"/>
      <c r="AG23" s="4"/>
      <c r="AH23" s="4">
        <f t="shared" ref="AH23:AK23" si="54">AH13/AG13-1</f>
        <v>-0.2938970952010721</v>
      </c>
      <c r="AI23" s="4">
        <f t="shared" si="54"/>
        <v>0.49971223093592188</v>
      </c>
      <c r="AJ23" s="4">
        <f t="shared" si="54"/>
        <v>0.72340503634094677</v>
      </c>
      <c r="AK23" s="4">
        <f>AK13/AJ13-1</f>
        <v>-1.2334293111093477</v>
      </c>
      <c r="AL23" s="4">
        <f>AL13/AK13-1</f>
        <v>3.253267806423775</v>
      </c>
      <c r="AM23" s="4">
        <f>AM13/AL13-1</f>
        <v>-0.44297289529311024</v>
      </c>
      <c r="AN23" s="4">
        <f t="shared" ref="AL23:AP23" si="55">AN13/AM13-1</f>
        <v>-0.22762748451863213</v>
      </c>
      <c r="AO23" s="4">
        <f t="shared" si="55"/>
        <v>-8.7934244018770924E-2</v>
      </c>
      <c r="AP23" s="4">
        <f t="shared" si="55"/>
        <v>-9.7341650387442136E-2</v>
      </c>
      <c r="AS23" s="1" t="s">
        <v>55</v>
      </c>
      <c r="AT23" s="2">
        <f>Main!C7-Main!C8</f>
        <v>-486.40600000000001</v>
      </c>
    </row>
    <row r="24" spans="2:46" x14ac:dyDescent="0.25">
      <c r="B24" s="1" t="s">
        <v>35</v>
      </c>
      <c r="C24" s="4"/>
      <c r="D24" s="4"/>
      <c r="E24" s="4"/>
      <c r="F24" s="4"/>
      <c r="G24" s="4">
        <f t="shared" ref="G24:Y24" si="56">G14/C14-1</f>
        <v>-5.2489459472263023E-2</v>
      </c>
      <c r="H24" s="4">
        <f t="shared" si="56"/>
        <v>-5.3390179501465629E-2</v>
      </c>
      <c r="I24" s="4">
        <f t="shared" si="56"/>
        <v>-2.3162839509257682E-2</v>
      </c>
      <c r="J24" s="4">
        <f t="shared" si="56"/>
        <v>-2.8715839548078548E-2</v>
      </c>
      <c r="K24" s="4">
        <f t="shared" si="56"/>
        <v>-1.90490475476226E-2</v>
      </c>
      <c r="L24" s="4">
        <f t="shared" si="56"/>
        <v>2.4643652276274963E-2</v>
      </c>
      <c r="M24" s="4">
        <f t="shared" si="56"/>
        <v>2.4811991609965389E-3</v>
      </c>
      <c r="N24" s="4">
        <f t="shared" si="56"/>
        <v>-3.5125758889852476E-2</v>
      </c>
      <c r="O24" s="4">
        <f t="shared" si="56"/>
        <v>-8.1498470948012214E-2</v>
      </c>
      <c r="P24" s="4">
        <f t="shared" si="56"/>
        <v>-0.13296703296703294</v>
      </c>
      <c r="Q24" s="4">
        <f t="shared" si="56"/>
        <v>-0.19167666045775822</v>
      </c>
      <c r="R24" s="4">
        <f t="shared" si="56"/>
        <v>-0.18923992068737605</v>
      </c>
      <c r="S24" s="4">
        <f t="shared" si="56"/>
        <v>-0.20589867376949123</v>
      </c>
      <c r="T24" s="4">
        <f t="shared" si="56"/>
        <v>-0.16698352344740175</v>
      </c>
      <c r="U24" s="4">
        <f t="shared" si="56"/>
        <v>-8.6366362574576083E-2</v>
      </c>
      <c r="V24" s="4">
        <f t="shared" si="56"/>
        <v>-5.5760263475396976E-2</v>
      </c>
      <c r="W24" s="4">
        <f t="shared" si="56"/>
        <v>1.3870933929632123E-2</v>
      </c>
      <c r="X24" s="4">
        <f t="shared" si="56"/>
        <v>8.8523116290328829E-3</v>
      </c>
      <c r="Y24" s="4">
        <f t="shared" si="56"/>
        <v>1.2334588674290714E-2</v>
      </c>
      <c r="Z24" s="4">
        <f>Z14/V14-1</f>
        <v>0</v>
      </c>
      <c r="AA24" s="4"/>
      <c r="AG24" s="4"/>
      <c r="AH24" s="4">
        <f t="shared" ref="AH24:AK24" si="57">AH14/AG14-1</f>
        <v>-2.8715839548078548E-2</v>
      </c>
      <c r="AI24" s="4">
        <f t="shared" si="57"/>
        <v>-3.5125758889852476E-2</v>
      </c>
      <c r="AJ24" s="4">
        <f t="shared" si="57"/>
        <v>-0.18923992068737605</v>
      </c>
      <c r="AK24" s="4">
        <f>AK14/AJ14-1</f>
        <v>-5.5760263475396976E-2</v>
      </c>
      <c r="AL24" s="4">
        <f>AL14/AK14-1</f>
        <v>0</v>
      </c>
      <c r="AM24" s="4">
        <f>AM14/AL14-1</f>
        <v>0</v>
      </c>
      <c r="AN24" s="4">
        <f t="shared" ref="AL24:AP24" si="58">AN14/AM14-1</f>
        <v>0</v>
      </c>
      <c r="AO24" s="4">
        <f t="shared" si="58"/>
        <v>0</v>
      </c>
      <c r="AP24" s="4">
        <f t="shared" si="58"/>
        <v>0</v>
      </c>
      <c r="AS24" s="2" t="s">
        <v>56</v>
      </c>
      <c r="AT24" s="2">
        <f>AT22+AT23</f>
        <v>-3501.2636153968028</v>
      </c>
    </row>
    <row r="25" spans="2:46" x14ac:dyDescent="0.25">
      <c r="B25" s="1" t="s">
        <v>36</v>
      </c>
      <c r="C25" s="4"/>
      <c r="D25" s="4"/>
      <c r="E25" s="4"/>
      <c r="F25" s="4"/>
      <c r="G25" s="4">
        <f t="shared" ref="G25:Y25" si="59">G15/C15-1</f>
        <v>-0.1464540236714571</v>
      </c>
      <c r="H25" s="4">
        <f t="shared" si="59"/>
        <v>-0.30035145645484229</v>
      </c>
      <c r="I25" s="4">
        <f t="shared" si="59"/>
        <v>-1.6783026196072199</v>
      </c>
      <c r="J25" s="4">
        <f t="shared" si="59"/>
        <v>-4.9478073159293534E-2</v>
      </c>
      <c r="K25" s="4">
        <f t="shared" si="59"/>
        <v>0.97499901462710703</v>
      </c>
      <c r="L25" s="4">
        <f t="shared" si="59"/>
        <v>-0.38282363406048225</v>
      </c>
      <c r="M25" s="4">
        <f t="shared" si="59"/>
        <v>-4.7404810263775463</v>
      </c>
      <c r="N25" s="4">
        <f t="shared" si="59"/>
        <v>3.9557013522840023E-2</v>
      </c>
      <c r="O25" s="4">
        <f t="shared" si="59"/>
        <v>0.49787979745614552</v>
      </c>
      <c r="P25" s="4">
        <f t="shared" si="59"/>
        <v>2.6775682672522541</v>
      </c>
      <c r="Q25" s="4">
        <f t="shared" si="59"/>
        <v>-0.37943255392536523</v>
      </c>
      <c r="R25" s="4">
        <f t="shared" si="59"/>
        <v>-0.18241978608041731</v>
      </c>
      <c r="S25" s="4">
        <f t="shared" si="59"/>
        <v>-0.74319731623906393</v>
      </c>
      <c r="T25" s="4">
        <f t="shared" si="59"/>
        <v>-1.7721660306172875</v>
      </c>
      <c r="U25" s="4">
        <f t="shared" si="59"/>
        <v>-1.1323135127664756</v>
      </c>
      <c r="V25" s="4">
        <f t="shared" si="59"/>
        <v>-0.62816446530417647</v>
      </c>
      <c r="W25" s="4">
        <f t="shared" si="59"/>
        <v>-7.3626461875424809</v>
      </c>
      <c r="X25" s="4">
        <f t="shared" si="59"/>
        <v>3.4028071864823648</v>
      </c>
      <c r="Y25" s="4">
        <f t="shared" si="59"/>
        <v>42.146858835300797</v>
      </c>
      <c r="Z25" s="4">
        <f>Z15/V15-1</f>
        <v>5.3200724992652271E-2</v>
      </c>
      <c r="AA25" s="4"/>
      <c r="AG25" s="4"/>
      <c r="AH25" s="4">
        <f t="shared" ref="AH25:AK25" si="60">AH15/AG15-1</f>
        <v>-0.27302129124561181</v>
      </c>
      <c r="AI25" s="4">
        <f t="shared" si="60"/>
        <v>0.5543084964216789</v>
      </c>
      <c r="AJ25" s="4">
        <f t="shared" si="60"/>
        <v>1.1256658786185905</v>
      </c>
      <c r="AK25" s="4">
        <f>AK15/AJ15-1</f>
        <v>-1.2472140305898527</v>
      </c>
      <c r="AL25" s="4">
        <f>AL15/AK15-1</f>
        <v>3.253267806423775</v>
      </c>
      <c r="AM25" s="4">
        <f>AM15/AL15-1</f>
        <v>-0.44297289529311024</v>
      </c>
      <c r="AN25" s="4">
        <f t="shared" ref="AL25:AP25" si="61">AN15/AM15-1</f>
        <v>-0.22762748451863213</v>
      </c>
      <c r="AO25" s="4">
        <f t="shared" si="61"/>
        <v>-8.7934244018770924E-2</v>
      </c>
      <c r="AP25" s="4">
        <f t="shared" si="61"/>
        <v>-9.7341650387442136E-2</v>
      </c>
      <c r="AQ25" s="1"/>
      <c r="AR25" s="19"/>
      <c r="AS25" s="2" t="s">
        <v>57</v>
      </c>
      <c r="AT25" s="9">
        <f>AT24/Main!C5</f>
        <v>-119.4970517200274</v>
      </c>
    </row>
    <row r="26" spans="2:46" x14ac:dyDescent="0.25">
      <c r="B26" s="1" t="s">
        <v>37</v>
      </c>
      <c r="C26" s="4">
        <f>C5/C3</f>
        <v>0.4037577790869436</v>
      </c>
      <c r="D26" s="4">
        <f t="shared" ref="C26:Z26" si="62">D5/D3</f>
        <v>0.40208759999639987</v>
      </c>
      <c r="E26" s="4">
        <f t="shared" si="62"/>
        <v>0.39948947365673637</v>
      </c>
      <c r="F26" s="4">
        <f t="shared" si="62"/>
        <v>0.41246353729095919</v>
      </c>
      <c r="G26" s="4">
        <f t="shared" si="62"/>
        <v>0.4005622798650405</v>
      </c>
      <c r="H26" s="4">
        <f t="shared" si="62"/>
        <v>0.39781573824629879</v>
      </c>
      <c r="I26" s="4">
        <f t="shared" si="62"/>
        <v>0.39673866512327188</v>
      </c>
      <c r="J26" s="4">
        <f t="shared" si="62"/>
        <v>0.39454020020137115</v>
      </c>
      <c r="K26" s="4">
        <f t="shared" si="62"/>
        <v>0.39659270860765627</v>
      </c>
      <c r="L26" s="4">
        <f t="shared" si="62"/>
        <v>0.41574336895153069</v>
      </c>
      <c r="M26" s="4">
        <f t="shared" si="62"/>
        <v>0.4048790754213763</v>
      </c>
      <c r="N26" s="4">
        <f t="shared" si="62"/>
        <v>0.39425000647327391</v>
      </c>
      <c r="O26" s="4">
        <f t="shared" si="62"/>
        <v>0.40247682018169828</v>
      </c>
      <c r="P26" s="4">
        <f t="shared" si="62"/>
        <v>0.39646446279403913</v>
      </c>
      <c r="Q26" s="4">
        <f t="shared" si="62"/>
        <v>0.38870861958468345</v>
      </c>
      <c r="R26" s="4">
        <f t="shared" si="62"/>
        <v>0.3730220361069525</v>
      </c>
      <c r="S26" s="4">
        <f t="shared" si="62"/>
        <v>0.36705380173621566</v>
      </c>
      <c r="T26" s="4">
        <f t="shared" si="62"/>
        <v>0.32576226340251713</v>
      </c>
      <c r="U26" s="4">
        <f t="shared" si="62"/>
        <v>0.34000370345459235</v>
      </c>
      <c r="V26" s="4">
        <f t="shared" si="62"/>
        <v>0.36348472211691552</v>
      </c>
      <c r="W26" s="4">
        <f t="shared" si="62"/>
        <v>0.34930316302309505</v>
      </c>
      <c r="X26" s="4">
        <f t="shared" si="62"/>
        <v>0.32990772898142035</v>
      </c>
      <c r="Y26" s="4">
        <f t="shared" si="62"/>
        <v>0.36410185481899365</v>
      </c>
      <c r="Z26" s="4">
        <f>Z5/Z3</f>
        <v>0.37732201076654781</v>
      </c>
      <c r="AA26" s="4"/>
      <c r="AG26" s="4">
        <f t="shared" ref="AG26:AP26" si="63">AG5/AG3</f>
        <v>0.40508829051727668</v>
      </c>
      <c r="AH26" s="4">
        <f t="shared" si="63"/>
        <v>0.39725915712036791</v>
      </c>
      <c r="AI26" s="4">
        <f t="shared" si="63"/>
        <v>0.40285708478500237</v>
      </c>
      <c r="AJ26" s="4">
        <f t="shared" si="63"/>
        <v>0.42203569308570232</v>
      </c>
      <c r="AK26" s="4">
        <f>AK5/AK3</f>
        <v>0.34992408101268224</v>
      </c>
      <c r="AL26" s="4">
        <f>AL5/AL3</f>
        <v>0.35628351479097758</v>
      </c>
      <c r="AM26" s="4">
        <f t="shared" ref="AL26:AP26" si="64">AM5/AM3</f>
        <v>0.39016332980197865</v>
      </c>
      <c r="AN26" s="4">
        <f t="shared" si="64"/>
        <v>0.40845842990791931</v>
      </c>
      <c r="AO26" s="4">
        <f t="shared" si="64"/>
        <v>0.41431527713655375</v>
      </c>
      <c r="AP26" s="4">
        <f t="shared" si="64"/>
        <v>0.42011413577876616</v>
      </c>
      <c r="AS26" s="2" t="s">
        <v>58</v>
      </c>
      <c r="AT26" s="9">
        <f>Main!C4</f>
        <v>5.44</v>
      </c>
    </row>
    <row r="27" spans="2:46" x14ac:dyDescent="0.25">
      <c r="B27" s="1" t="s">
        <v>38</v>
      </c>
      <c r="C27" s="4">
        <f>C8/C3</f>
        <v>5.8254724235261818E-2</v>
      </c>
      <c r="D27" s="4">
        <f t="shared" ref="D27:Z27" si="65">D8/D3</f>
        <v>5.3031945663815784E-2</v>
      </c>
      <c r="E27" s="4">
        <f t="shared" si="65"/>
        <v>1.9443153918298445E-2</v>
      </c>
      <c r="F27" s="4">
        <f t="shared" si="65"/>
        <v>0.1141352387255709</v>
      </c>
      <c r="G27" s="4">
        <f t="shared" si="65"/>
        <v>4.5101235070952532E-2</v>
      </c>
      <c r="H27" s="4">
        <f t="shared" si="65"/>
        <v>3.4496580204309443E-2</v>
      </c>
      <c r="I27" s="4">
        <f t="shared" si="65"/>
        <v>2.2835851053264314E-2</v>
      </c>
      <c r="J27" s="4">
        <f t="shared" si="65"/>
        <v>0.10140437167311131</v>
      </c>
      <c r="K27" s="4">
        <f t="shared" si="65"/>
        <v>7.7910626349321638E-2</v>
      </c>
      <c r="L27" s="4">
        <f t="shared" si="65"/>
        <v>0.10921075759169969</v>
      </c>
      <c r="M27" s="4">
        <f t="shared" si="65"/>
        <v>5.4854944935319339E-2</v>
      </c>
      <c r="N27" s="4">
        <f t="shared" si="65"/>
        <v>9.4685873589905045E-2</v>
      </c>
      <c r="O27" s="4">
        <f t="shared" si="65"/>
        <v>9.6477381221886455E-2</v>
      </c>
      <c r="P27" s="4">
        <f t="shared" si="65"/>
        <v>6.1164121220771063E-2</v>
      </c>
      <c r="Q27" s="4">
        <f t="shared" si="65"/>
        <v>2.3810771635810375E-2</v>
      </c>
      <c r="R27" s="4">
        <f t="shared" si="65"/>
        <v>6.0538526957814046E-2</v>
      </c>
      <c r="S27" s="4">
        <f t="shared" si="65"/>
        <v>1.7323603309488331E-2</v>
      </c>
      <c r="T27" s="4">
        <f t="shared" si="65"/>
        <v>-5.3405792956728509E-2</v>
      </c>
      <c r="U27" s="4">
        <f t="shared" si="65"/>
        <v>-7.7686187858149472E-2</v>
      </c>
      <c r="V27" s="4">
        <f t="shared" si="65"/>
        <v>2.2676887564293695E-2</v>
      </c>
      <c r="W27" s="4">
        <f t="shared" si="65"/>
        <v>-0.19989462226442867</v>
      </c>
      <c r="X27" s="4">
        <f t="shared" si="65"/>
        <v>-7.0921332220428721E-2</v>
      </c>
      <c r="Y27" s="4">
        <f t="shared" si="65"/>
        <v>-0.14796766655920029</v>
      </c>
      <c r="Z27" s="4">
        <f t="shared" si="65"/>
        <v>3.6514176213925949E-2</v>
      </c>
      <c r="AA27" s="4"/>
      <c r="AG27" s="4">
        <f t="shared" ref="AG27:AP27" si="66">AG8/AG3</f>
        <v>6.5573141431872664E-2</v>
      </c>
      <c r="AH27" s="4">
        <f t="shared" si="66"/>
        <v>5.4717856619539471E-2</v>
      </c>
      <c r="AI27" s="4">
        <f t="shared" si="66"/>
        <v>8.5790457005161566E-2</v>
      </c>
      <c r="AJ27" s="4">
        <f t="shared" si="66"/>
        <v>9.4477240686807476E-2</v>
      </c>
      <c r="AK27" s="4">
        <f>AK8/AK3</f>
        <v>-1.9502118471657514E-2</v>
      </c>
      <c r="AL27" s="4">
        <f>AL8/AL3</f>
        <v>-8.610217051147058E-2</v>
      </c>
      <c r="AM27" s="4">
        <f t="shared" ref="AL27:AP27" si="67">AM8/AM3</f>
        <v>-7.0849121197414738E-2</v>
      </c>
      <c r="AN27" s="4">
        <f t="shared" si="67"/>
        <v>-5.2554021091474085E-2</v>
      </c>
      <c r="AO27" s="4">
        <f t="shared" si="67"/>
        <v>-4.6697173862839704E-2</v>
      </c>
      <c r="AP27" s="4">
        <f t="shared" si="67"/>
        <v>-4.0898315220627292E-2</v>
      </c>
      <c r="AS27" s="17" t="s">
        <v>59</v>
      </c>
      <c r="AT27" s="6">
        <f>AT25/AT26-1</f>
        <v>-22.966369801475622</v>
      </c>
    </row>
    <row r="28" spans="2:46" x14ac:dyDescent="0.25">
      <c r="B28" s="1" t="s">
        <v>27</v>
      </c>
      <c r="C28" s="4">
        <f>C12/C11</f>
        <v>0.17898843374817991</v>
      </c>
      <c r="D28" s="4">
        <f t="shared" ref="D28:Z28" si="68">D12/D11</f>
        <v>0.12622290427776695</v>
      </c>
      <c r="E28" s="4">
        <f t="shared" si="68"/>
        <v>-0.31584410192537116</v>
      </c>
      <c r="F28" s="4">
        <f t="shared" si="68"/>
        <v>0.20161272195999091</v>
      </c>
      <c r="G28" s="4">
        <f t="shared" si="68"/>
        <v>0.1309264819576044</v>
      </c>
      <c r="H28" s="4">
        <f t="shared" si="68"/>
        <v>4.3566710700132093E-2</v>
      </c>
      <c r="I28" s="4">
        <f t="shared" si="68"/>
        <v>1.8003430041446262</v>
      </c>
      <c r="J28" s="4">
        <f t="shared" si="68"/>
        <v>0.17777917071489038</v>
      </c>
      <c r="K28" s="4">
        <f t="shared" si="68"/>
        <v>0.16476097038886922</v>
      </c>
      <c r="L28" s="4">
        <f t="shared" si="68"/>
        <v>0.87165658479702712</v>
      </c>
      <c r="M28" s="4">
        <f t="shared" si="68"/>
        <v>0.13128137238678378</v>
      </c>
      <c r="N28" s="4">
        <f t="shared" si="68"/>
        <v>0.19534718739679804</v>
      </c>
      <c r="O28" s="4">
        <f t="shared" si="68"/>
        <v>0.16995767325297484</v>
      </c>
      <c r="P28" s="4">
        <f t="shared" si="68"/>
        <v>0.15815938184753775</v>
      </c>
      <c r="Q28" s="4">
        <f t="shared" si="68"/>
        <v>-6.0260367735874495E-2</v>
      </c>
      <c r="R28" s="4">
        <f t="shared" si="68"/>
        <v>0.15283444068850285</v>
      </c>
      <c r="S28" s="4">
        <f t="shared" si="68"/>
        <v>-0.18859986428409911</v>
      </c>
      <c r="T28" s="4">
        <f t="shared" si="68"/>
        <v>0.37845994996227311</v>
      </c>
      <c r="U28" s="4">
        <f t="shared" si="68"/>
        <v>0.89897387072886681</v>
      </c>
      <c r="V28" s="4">
        <f t="shared" si="68"/>
        <v>-0.10692983407439566</v>
      </c>
      <c r="W28" s="4">
        <f t="shared" si="68"/>
        <v>0.27487689365579854</v>
      </c>
      <c r="X28" s="4">
        <f t="shared" si="68"/>
        <v>-1.2673950858882381</v>
      </c>
      <c r="Y28" s="4">
        <f t="shared" si="68"/>
        <v>-8.1386285776432372E-3</v>
      </c>
      <c r="Z28" s="4">
        <f t="shared" si="68"/>
        <v>0.21</v>
      </c>
      <c r="AA28" s="4"/>
      <c r="AG28" s="4">
        <f t="shared" ref="AG28:AP28" si="69">AG12/AG11</f>
        <v>0.15199026667745513</v>
      </c>
      <c r="AH28" s="4">
        <f t="shared" si="69"/>
        <v>0.27313502875622486</v>
      </c>
      <c r="AI28" s="4">
        <f t="shared" si="69"/>
        <v>0.41821902356346757</v>
      </c>
      <c r="AJ28" s="4">
        <f t="shared" si="69"/>
        <v>9.4716305094728559E-2</v>
      </c>
      <c r="AK28" s="4">
        <f>AK12/AK11</f>
        <v>0.36638617478095792</v>
      </c>
      <c r="AL28" s="4">
        <f>AL12/AL11</f>
        <v>-0.13816974940062587</v>
      </c>
      <c r="AM28" s="4">
        <f t="shared" ref="AL28:AP28" si="70">AM12/AM11</f>
        <v>0.21000000000000002</v>
      </c>
      <c r="AN28" s="4">
        <f t="shared" si="70"/>
        <v>0.21</v>
      </c>
      <c r="AO28" s="4">
        <f t="shared" si="70"/>
        <v>0.21</v>
      </c>
      <c r="AP28" s="4">
        <f t="shared" si="70"/>
        <v>0.21</v>
      </c>
    </row>
    <row r="35" spans="34:34" x14ac:dyDescent="0.25">
      <c r="AH35" s="4"/>
    </row>
  </sheetData>
  <phoneticPr fontId="7" type="noConversion"/>
  <conditionalFormatting sqref="AT27">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9C7D2-E78F-45BD-A606-12D107F1324A}">
  <dimension ref="B3:D18"/>
  <sheetViews>
    <sheetView workbookViewId="0">
      <selection activeCell="C6" sqref="C6:C7"/>
    </sheetView>
  </sheetViews>
  <sheetFormatPr defaultColWidth="9.21875" defaultRowHeight="13.8" x14ac:dyDescent="0.25"/>
  <cols>
    <col min="1" max="1" width="9.21875" style="1"/>
    <col min="2" max="2" width="16.21875" style="1" bestFit="1" customWidth="1"/>
    <col min="3" max="3" width="8.44140625" style="1" bestFit="1" customWidth="1"/>
    <col min="4" max="4" width="17.77734375" style="1" bestFit="1" customWidth="1"/>
    <col min="5" max="16384" width="9.21875" style="1"/>
  </cols>
  <sheetData>
    <row r="3" spans="2:4" x14ac:dyDescent="0.25">
      <c r="B3" s="1" t="s">
        <v>7</v>
      </c>
      <c r="C3" s="2">
        <f>Main!C8</f>
        <v>533</v>
      </c>
    </row>
    <row r="4" spans="2:4" x14ac:dyDescent="0.25">
      <c r="B4" s="1" t="s">
        <v>9</v>
      </c>
      <c r="C4" s="2">
        <f>Main!C6</f>
        <v>159.39200000000002</v>
      </c>
    </row>
    <row r="5" spans="2:4" x14ac:dyDescent="0.25">
      <c r="B5" s="1" t="s">
        <v>10</v>
      </c>
      <c r="C5" s="2">
        <f>+C3+C4</f>
        <v>692.39200000000005</v>
      </c>
    </row>
    <row r="6" spans="2:4" x14ac:dyDescent="0.25">
      <c r="B6" s="1" t="s">
        <v>11</v>
      </c>
      <c r="C6" s="4">
        <f>C3/C5</f>
        <v>0.76979514494679313</v>
      </c>
    </row>
    <row r="7" spans="2:4" x14ac:dyDescent="0.25">
      <c r="B7" s="1" t="s">
        <v>12</v>
      </c>
      <c r="C7" s="4">
        <f>C4/C5</f>
        <v>0.23020485505320687</v>
      </c>
    </row>
    <row r="9" spans="2:4" x14ac:dyDescent="0.25">
      <c r="B9" s="1" t="s">
        <v>13</v>
      </c>
      <c r="C9" s="4">
        <f>AVERAGE(DCF!AG28:AL28)</f>
        <v>0.19437950824536801</v>
      </c>
      <c r="D9" s="1" t="s">
        <v>60</v>
      </c>
    </row>
    <row r="10" spans="2:4" x14ac:dyDescent="0.25">
      <c r="B10" s="1" t="s">
        <v>14</v>
      </c>
      <c r="C10" s="2">
        <f>DCF!AL9</f>
        <v>44.970999999999997</v>
      </c>
      <c r="D10" s="26" t="s">
        <v>78</v>
      </c>
    </row>
    <row r="11" spans="2:4" x14ac:dyDescent="0.25">
      <c r="B11" s="1" t="s">
        <v>15</v>
      </c>
      <c r="C11" s="3">
        <f>(C10*(1-C9))/C3</f>
        <v>6.7972906444085462E-2</v>
      </c>
    </row>
    <row r="13" spans="2:4" x14ac:dyDescent="0.25">
      <c r="B13" s="1" t="s">
        <v>16</v>
      </c>
      <c r="C13" s="3">
        <f>'[1]T-Bond Yields'!$C$12</f>
        <v>4.2999999999999997E-2</v>
      </c>
      <c r="D13" s="23" t="s">
        <v>71</v>
      </c>
    </row>
    <row r="14" spans="2:4" x14ac:dyDescent="0.25">
      <c r="B14" s="1" t="s">
        <v>17</v>
      </c>
      <c r="C14" s="1">
        <v>1.1100000000000001</v>
      </c>
      <c r="D14" s="23" t="s">
        <v>72</v>
      </c>
    </row>
    <row r="15" spans="2:4" x14ac:dyDescent="0.25">
      <c r="B15" s="1" t="s">
        <v>18</v>
      </c>
      <c r="C15" s="4">
        <v>0.08</v>
      </c>
      <c r="D15" s="1" t="s">
        <v>19</v>
      </c>
    </row>
    <row r="16" spans="2:4" x14ac:dyDescent="0.25">
      <c r="B16" s="1" t="s">
        <v>20</v>
      </c>
      <c r="C16" s="3">
        <f>(C13+C14*(C15-C13))</f>
        <v>8.4070000000000006E-2</v>
      </c>
    </row>
    <row r="18" spans="2:3" x14ac:dyDescent="0.25">
      <c r="B18" s="5" t="s">
        <v>21</v>
      </c>
      <c r="C18" s="6">
        <f>(C7*C16)+(C6*C11)*(1-C9)</f>
        <v>6.1507586289484231E-2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DCF</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dc:creator>
  <cp:lastModifiedBy>Bill Sheldon</cp:lastModifiedBy>
  <dcterms:created xsi:type="dcterms:W3CDTF">2020-12-14T19:14:35Z</dcterms:created>
  <dcterms:modified xsi:type="dcterms:W3CDTF">2024-03-03T20:54:21Z</dcterms:modified>
</cp:coreProperties>
</file>