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wlshe\Documents\Models\"/>
    </mc:Choice>
  </mc:AlternateContent>
  <xr:revisionPtr revIDLastSave="0" documentId="13_ncr:1_{24D632E3-732C-4A38-88AB-5A3769E7D1A9}" xr6:coauthVersionLast="47" xr6:coauthVersionMax="47" xr10:uidLastSave="{00000000-0000-0000-0000-000000000000}"/>
  <bookViews>
    <workbookView xWindow="-108" yWindow="-108" windowWidth="23256" windowHeight="12456" activeTab="1" xr2:uid="{B7D3DC1B-6F44-4F99-897C-092975BC6035}"/>
  </bookViews>
  <sheets>
    <sheet name="Main" sheetId="1" r:id="rId1"/>
    <sheet name="DCF" sheetId="2" r:id="rId2"/>
    <sheet name="WACC" sheetId="3" r:id="rId3"/>
  </sheets>
  <externalReferences>
    <externalReference r:id="rId4"/>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F3" i="2" l="1"/>
  <c r="AF5" i="2"/>
  <c r="AF4" i="2"/>
  <c r="AF27" i="2" s="1"/>
  <c r="AU28" i="2"/>
  <c r="AT28" i="2"/>
  <c r="AS28" i="2"/>
  <c r="AR28" i="2"/>
  <c r="AQ28" i="2"/>
  <c r="AU27" i="2"/>
  <c r="AT27" i="2"/>
  <c r="AS27" i="2"/>
  <c r="AR27" i="2"/>
  <c r="AQ27" i="2"/>
  <c r="AU26" i="2"/>
  <c r="AT26" i="2"/>
  <c r="AS26" i="2"/>
  <c r="AR26" i="2"/>
  <c r="AQ26" i="2"/>
  <c r="AP28" i="2"/>
  <c r="AP27" i="2"/>
  <c r="AP26" i="2"/>
  <c r="AX23" i="2"/>
  <c r="AY23" i="2" s="1"/>
  <c r="AZ23" i="2" s="1"/>
  <c r="AW23" i="2"/>
  <c r="AV23" i="2"/>
  <c r="AU23" i="2"/>
  <c r="AT23" i="2"/>
  <c r="AS23" i="2"/>
  <c r="AH23" i="2"/>
  <c r="AG23" i="2"/>
  <c r="AF23" i="2"/>
  <c r="AH24" i="2"/>
  <c r="AG24" i="2"/>
  <c r="AF24" i="2"/>
  <c r="AE24" i="2"/>
  <c r="AD24" i="2"/>
  <c r="AC24" i="2"/>
  <c r="AB24" i="2"/>
  <c r="AA24" i="2"/>
  <c r="Z24" i="2"/>
  <c r="Y24" i="2"/>
  <c r="X24" i="2"/>
  <c r="W24" i="2"/>
  <c r="V24" i="2"/>
  <c r="U24" i="2"/>
  <c r="T24" i="2"/>
  <c r="AW11" i="2"/>
  <c r="AX11" i="2" s="1"/>
  <c r="AY11" i="2" s="1"/>
  <c r="AZ11" i="2" s="1"/>
  <c r="AW10" i="2"/>
  <c r="AX10" i="2" s="1"/>
  <c r="AY10" i="2" s="1"/>
  <c r="AZ10" i="2" s="1"/>
  <c r="AX9" i="2"/>
  <c r="AY9" i="2" s="1"/>
  <c r="AZ9" i="2" s="1"/>
  <c r="AZ20" i="2"/>
  <c r="AY20" i="2"/>
  <c r="AX20" i="2"/>
  <c r="AU19" i="2"/>
  <c r="AT19" i="2"/>
  <c r="AS19" i="2"/>
  <c r="AR19" i="2"/>
  <c r="AQ19" i="2"/>
  <c r="AP19" i="2"/>
  <c r="AO19" i="2"/>
  <c r="AH19" i="2"/>
  <c r="AG19" i="2"/>
  <c r="AE19" i="2"/>
  <c r="AD19" i="2"/>
  <c r="AC19" i="2"/>
  <c r="AB19" i="2"/>
  <c r="AA19" i="2"/>
  <c r="Z19" i="2"/>
  <c r="Y19" i="2"/>
  <c r="X19" i="2"/>
  <c r="W19" i="2"/>
  <c r="V19" i="2"/>
  <c r="U19" i="2"/>
  <c r="T19" i="2"/>
  <c r="S19" i="2"/>
  <c r="R19" i="2"/>
  <c r="Q19" i="2"/>
  <c r="P19" i="2"/>
  <c r="O19" i="2"/>
  <c r="N19" i="2"/>
  <c r="M19" i="2"/>
  <c r="L19" i="2"/>
  <c r="K19" i="2"/>
  <c r="J19" i="2"/>
  <c r="I19" i="2"/>
  <c r="H19" i="2"/>
  <c r="G19" i="2"/>
  <c r="F19" i="2"/>
  <c r="E19" i="2"/>
  <c r="D19" i="2"/>
  <c r="C19" i="2"/>
  <c r="AV20" i="2"/>
  <c r="AV16" i="2"/>
  <c r="AV10" i="2"/>
  <c r="AV9" i="2"/>
  <c r="AH20" i="2"/>
  <c r="AG20" i="2"/>
  <c r="AF20" i="2"/>
  <c r="AH16" i="2"/>
  <c r="AG16" i="2"/>
  <c r="AF16" i="2"/>
  <c r="AH15" i="2"/>
  <c r="AG15" i="2"/>
  <c r="AF15" i="2"/>
  <c r="AV15" i="2" s="1"/>
  <c r="AH13" i="2"/>
  <c r="AG13" i="2"/>
  <c r="AF13" i="2"/>
  <c r="AV13" i="2" s="1"/>
  <c r="AH11" i="2"/>
  <c r="AV11" i="2" s="1"/>
  <c r="AG11" i="2"/>
  <c r="AF11" i="2"/>
  <c r="AH10" i="2"/>
  <c r="AG10" i="2"/>
  <c r="AF10" i="2"/>
  <c r="AH9" i="2"/>
  <c r="AG9" i="2"/>
  <c r="AF9" i="2"/>
  <c r="AH7" i="2"/>
  <c r="AG7" i="2"/>
  <c r="AF7" i="2"/>
  <c r="AV7" i="2" s="1"/>
  <c r="AH5" i="2"/>
  <c r="AG5" i="2"/>
  <c r="AG28" i="2" s="1"/>
  <c r="AF28" i="2"/>
  <c r="AH4" i="2"/>
  <c r="AH27" i="2" s="1"/>
  <c r="AG4" i="2"/>
  <c r="AG27" i="2" s="1"/>
  <c r="AH3" i="2"/>
  <c r="AH26" i="2" s="1"/>
  <c r="AG3" i="2"/>
  <c r="AG26" i="2" s="1"/>
  <c r="AF26" i="2"/>
  <c r="AE28" i="2"/>
  <c r="AD28" i="2"/>
  <c r="AC28" i="2"/>
  <c r="AB28" i="2"/>
  <c r="AA28" i="2"/>
  <c r="Z28" i="2"/>
  <c r="Y28" i="2"/>
  <c r="X28" i="2"/>
  <c r="W28" i="2"/>
  <c r="V28" i="2"/>
  <c r="U28" i="2"/>
  <c r="T28" i="2"/>
  <c r="S28" i="2"/>
  <c r="R28" i="2"/>
  <c r="Q28" i="2"/>
  <c r="P28" i="2"/>
  <c r="O28" i="2"/>
  <c r="N28" i="2"/>
  <c r="M28" i="2"/>
  <c r="L28" i="2"/>
  <c r="K28" i="2"/>
  <c r="J28" i="2"/>
  <c r="I28" i="2"/>
  <c r="H28" i="2"/>
  <c r="G28" i="2"/>
  <c r="AE27" i="2"/>
  <c r="AD27" i="2"/>
  <c r="AC27" i="2"/>
  <c r="AB27" i="2"/>
  <c r="AA27" i="2"/>
  <c r="Z27" i="2"/>
  <c r="Y27" i="2"/>
  <c r="X27" i="2"/>
  <c r="W27" i="2"/>
  <c r="V27" i="2"/>
  <c r="U27" i="2"/>
  <c r="T27" i="2"/>
  <c r="S27" i="2"/>
  <c r="R27" i="2"/>
  <c r="Q27" i="2"/>
  <c r="P27" i="2"/>
  <c r="O27" i="2"/>
  <c r="N27" i="2"/>
  <c r="M27" i="2"/>
  <c r="L27" i="2"/>
  <c r="K27" i="2"/>
  <c r="J27" i="2"/>
  <c r="I27" i="2"/>
  <c r="H27" i="2"/>
  <c r="G27" i="2"/>
  <c r="AE26" i="2"/>
  <c r="AD26" i="2"/>
  <c r="AC26" i="2"/>
  <c r="AB26" i="2"/>
  <c r="AA26" i="2"/>
  <c r="Z26" i="2"/>
  <c r="Y26" i="2"/>
  <c r="X26" i="2"/>
  <c r="W26" i="2"/>
  <c r="V26" i="2"/>
  <c r="U26" i="2"/>
  <c r="T26" i="2"/>
  <c r="S26" i="2"/>
  <c r="R26" i="2"/>
  <c r="Q26" i="2"/>
  <c r="P26" i="2"/>
  <c r="O26" i="2"/>
  <c r="N26" i="2"/>
  <c r="M26" i="2"/>
  <c r="L26" i="2"/>
  <c r="K26" i="2"/>
  <c r="J26" i="2"/>
  <c r="I26" i="2"/>
  <c r="H26" i="2"/>
  <c r="G26" i="2"/>
  <c r="AH28" i="2"/>
  <c r="C13" i="3"/>
  <c r="AZ24" i="2" l="1"/>
  <c r="AY24" i="2"/>
  <c r="AX24" i="2"/>
  <c r="AV3" i="2"/>
  <c r="AV4" i="2"/>
  <c r="AV5" i="2"/>
  <c r="AW5" i="2" l="1"/>
  <c r="AV28" i="2"/>
  <c r="AW4" i="2"/>
  <c r="AV27" i="2"/>
  <c r="AW3" i="2"/>
  <c r="AV26" i="2"/>
  <c r="AX5" i="2" l="1"/>
  <c r="AW28" i="2"/>
  <c r="AX4" i="2"/>
  <c r="AW27" i="2"/>
  <c r="AX3" i="2"/>
  <c r="AW26" i="2"/>
  <c r="AY5" i="2" l="1"/>
  <c r="AX28" i="2"/>
  <c r="AY4" i="2"/>
  <c r="AX27" i="2"/>
  <c r="AY3" i="2"/>
  <c r="AX26" i="2"/>
  <c r="AZ5" i="2" l="1"/>
  <c r="AZ28" i="2" s="1"/>
  <c r="AY28" i="2"/>
  <c r="AZ4" i="2"/>
  <c r="AZ27" i="2" s="1"/>
  <c r="AY27" i="2"/>
  <c r="AZ3" i="2"/>
  <c r="AZ26" i="2" s="1"/>
  <c r="AY26" i="2"/>
  <c r="C8" i="1" l="1"/>
  <c r="C7" i="1"/>
  <c r="AU16" i="2"/>
  <c r="C10" i="3" s="1"/>
  <c r="AU20" i="2"/>
  <c r="AU18" i="2"/>
  <c r="AU15" i="2"/>
  <c r="AU13" i="2"/>
  <c r="AU11" i="2"/>
  <c r="AU10" i="2"/>
  <c r="AU9" i="2"/>
  <c r="AU7" i="2"/>
  <c r="AU5" i="2"/>
  <c r="AU4" i="2"/>
  <c r="AU3" i="2"/>
  <c r="AZ33" i="2"/>
  <c r="AY33" i="2"/>
  <c r="AW24" i="2"/>
  <c r="AV24" i="2"/>
  <c r="AU24" i="2"/>
  <c r="AT24" i="2"/>
  <c r="AZ6" i="2"/>
  <c r="AY6" i="2"/>
  <c r="AX6" i="2"/>
  <c r="AE33" i="2"/>
  <c r="AH33" i="2"/>
  <c r="AG33" i="2"/>
  <c r="AF33" i="2"/>
  <c r="AD33" i="2"/>
  <c r="AC33" i="2"/>
  <c r="AH30" i="2"/>
  <c r="AG30" i="2"/>
  <c r="AF30" i="2"/>
  <c r="AE30" i="2"/>
  <c r="AD30" i="2"/>
  <c r="AC30" i="2"/>
  <c r="AH12" i="2"/>
  <c r="AG12" i="2"/>
  <c r="AF12" i="2"/>
  <c r="AE12" i="2"/>
  <c r="AD12" i="2"/>
  <c r="AH31" i="2" s="1"/>
  <c r="AC12" i="2"/>
  <c r="AH6" i="2"/>
  <c r="AH8" i="2" s="1"/>
  <c r="AH35" i="2" s="1"/>
  <c r="AG6" i="2"/>
  <c r="AG8" i="2" s="1"/>
  <c r="AF6" i="2"/>
  <c r="AF8" i="2" s="1"/>
  <c r="AE6" i="2"/>
  <c r="AD6" i="2"/>
  <c r="AC6" i="2"/>
  <c r="AY29" i="2" l="1"/>
  <c r="AZ29" i="2"/>
  <c r="AF14" i="2"/>
  <c r="AF35" i="2"/>
  <c r="AG35" i="2"/>
  <c r="AG14" i="2"/>
  <c r="AH14" i="2"/>
  <c r="AG29" i="2"/>
  <c r="AG31" i="2"/>
  <c r="AC8" i="2"/>
  <c r="AC14" i="2" s="1"/>
  <c r="AC36" i="2" s="1"/>
  <c r="AH29" i="2"/>
  <c r="AD8" i="2"/>
  <c r="AE8" i="2"/>
  <c r="AE35" i="2" s="1"/>
  <c r="BG32" i="2"/>
  <c r="AW15" i="2"/>
  <c r="AX15" i="2" s="1"/>
  <c r="AY15" i="2" s="1"/>
  <c r="AZ15" i="2" s="1"/>
  <c r="AT18" i="2"/>
  <c r="AT16" i="2"/>
  <c r="AT15" i="2"/>
  <c r="AT13" i="2"/>
  <c r="AT11" i="2"/>
  <c r="AT10" i="2"/>
  <c r="AT9" i="2"/>
  <c r="AT12" i="2" s="1"/>
  <c r="AT7" i="2"/>
  <c r="AT5" i="2"/>
  <c r="AT4" i="2"/>
  <c r="AT3" i="2"/>
  <c r="AB30" i="2"/>
  <c r="AB12" i="2"/>
  <c r="AF31" i="2" s="1"/>
  <c r="AB33" i="2"/>
  <c r="AA33" i="2"/>
  <c r="AA30" i="2"/>
  <c r="AA12" i="2"/>
  <c r="AE31" i="2" s="1"/>
  <c r="AB6" i="2"/>
  <c r="AA6" i="2"/>
  <c r="AE29" i="2" s="1"/>
  <c r="AE14" i="2" l="1"/>
  <c r="AE36" i="2" s="1"/>
  <c r="AH17" i="2"/>
  <c r="AH18" i="2" s="1"/>
  <c r="AH36" i="2"/>
  <c r="AG36" i="2"/>
  <c r="AG17" i="2"/>
  <c r="AG18" i="2" s="1"/>
  <c r="AF17" i="2"/>
  <c r="AF36" i="2"/>
  <c r="AC17" i="2"/>
  <c r="AC35" i="2"/>
  <c r="AD14" i="2"/>
  <c r="AD35" i="2"/>
  <c r="AB8" i="2"/>
  <c r="AB35" i="2" s="1"/>
  <c r="AF29" i="2"/>
  <c r="AA8" i="2"/>
  <c r="AW16" i="2"/>
  <c r="AX16" i="2" s="1"/>
  <c r="AY16" i="2" s="1"/>
  <c r="AZ16" i="2" s="1"/>
  <c r="AW13" i="2"/>
  <c r="AX13" i="2" s="1"/>
  <c r="AY13" i="2" s="1"/>
  <c r="AZ13" i="2" s="1"/>
  <c r="AS18" i="2"/>
  <c r="AS16" i="2"/>
  <c r="AS13" i="2"/>
  <c r="AS11" i="2"/>
  <c r="AS10" i="2"/>
  <c r="AS9" i="2"/>
  <c r="AS7" i="2"/>
  <c r="AS5" i="2"/>
  <c r="AS4" i="2"/>
  <c r="AS3" i="2"/>
  <c r="AT20" i="2"/>
  <c r="AW9" i="2"/>
  <c r="AO18" i="2"/>
  <c r="AO16" i="2"/>
  <c r="AO13" i="2"/>
  <c r="AO11" i="2"/>
  <c r="AO10" i="2"/>
  <c r="AO9" i="2"/>
  <c r="AO7" i="2"/>
  <c r="AO5" i="2"/>
  <c r="AO4" i="2"/>
  <c r="AO3" i="2"/>
  <c r="AP18" i="2"/>
  <c r="AP16" i="2"/>
  <c r="AP13" i="2"/>
  <c r="AP11" i="2"/>
  <c r="AP10" i="2"/>
  <c r="AP9" i="2"/>
  <c r="AP7" i="2"/>
  <c r="AP5" i="2"/>
  <c r="AP4" i="2"/>
  <c r="AP3" i="2"/>
  <c r="AQ3" i="2"/>
  <c r="AO20" i="2"/>
  <c r="AP20" i="2"/>
  <c r="AQ20" i="2"/>
  <c r="AQ18" i="2"/>
  <c r="AQ16" i="2"/>
  <c r="AQ13" i="2"/>
  <c r="AQ11" i="2"/>
  <c r="AQ10" i="2"/>
  <c r="AQ9" i="2"/>
  <c r="AQ12" i="2" s="1"/>
  <c r="AQ7" i="2"/>
  <c r="AQ5" i="2"/>
  <c r="AQ4" i="2"/>
  <c r="AR16" i="2"/>
  <c r="C15" i="2"/>
  <c r="D15" i="2"/>
  <c r="E15" i="2"/>
  <c r="F15" i="2"/>
  <c r="G15" i="2"/>
  <c r="H15" i="2"/>
  <c r="I15" i="2"/>
  <c r="J15" i="2"/>
  <c r="K15" i="2"/>
  <c r="L15" i="2"/>
  <c r="M15" i="2"/>
  <c r="N15" i="2"/>
  <c r="O15" i="2"/>
  <c r="P15" i="2"/>
  <c r="Q15" i="2"/>
  <c r="R15" i="2"/>
  <c r="S15" i="2"/>
  <c r="AR20" i="2"/>
  <c r="AR18" i="2"/>
  <c r="AR13" i="2"/>
  <c r="AR11" i="2"/>
  <c r="AR10" i="2"/>
  <c r="AR9" i="2"/>
  <c r="AR7" i="2"/>
  <c r="AR5" i="2"/>
  <c r="AR4" i="2"/>
  <c r="AR3" i="2"/>
  <c r="AS20" i="2"/>
  <c r="AR6" i="2"/>
  <c r="AR8" i="2" s="1"/>
  <c r="Z6" i="2"/>
  <c r="AD29" i="2" s="1"/>
  <c r="Z33" i="2"/>
  <c r="Y33" i="2"/>
  <c r="X33" i="2"/>
  <c r="W33" i="2"/>
  <c r="V33" i="2"/>
  <c r="U33" i="2"/>
  <c r="T33" i="2"/>
  <c r="Z30" i="2"/>
  <c r="Y30" i="2"/>
  <c r="X30" i="2"/>
  <c r="W30" i="2"/>
  <c r="V30" i="2"/>
  <c r="U30" i="2"/>
  <c r="T30" i="2"/>
  <c r="Y12" i="2"/>
  <c r="AC31" i="2" s="1"/>
  <c r="X12" i="2"/>
  <c r="W12" i="2"/>
  <c r="AA31" i="2" s="1"/>
  <c r="V12" i="2"/>
  <c r="U12" i="2"/>
  <c r="Y31" i="2" s="1"/>
  <c r="T12" i="2"/>
  <c r="S12" i="2"/>
  <c r="R12" i="2"/>
  <c r="Q12" i="2"/>
  <c r="P12" i="2"/>
  <c r="O12" i="2"/>
  <c r="N12" i="2"/>
  <c r="M12" i="2"/>
  <c r="L12" i="2"/>
  <c r="K12" i="2"/>
  <c r="J12" i="2"/>
  <c r="I12" i="2"/>
  <c r="H12" i="2"/>
  <c r="G12" i="2"/>
  <c r="F12" i="2"/>
  <c r="E12" i="2"/>
  <c r="D12" i="2"/>
  <c r="C12" i="2"/>
  <c r="V15" i="2"/>
  <c r="Z12" i="2"/>
  <c r="Y6" i="2"/>
  <c r="AC29" i="2" s="1"/>
  <c r="X6" i="2"/>
  <c r="X8" i="2" s="1"/>
  <c r="X35" i="2" s="1"/>
  <c r="W6" i="2"/>
  <c r="W8" i="2" s="1"/>
  <c r="W35" i="2" s="1"/>
  <c r="V6" i="2"/>
  <c r="U6" i="2"/>
  <c r="U8" i="2" s="1"/>
  <c r="U35" i="2" s="1"/>
  <c r="T6" i="2"/>
  <c r="T8" i="2" s="1"/>
  <c r="T35" i="2" s="1"/>
  <c r="S6" i="2"/>
  <c r="S8" i="2" s="1"/>
  <c r="S33" i="2"/>
  <c r="S30" i="2"/>
  <c r="S24" i="2"/>
  <c r="M24" i="2"/>
  <c r="L24" i="2"/>
  <c r="K24" i="2"/>
  <c r="J24" i="2"/>
  <c r="I24" i="2"/>
  <c r="H24" i="2"/>
  <c r="G24" i="2"/>
  <c r="N24" i="2"/>
  <c r="O24" i="2"/>
  <c r="P24" i="2"/>
  <c r="Q24" i="2"/>
  <c r="R24" i="2"/>
  <c r="AF18" i="2" l="1"/>
  <c r="AV18" i="2" s="1"/>
  <c r="AE17" i="2"/>
  <c r="V31" i="2"/>
  <c r="AO12" i="2"/>
  <c r="AP15" i="2"/>
  <c r="W31" i="2"/>
  <c r="AO6" i="2"/>
  <c r="AO8" i="2" s="1"/>
  <c r="AO14" i="2" s="1"/>
  <c r="Z31" i="2"/>
  <c r="AD31" i="2"/>
  <c r="AG21" i="2"/>
  <c r="AG37" i="2"/>
  <c r="AH37" i="2"/>
  <c r="AH21" i="2"/>
  <c r="AD36" i="2"/>
  <c r="AD17" i="2"/>
  <c r="AB14" i="2"/>
  <c r="AB36" i="2" s="1"/>
  <c r="AE37" i="2"/>
  <c r="AQ15" i="2"/>
  <c r="AS15" i="2"/>
  <c r="AR12" i="2"/>
  <c r="AR14" i="2" s="1"/>
  <c r="S14" i="2"/>
  <c r="S17" i="2" s="1"/>
  <c r="AP12" i="2"/>
  <c r="AO15" i="2"/>
  <c r="T31" i="2"/>
  <c r="U31" i="2"/>
  <c r="AQ6" i="2"/>
  <c r="AB29" i="2"/>
  <c r="Y8" i="2"/>
  <c r="Y35" i="2" s="1"/>
  <c r="AR15" i="2"/>
  <c r="X31" i="2"/>
  <c r="Z29" i="2"/>
  <c r="AB31" i="2"/>
  <c r="AA29" i="2"/>
  <c r="AA35" i="2"/>
  <c r="AA14" i="2"/>
  <c r="AT6" i="2"/>
  <c r="V8" i="2"/>
  <c r="V35" i="2" s="1"/>
  <c r="W29" i="2"/>
  <c r="Z8" i="2"/>
  <c r="X29" i="2"/>
  <c r="Y29" i="2"/>
  <c r="AP6" i="2"/>
  <c r="AP8" i="2" s="1"/>
  <c r="AS12" i="2"/>
  <c r="AS6" i="2"/>
  <c r="AU6" i="2"/>
  <c r="AW6" i="2"/>
  <c r="AX29" i="2" s="1"/>
  <c r="AV6" i="2"/>
  <c r="AQ8" i="2"/>
  <c r="AQ14" i="2" s="1"/>
  <c r="W14" i="2"/>
  <c r="T14" i="2"/>
  <c r="X14" i="2"/>
  <c r="U14" i="2"/>
  <c r="S35" i="2"/>
  <c r="AR23" i="2"/>
  <c r="AS24" i="2" s="1"/>
  <c r="R33" i="2"/>
  <c r="Q33" i="2"/>
  <c r="P33" i="2"/>
  <c r="O33" i="2"/>
  <c r="N33" i="2"/>
  <c r="M33" i="2"/>
  <c r="L33" i="2"/>
  <c r="K33" i="2"/>
  <c r="J33" i="2"/>
  <c r="I33" i="2"/>
  <c r="H33" i="2"/>
  <c r="R30" i="2"/>
  <c r="Q30" i="2"/>
  <c r="P30" i="2"/>
  <c r="O30" i="2"/>
  <c r="N30" i="2"/>
  <c r="M30" i="2"/>
  <c r="L30" i="2"/>
  <c r="K30" i="2"/>
  <c r="J30" i="2"/>
  <c r="I30" i="2"/>
  <c r="H30" i="2"/>
  <c r="G33" i="2"/>
  <c r="G30" i="2"/>
  <c r="AQ23" i="2"/>
  <c r="AP23" i="2"/>
  <c r="AO23" i="2"/>
  <c r="C6" i="2"/>
  <c r="G6" i="2"/>
  <c r="G8" i="2" s="1"/>
  <c r="G14" i="2" s="1"/>
  <c r="G17" i="2" s="1"/>
  <c r="D6" i="2"/>
  <c r="H6" i="2"/>
  <c r="E6" i="2"/>
  <c r="I6" i="2"/>
  <c r="I8" i="2" s="1"/>
  <c r="I14" i="2" s="1"/>
  <c r="I17" i="2" s="1"/>
  <c r="F6" i="2"/>
  <c r="J6" i="2"/>
  <c r="K6" i="2"/>
  <c r="O6" i="2"/>
  <c r="P31" i="2"/>
  <c r="L6" i="2"/>
  <c r="P6" i="2"/>
  <c r="M6" i="2"/>
  <c r="Q6" i="2"/>
  <c r="N6" i="2"/>
  <c r="R6" i="2"/>
  <c r="C3" i="3"/>
  <c r="C16" i="3"/>
  <c r="C4" i="1" a="1"/>
  <c r="C4" i="1" s="1"/>
  <c r="AF37" i="2" l="1"/>
  <c r="AF19" i="2"/>
  <c r="AF21" i="2" s="1"/>
  <c r="AP14" i="2"/>
  <c r="AP17" i="2" s="1"/>
  <c r="AB17" i="2"/>
  <c r="AE21" i="2"/>
  <c r="Y14" i="2"/>
  <c r="Y17" i="2" s="1"/>
  <c r="AR17" i="2"/>
  <c r="V14" i="2"/>
  <c r="V17" i="2" s="1"/>
  <c r="AA36" i="2"/>
  <c r="AA17" i="2"/>
  <c r="E8" i="2"/>
  <c r="E14" i="2" s="1"/>
  <c r="E17" i="2" s="1"/>
  <c r="S29" i="2"/>
  <c r="O8" i="2"/>
  <c r="O14" i="2" s="1"/>
  <c r="O17" i="2" s="1"/>
  <c r="K8" i="2"/>
  <c r="K14" i="2" s="1"/>
  <c r="K17" i="2" s="1"/>
  <c r="F8" i="2"/>
  <c r="F14" i="2" s="1"/>
  <c r="F17" i="2" s="1"/>
  <c r="H8" i="2"/>
  <c r="H14" i="2" s="1"/>
  <c r="H17" i="2" s="1"/>
  <c r="D8" i="2"/>
  <c r="D14" i="2" s="1"/>
  <c r="D17" i="2" s="1"/>
  <c r="Z14" i="2"/>
  <c r="Z35" i="2"/>
  <c r="J8" i="2"/>
  <c r="J14" i="2" s="1"/>
  <c r="J17" i="2" s="1"/>
  <c r="C8" i="2"/>
  <c r="C14" i="2" s="1"/>
  <c r="C17" i="2" s="1"/>
  <c r="AU12" i="2"/>
  <c r="U29" i="2"/>
  <c r="Q8" i="2"/>
  <c r="Q14" i="2" s="1"/>
  <c r="Q17" i="2" s="1"/>
  <c r="T29" i="2"/>
  <c r="P8" i="2"/>
  <c r="P14" i="2" s="1"/>
  <c r="P17" i="2" s="1"/>
  <c r="U17" i="2"/>
  <c r="U36" i="2"/>
  <c r="X17" i="2"/>
  <c r="X36" i="2"/>
  <c r="T17" i="2"/>
  <c r="T36" i="2"/>
  <c r="R8" i="2"/>
  <c r="R14" i="2" s="1"/>
  <c r="R17" i="2" s="1"/>
  <c r="W17" i="2"/>
  <c r="W36" i="2"/>
  <c r="N8" i="2"/>
  <c r="N14" i="2" s="1"/>
  <c r="N17" i="2" s="1"/>
  <c r="M8" i="2"/>
  <c r="M14" i="2" s="1"/>
  <c r="M17" i="2" s="1"/>
  <c r="L8" i="2"/>
  <c r="L14" i="2" s="1"/>
  <c r="L17" i="2" s="1"/>
  <c r="V29" i="2"/>
  <c r="S21" i="2"/>
  <c r="K31" i="2"/>
  <c r="S36" i="2"/>
  <c r="G31" i="2"/>
  <c r="AQ17" i="2"/>
  <c r="K29" i="2"/>
  <c r="AP30" i="2"/>
  <c r="AP24" i="2"/>
  <c r="AQ30" i="2"/>
  <c r="AR24" i="2"/>
  <c r="AQ24" i="2"/>
  <c r="L31" i="2"/>
  <c r="Q31" i="2"/>
  <c r="O31" i="2"/>
  <c r="H31" i="2"/>
  <c r="AQ35" i="2"/>
  <c r="AR31" i="2"/>
  <c r="N29" i="2"/>
  <c r="R31" i="2"/>
  <c r="J31" i="2"/>
  <c r="AR30" i="2"/>
  <c r="S31" i="2"/>
  <c r="S37" i="2"/>
  <c r="I35" i="2"/>
  <c r="I29" i="2"/>
  <c r="G35" i="2"/>
  <c r="G29" i="2"/>
  <c r="Q35" i="2"/>
  <c r="Q29" i="2"/>
  <c r="O29" i="2"/>
  <c r="M31" i="2"/>
  <c r="I31" i="2"/>
  <c r="AO17" i="2"/>
  <c r="R29" i="2"/>
  <c r="AO35" i="2"/>
  <c r="J29" i="2"/>
  <c r="H29" i="2"/>
  <c r="L29" i="2"/>
  <c r="P29" i="2"/>
  <c r="N31" i="2"/>
  <c r="AS8" i="2"/>
  <c r="AS14" i="2" s="1"/>
  <c r="AS17" i="2" s="1"/>
  <c r="M29" i="2"/>
  <c r="C6" i="1"/>
  <c r="C4" i="3" s="1"/>
  <c r="C5" i="3" s="1"/>
  <c r="C6" i="3" s="1"/>
  <c r="BG35" i="2"/>
  <c r="AP33" i="2"/>
  <c r="AQ33" i="2"/>
  <c r="AS33" i="2"/>
  <c r="AR33" i="2"/>
  <c r="AX12" i="2" l="1"/>
  <c r="AF32" i="2"/>
  <c r="AB37" i="2"/>
  <c r="J35" i="2"/>
  <c r="Y36" i="2"/>
  <c r="V36" i="2"/>
  <c r="H35" i="2"/>
  <c r="C35" i="2"/>
  <c r="AA37" i="2"/>
  <c r="AE32" i="2"/>
  <c r="AB21" i="2"/>
  <c r="AF34" i="2" s="1"/>
  <c r="R35" i="2"/>
  <c r="V21" i="2"/>
  <c r="V37" i="2"/>
  <c r="T37" i="2"/>
  <c r="T21" i="2"/>
  <c r="AB32" i="2"/>
  <c r="X37" i="2"/>
  <c r="Z17" i="2"/>
  <c r="Z36" i="2"/>
  <c r="U21" i="2"/>
  <c r="U37" i="2"/>
  <c r="D35" i="2"/>
  <c r="W37" i="2"/>
  <c r="F35" i="2"/>
  <c r="L35" i="2"/>
  <c r="K35" i="2"/>
  <c r="M35" i="2"/>
  <c r="N35" i="2"/>
  <c r="AW12" i="2"/>
  <c r="AX31" i="2" s="1"/>
  <c r="AV12" i="2"/>
  <c r="Y37" i="2"/>
  <c r="P35" i="2"/>
  <c r="O35" i="2"/>
  <c r="E35" i="2"/>
  <c r="C9" i="1"/>
  <c r="AQ29" i="2"/>
  <c r="AP35" i="2"/>
  <c r="AR35" i="2"/>
  <c r="AQ31" i="2"/>
  <c r="AR29" i="2"/>
  <c r="AS29" i="2"/>
  <c r="M36" i="2"/>
  <c r="K36" i="2"/>
  <c r="E36" i="2"/>
  <c r="C36" i="2"/>
  <c r="AS30" i="2"/>
  <c r="R36" i="2"/>
  <c r="P36" i="2"/>
  <c r="J36" i="2"/>
  <c r="H36" i="2"/>
  <c r="AS35" i="2"/>
  <c r="N36" i="2"/>
  <c r="L36" i="2"/>
  <c r="F36" i="2"/>
  <c r="D36" i="2"/>
  <c r="AP31" i="2"/>
  <c r="AP29" i="2"/>
  <c r="C7" i="3"/>
  <c r="AT33" i="2"/>
  <c r="AT29" i="2"/>
  <c r="AS31" i="2"/>
  <c r="AQ36" i="2"/>
  <c r="AZ12" i="2" l="1"/>
  <c r="AY12" i="2"/>
  <c r="AY31" i="2" s="1"/>
  <c r="AA32" i="2"/>
  <c r="AA21" i="2"/>
  <c r="AE34" i="2" s="1"/>
  <c r="AT8" i="2"/>
  <c r="AT14" i="2" s="1"/>
  <c r="AT17" i="2" s="1"/>
  <c r="AW7" i="2"/>
  <c r="W21" i="2"/>
  <c r="W34" i="2" s="1"/>
  <c r="W32" i="2"/>
  <c r="Z37" i="2"/>
  <c r="Y21" i="2"/>
  <c r="Y34" i="2" s="1"/>
  <c r="Y32" i="2"/>
  <c r="X21" i="2"/>
  <c r="X34" i="2" s="1"/>
  <c r="X32" i="2"/>
  <c r="G36" i="2"/>
  <c r="O36" i="2"/>
  <c r="F37" i="2"/>
  <c r="F21" i="2"/>
  <c r="N37" i="2"/>
  <c r="N21" i="2"/>
  <c r="AO36" i="2"/>
  <c r="S32" i="2"/>
  <c r="O37" i="2"/>
  <c r="J37" i="2"/>
  <c r="J21" i="2"/>
  <c r="V32" i="2"/>
  <c r="R37" i="2"/>
  <c r="C21" i="2"/>
  <c r="C37" i="2"/>
  <c r="K37" i="2"/>
  <c r="K21" i="2"/>
  <c r="G37" i="2"/>
  <c r="Q36" i="2"/>
  <c r="D21" i="2"/>
  <c r="D37" i="2"/>
  <c r="L37" i="2"/>
  <c r="I36" i="2"/>
  <c r="H37" i="2"/>
  <c r="P37" i="2"/>
  <c r="AT30" i="2"/>
  <c r="E21" i="2"/>
  <c r="E37" i="2"/>
  <c r="M21" i="2"/>
  <c r="M37" i="2"/>
  <c r="AU33" i="2"/>
  <c r="AT31" i="2"/>
  <c r="AR36" i="2"/>
  <c r="AQ37" i="2"/>
  <c r="AU29" i="2"/>
  <c r="AP36" i="2"/>
  <c r="AO21" i="2"/>
  <c r="AO37" i="2"/>
  <c r="AT35" i="2"/>
  <c r="AX7" i="2" l="1"/>
  <c r="AX30" i="2" s="1"/>
  <c r="AZ31" i="2"/>
  <c r="AB34" i="2"/>
  <c r="AU8" i="2"/>
  <c r="AU14" i="2" s="1"/>
  <c r="AU17" i="2" s="1"/>
  <c r="AA34" i="2"/>
  <c r="Z32" i="2"/>
  <c r="Z21" i="2"/>
  <c r="Z34" i="2" s="1"/>
  <c r="AW8" i="2"/>
  <c r="AV8" i="2"/>
  <c r="AV14" i="2" s="1"/>
  <c r="AV17" i="2" s="1"/>
  <c r="AV19" i="2" s="1"/>
  <c r="G32" i="2"/>
  <c r="P21" i="2"/>
  <c r="T34" i="2" s="1"/>
  <c r="T32" i="2"/>
  <c r="AS37" i="2"/>
  <c r="AS21" i="2"/>
  <c r="R32" i="2"/>
  <c r="H32" i="2"/>
  <c r="L32" i="2"/>
  <c r="O21" i="2"/>
  <c r="S34" i="2" s="1"/>
  <c r="N34" i="2"/>
  <c r="N32" i="2"/>
  <c r="AU30" i="2"/>
  <c r="I32" i="2"/>
  <c r="I37" i="2"/>
  <c r="L21" i="2"/>
  <c r="G21" i="2"/>
  <c r="G34" i="2" s="1"/>
  <c r="J34" i="2"/>
  <c r="U32" i="2"/>
  <c r="Q37" i="2"/>
  <c r="K32" i="2"/>
  <c r="R21" i="2"/>
  <c r="AS36" i="2"/>
  <c r="P32" i="2"/>
  <c r="H21" i="2"/>
  <c r="H34" i="2" s="1"/>
  <c r="J32" i="2"/>
  <c r="O32" i="2"/>
  <c r="AV33" i="2"/>
  <c r="AW20" i="2"/>
  <c r="AQ21" i="2"/>
  <c r="AV29" i="2"/>
  <c r="AU31" i="2"/>
  <c r="AT36" i="2"/>
  <c r="AP37" i="2"/>
  <c r="AR37" i="2"/>
  <c r="AY7" i="2" l="1"/>
  <c r="AX8" i="2"/>
  <c r="M32" i="2"/>
  <c r="AW33" i="2"/>
  <c r="AX33" i="2"/>
  <c r="AU35" i="2"/>
  <c r="AC37" i="2"/>
  <c r="AD37" i="2"/>
  <c r="R34" i="2"/>
  <c r="V34" i="2"/>
  <c r="AS32" i="2"/>
  <c r="O34" i="2"/>
  <c r="I21" i="2"/>
  <c r="K34" i="2"/>
  <c r="L34" i="2"/>
  <c r="P34" i="2"/>
  <c r="Q32" i="2"/>
  <c r="Q21" i="2"/>
  <c r="AV30" i="2"/>
  <c r="AR21" i="2"/>
  <c r="AR34" i="2" s="1"/>
  <c r="AR32" i="2"/>
  <c r="AU36" i="2"/>
  <c r="AW31" i="2"/>
  <c r="AV31" i="2"/>
  <c r="AW29" i="2"/>
  <c r="AP32" i="2"/>
  <c r="AP21" i="2"/>
  <c r="AP34" i="2" s="1"/>
  <c r="AT37" i="2"/>
  <c r="AV35" i="2"/>
  <c r="AQ32" i="2"/>
  <c r="AX14" i="2" l="1"/>
  <c r="AX35" i="2"/>
  <c r="AZ7" i="2"/>
  <c r="AY30" i="2"/>
  <c r="AY8" i="2"/>
  <c r="AC21" i="2"/>
  <c r="AG32" i="2"/>
  <c r="AC32" i="2"/>
  <c r="AH32" i="2"/>
  <c r="AD21" i="2"/>
  <c r="AD32" i="2"/>
  <c r="Q34" i="2"/>
  <c r="U34" i="2"/>
  <c r="AW30" i="2"/>
  <c r="AW14" i="2"/>
  <c r="AW17" i="2" s="1"/>
  <c r="AW18" i="2" s="1"/>
  <c r="AW19" i="2" s="1"/>
  <c r="I34" i="2"/>
  <c r="M34" i="2"/>
  <c r="AT21" i="2"/>
  <c r="AT34" i="2" s="1"/>
  <c r="AT32" i="2"/>
  <c r="AU37" i="2"/>
  <c r="C9" i="3" s="1"/>
  <c r="C11" i="3" s="1"/>
  <c r="C18" i="3" s="1"/>
  <c r="AS34" i="2"/>
  <c r="AV36" i="2"/>
  <c r="AQ34" i="2"/>
  <c r="AY35" i="2" l="1"/>
  <c r="AY14" i="2"/>
  <c r="AZ30" i="2"/>
  <c r="AZ8" i="2"/>
  <c r="AX17" i="2"/>
  <c r="AX36" i="2"/>
  <c r="AX18" i="2"/>
  <c r="BG30" i="2"/>
  <c r="AG34" i="2"/>
  <c r="AC34" i="2"/>
  <c r="AH34" i="2"/>
  <c r="AD34" i="2"/>
  <c r="AW35" i="2"/>
  <c r="AU21" i="2"/>
  <c r="AU34" i="2" s="1"/>
  <c r="AU32" i="2"/>
  <c r="AV37" i="2"/>
  <c r="AW36" i="2"/>
  <c r="AX19" i="2" l="1"/>
  <c r="AX37" i="2"/>
  <c r="AZ35" i="2"/>
  <c r="AZ14" i="2"/>
  <c r="AY36" i="2"/>
  <c r="AY17" i="2"/>
  <c r="AY18" i="2" s="1"/>
  <c r="AY19" i="2" s="1"/>
  <c r="AW37" i="2"/>
  <c r="AY37" i="2" l="1"/>
  <c r="AZ36" i="2"/>
  <c r="AZ17" i="2"/>
  <c r="AZ18" i="2" s="1"/>
  <c r="AZ19" i="2" s="1"/>
  <c r="AX21" i="2"/>
  <c r="AX32" i="2"/>
  <c r="AW21" i="2"/>
  <c r="AW32" i="2"/>
  <c r="AV21" i="2"/>
  <c r="AV32" i="2"/>
  <c r="AZ37" i="2" l="1"/>
  <c r="AY21" i="2"/>
  <c r="AY34" i="2" s="1"/>
  <c r="AY32" i="2"/>
  <c r="AX34" i="2"/>
  <c r="AW34" i="2"/>
  <c r="AV34" i="2"/>
  <c r="BA19" i="2" l="1"/>
  <c r="BB19" i="2" s="1"/>
  <c r="BC19" i="2" s="1"/>
  <c r="BD19" i="2" s="1"/>
  <c r="BE19" i="2" s="1"/>
  <c r="BF19" i="2" s="1"/>
  <c r="BG19" i="2" s="1"/>
  <c r="BH19" i="2" s="1"/>
  <c r="BI19" i="2" s="1"/>
  <c r="BJ19" i="2" s="1"/>
  <c r="BK19" i="2" s="1"/>
  <c r="BL19" i="2" s="1"/>
  <c r="BM19" i="2" s="1"/>
  <c r="BN19" i="2" s="1"/>
  <c r="BO19" i="2" s="1"/>
  <c r="BP19" i="2" s="1"/>
  <c r="BQ19" i="2" s="1"/>
  <c r="BR19" i="2" s="1"/>
  <c r="BS19" i="2" s="1"/>
  <c r="BT19" i="2" s="1"/>
  <c r="BU19" i="2" s="1"/>
  <c r="BV19" i="2" s="1"/>
  <c r="BW19" i="2" s="1"/>
  <c r="BX19" i="2" s="1"/>
  <c r="BY19" i="2" s="1"/>
  <c r="BZ19" i="2" s="1"/>
  <c r="CA19" i="2" s="1"/>
  <c r="CB19" i="2" s="1"/>
  <c r="CC19" i="2" s="1"/>
  <c r="CD19" i="2" s="1"/>
  <c r="CE19" i="2" s="1"/>
  <c r="CF19" i="2" s="1"/>
  <c r="CG19" i="2" s="1"/>
  <c r="CH19" i="2" s="1"/>
  <c r="CI19" i="2" s="1"/>
  <c r="CJ19" i="2" s="1"/>
  <c r="CK19" i="2" s="1"/>
  <c r="CL19" i="2" s="1"/>
  <c r="CM19" i="2" s="1"/>
  <c r="CN19" i="2" s="1"/>
  <c r="CO19" i="2" s="1"/>
  <c r="CP19" i="2" s="1"/>
  <c r="CQ19" i="2" s="1"/>
  <c r="CR19" i="2" s="1"/>
  <c r="CS19" i="2" s="1"/>
  <c r="CT19" i="2" s="1"/>
  <c r="CU19" i="2" s="1"/>
  <c r="CV19" i="2" s="1"/>
  <c r="CW19" i="2" s="1"/>
  <c r="CX19" i="2" s="1"/>
  <c r="CY19" i="2" s="1"/>
  <c r="CZ19" i="2" s="1"/>
  <c r="DA19" i="2" s="1"/>
  <c r="DB19" i="2" s="1"/>
  <c r="DC19" i="2" s="1"/>
  <c r="DD19" i="2" s="1"/>
  <c r="DE19" i="2" s="1"/>
  <c r="DF19" i="2" s="1"/>
  <c r="DG19" i="2" s="1"/>
  <c r="DH19" i="2" s="1"/>
  <c r="DI19" i="2" s="1"/>
  <c r="DJ19" i="2" s="1"/>
  <c r="DK19" i="2" s="1"/>
  <c r="DL19" i="2" s="1"/>
  <c r="DM19" i="2" s="1"/>
  <c r="DN19" i="2" s="1"/>
  <c r="DO19" i="2" s="1"/>
  <c r="DP19" i="2" s="1"/>
  <c r="DQ19" i="2" s="1"/>
  <c r="DR19" i="2" s="1"/>
  <c r="DS19" i="2" s="1"/>
  <c r="DT19" i="2" s="1"/>
  <c r="DU19" i="2" s="1"/>
  <c r="DV19" i="2" s="1"/>
  <c r="DW19" i="2" s="1"/>
  <c r="DX19" i="2" s="1"/>
  <c r="DY19" i="2" s="1"/>
  <c r="DZ19" i="2" s="1"/>
  <c r="EA19" i="2" s="1"/>
  <c r="EB19" i="2" s="1"/>
  <c r="EC19" i="2" s="1"/>
  <c r="ED19" i="2" s="1"/>
  <c r="EE19" i="2" s="1"/>
  <c r="EF19" i="2" s="1"/>
  <c r="EG19" i="2" s="1"/>
  <c r="EH19" i="2" s="1"/>
  <c r="EI19" i="2" s="1"/>
  <c r="EJ19" i="2" s="1"/>
  <c r="EK19" i="2" s="1"/>
  <c r="EL19" i="2" s="1"/>
  <c r="EM19" i="2" s="1"/>
  <c r="EN19" i="2" s="1"/>
  <c r="EO19" i="2" s="1"/>
  <c r="EP19" i="2" s="1"/>
  <c r="EQ19" i="2" s="1"/>
  <c r="ER19" i="2" s="1"/>
  <c r="ES19" i="2" s="1"/>
  <c r="ET19" i="2" s="1"/>
  <c r="EU19" i="2" s="1"/>
  <c r="EV19" i="2" s="1"/>
  <c r="EW19" i="2" s="1"/>
  <c r="EX19" i="2" s="1"/>
  <c r="EY19" i="2" s="1"/>
  <c r="EZ19" i="2" s="1"/>
  <c r="FA19" i="2" s="1"/>
  <c r="FB19" i="2" s="1"/>
  <c r="FC19" i="2" s="1"/>
  <c r="FD19" i="2" s="1"/>
  <c r="FE19" i="2" s="1"/>
  <c r="FF19" i="2" s="1"/>
  <c r="FG19" i="2" s="1"/>
  <c r="FH19" i="2" s="1"/>
  <c r="FI19" i="2" s="1"/>
  <c r="FJ19" i="2" s="1"/>
  <c r="FK19" i="2" s="1"/>
  <c r="FL19" i="2" s="1"/>
  <c r="FM19" i="2" s="1"/>
  <c r="FN19" i="2" s="1"/>
  <c r="FO19" i="2" s="1"/>
  <c r="FP19" i="2" s="1"/>
  <c r="FQ19" i="2" s="1"/>
  <c r="FR19" i="2" s="1"/>
  <c r="FS19" i="2" s="1"/>
  <c r="FT19" i="2" s="1"/>
  <c r="FU19" i="2" s="1"/>
  <c r="FV19" i="2" s="1"/>
  <c r="FW19" i="2" s="1"/>
  <c r="FX19" i="2" s="1"/>
  <c r="FY19" i="2" s="1"/>
  <c r="FZ19" i="2" s="1"/>
  <c r="GA19" i="2" s="1"/>
  <c r="GB19" i="2" s="1"/>
  <c r="GC19" i="2" s="1"/>
  <c r="GD19" i="2" s="1"/>
  <c r="GE19" i="2" s="1"/>
  <c r="GF19" i="2" s="1"/>
  <c r="GG19" i="2" s="1"/>
  <c r="GH19" i="2" s="1"/>
  <c r="GI19" i="2" s="1"/>
  <c r="GJ19" i="2" s="1"/>
  <c r="GK19" i="2" s="1"/>
  <c r="GL19" i="2" s="1"/>
  <c r="GM19" i="2" s="1"/>
  <c r="GN19" i="2" s="1"/>
  <c r="GO19" i="2" s="1"/>
  <c r="GP19" i="2" s="1"/>
  <c r="GQ19" i="2" s="1"/>
  <c r="GR19" i="2" s="1"/>
  <c r="GS19" i="2" s="1"/>
  <c r="GT19" i="2" s="1"/>
  <c r="GU19" i="2" s="1"/>
  <c r="GV19" i="2" s="1"/>
  <c r="GW19" i="2" s="1"/>
  <c r="GX19" i="2" s="1"/>
  <c r="GY19" i="2" s="1"/>
  <c r="GZ19" i="2" s="1"/>
  <c r="HA19" i="2" s="1"/>
  <c r="HB19" i="2" s="1"/>
  <c r="HC19" i="2" s="1"/>
  <c r="HD19" i="2" s="1"/>
  <c r="HE19" i="2" s="1"/>
  <c r="HF19" i="2" s="1"/>
  <c r="HG19" i="2" s="1"/>
  <c r="HH19" i="2" s="1"/>
  <c r="HI19" i="2" s="1"/>
  <c r="HJ19" i="2" s="1"/>
  <c r="HK19" i="2" s="1"/>
  <c r="HL19" i="2" s="1"/>
  <c r="HM19" i="2" s="1"/>
  <c r="HN19" i="2" s="1"/>
  <c r="HO19" i="2" s="1"/>
  <c r="HP19" i="2" s="1"/>
  <c r="HQ19" i="2" s="1"/>
  <c r="HR19" i="2" s="1"/>
  <c r="HS19" i="2" s="1"/>
  <c r="HT19" i="2" s="1"/>
  <c r="HU19" i="2" s="1"/>
  <c r="HV19" i="2" s="1"/>
  <c r="HW19" i="2" s="1"/>
  <c r="HX19" i="2" s="1"/>
  <c r="HY19" i="2" s="1"/>
  <c r="HZ19" i="2" s="1"/>
  <c r="IA19" i="2" s="1"/>
  <c r="IB19" i="2" s="1"/>
  <c r="IC19" i="2" s="1"/>
  <c r="ID19" i="2" s="1"/>
  <c r="IE19" i="2" s="1"/>
  <c r="IF19" i="2" s="1"/>
  <c r="IG19" i="2" s="1"/>
  <c r="IH19" i="2" s="1"/>
  <c r="II19" i="2" s="1"/>
  <c r="IJ19" i="2" s="1"/>
  <c r="IK19" i="2" s="1"/>
  <c r="IL19" i="2" s="1"/>
  <c r="IM19" i="2" s="1"/>
  <c r="IN19" i="2" s="1"/>
  <c r="IO19" i="2" s="1"/>
  <c r="IP19" i="2" s="1"/>
  <c r="IQ19" i="2" s="1"/>
  <c r="IR19" i="2" s="1"/>
  <c r="IS19" i="2" s="1"/>
  <c r="IT19" i="2" s="1"/>
  <c r="IU19" i="2" s="1"/>
  <c r="IV19" i="2" s="1"/>
  <c r="IW19" i="2" s="1"/>
  <c r="IX19" i="2" s="1"/>
  <c r="IY19" i="2" s="1"/>
  <c r="IZ19" i="2" s="1"/>
  <c r="JA19" i="2" s="1"/>
  <c r="JB19" i="2" s="1"/>
  <c r="JC19" i="2" s="1"/>
  <c r="JD19" i="2" s="1"/>
  <c r="JE19" i="2" s="1"/>
  <c r="JF19" i="2" s="1"/>
  <c r="JG19" i="2" s="1"/>
  <c r="JH19" i="2" s="1"/>
  <c r="JI19" i="2" s="1"/>
  <c r="JJ19" i="2" s="1"/>
  <c r="JK19" i="2" s="1"/>
  <c r="JL19" i="2" s="1"/>
  <c r="JM19" i="2" s="1"/>
  <c r="JN19" i="2" s="1"/>
  <c r="JO19" i="2" s="1"/>
  <c r="JP19" i="2" s="1"/>
  <c r="JQ19" i="2" s="1"/>
  <c r="JR19" i="2" s="1"/>
  <c r="JS19" i="2" s="1"/>
  <c r="JT19" i="2" s="1"/>
  <c r="JU19" i="2" s="1"/>
  <c r="JV19" i="2" s="1"/>
  <c r="JW19" i="2" s="1"/>
  <c r="JX19" i="2" s="1"/>
  <c r="JY19" i="2" s="1"/>
  <c r="JZ19" i="2" s="1"/>
  <c r="KA19" i="2" s="1"/>
  <c r="KB19" i="2" s="1"/>
  <c r="KC19" i="2" s="1"/>
  <c r="KD19" i="2" s="1"/>
  <c r="KE19" i="2" s="1"/>
  <c r="KF19" i="2" s="1"/>
  <c r="KG19" i="2" s="1"/>
  <c r="KH19" i="2" s="1"/>
  <c r="KI19" i="2" s="1"/>
  <c r="KJ19" i="2" s="1"/>
  <c r="KK19" i="2" s="1"/>
  <c r="KL19" i="2" s="1"/>
  <c r="KM19" i="2" s="1"/>
  <c r="KN19" i="2" s="1"/>
  <c r="KO19" i="2" s="1"/>
  <c r="KP19" i="2" s="1"/>
  <c r="KQ19" i="2" s="1"/>
  <c r="KR19" i="2" s="1"/>
  <c r="KS19" i="2" s="1"/>
  <c r="KT19" i="2" s="1"/>
  <c r="KU19" i="2" s="1"/>
  <c r="KV19" i="2" s="1"/>
  <c r="KW19" i="2" s="1"/>
  <c r="KX19" i="2" s="1"/>
  <c r="KY19" i="2" s="1"/>
  <c r="KZ19" i="2" s="1"/>
  <c r="LA19" i="2" s="1"/>
  <c r="LB19" i="2" s="1"/>
  <c r="LC19" i="2" s="1"/>
  <c r="LD19" i="2" s="1"/>
  <c r="LE19" i="2" s="1"/>
  <c r="LF19" i="2" s="1"/>
  <c r="LG19" i="2" s="1"/>
  <c r="LH19" i="2" s="1"/>
  <c r="LI19" i="2" s="1"/>
  <c r="LJ19" i="2" s="1"/>
  <c r="LK19" i="2" s="1"/>
  <c r="LL19" i="2" s="1"/>
  <c r="LM19" i="2" s="1"/>
  <c r="LN19" i="2" s="1"/>
  <c r="LO19" i="2" s="1"/>
  <c r="LP19" i="2" s="1"/>
  <c r="LQ19" i="2" s="1"/>
  <c r="LR19" i="2" s="1"/>
  <c r="LS19" i="2" s="1"/>
  <c r="LT19" i="2" s="1"/>
  <c r="LU19" i="2" s="1"/>
  <c r="LV19" i="2" s="1"/>
  <c r="LW19" i="2" s="1"/>
  <c r="LX19" i="2" s="1"/>
  <c r="LY19" i="2" s="1"/>
  <c r="LZ19" i="2" s="1"/>
  <c r="MA19" i="2" s="1"/>
  <c r="MB19" i="2" s="1"/>
  <c r="MC19" i="2" s="1"/>
  <c r="MD19" i="2" s="1"/>
  <c r="ME19" i="2" s="1"/>
  <c r="MF19" i="2" s="1"/>
  <c r="MG19" i="2" s="1"/>
  <c r="MH19" i="2" s="1"/>
  <c r="MI19" i="2" s="1"/>
  <c r="MJ19" i="2" s="1"/>
  <c r="MK19" i="2" s="1"/>
  <c r="ML19" i="2" s="1"/>
  <c r="MM19" i="2" s="1"/>
  <c r="MN19" i="2" s="1"/>
  <c r="MO19" i="2" s="1"/>
  <c r="MP19" i="2" s="1"/>
  <c r="MQ19" i="2" s="1"/>
  <c r="MR19" i="2" s="1"/>
  <c r="MS19" i="2" s="1"/>
  <c r="MT19" i="2" s="1"/>
  <c r="MU19" i="2" s="1"/>
  <c r="MV19" i="2" s="1"/>
  <c r="MW19" i="2" s="1"/>
  <c r="MX19" i="2" s="1"/>
  <c r="MY19" i="2" s="1"/>
  <c r="MZ19" i="2" s="1"/>
  <c r="NA19" i="2" s="1"/>
  <c r="NB19" i="2" s="1"/>
  <c r="NC19" i="2" s="1"/>
  <c r="ND19" i="2" s="1"/>
  <c r="NE19" i="2" s="1"/>
  <c r="NF19" i="2" s="1"/>
  <c r="NG19" i="2" s="1"/>
  <c r="NH19" i="2" s="1"/>
  <c r="NI19" i="2" s="1"/>
  <c r="NJ19" i="2" s="1"/>
  <c r="NK19" i="2" s="1"/>
  <c r="NL19" i="2" s="1"/>
  <c r="NM19" i="2" s="1"/>
  <c r="NN19" i="2" s="1"/>
  <c r="NO19" i="2" s="1"/>
  <c r="NP19" i="2" s="1"/>
  <c r="NQ19" i="2" s="1"/>
  <c r="NR19" i="2" s="1"/>
  <c r="NS19" i="2" s="1"/>
  <c r="NT19" i="2" s="1"/>
  <c r="NU19" i="2" s="1"/>
  <c r="NV19" i="2" s="1"/>
  <c r="NW19" i="2" s="1"/>
  <c r="NX19" i="2" s="1"/>
  <c r="NY19" i="2" s="1"/>
  <c r="NZ19" i="2" s="1"/>
  <c r="OA19" i="2" s="1"/>
  <c r="OB19" i="2" s="1"/>
  <c r="OC19" i="2" s="1"/>
  <c r="AZ32" i="2"/>
  <c r="AZ21" i="2"/>
  <c r="AZ34" i="2" s="1"/>
  <c r="BG31" i="2" l="1"/>
  <c r="BG33" i="2" s="1"/>
  <c r="BG34" i="2" s="1"/>
  <c r="BG36"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5">
    <bk>
      <extLst>
        <ext uri="{3e2802c4-a4d2-4d8b-9148-e3be6c30e623}">
          <xlrd:rvb i="2"/>
        </ext>
      </extLst>
    </bk>
    <bk>
      <extLst>
        <ext uri="{3e2802c4-a4d2-4d8b-9148-e3be6c30e623}">
          <xlrd:rvb i="9"/>
        </ext>
      </extLst>
    </bk>
    <bk>
      <extLst>
        <ext uri="{3e2802c4-a4d2-4d8b-9148-e3be6c30e623}">
          <xlrd:rvb i="12"/>
        </ext>
      </extLst>
    </bk>
    <bk>
      <extLst>
        <ext uri="{3e2802c4-a4d2-4d8b-9148-e3be6c30e623}">
          <xlrd:rvb i="15"/>
        </ext>
      </extLst>
    </bk>
    <bk>
      <extLst>
        <ext uri="{3e2802c4-a4d2-4d8b-9148-e3be6c30e623}">
          <xlrd:rvb i="18"/>
        </ext>
      </extLst>
    </bk>
  </futureMetadata>
  <cellMetadata count="1">
    <bk>
      <rc t="1" v="0"/>
    </bk>
  </cellMetadata>
  <valueMetadata count="5">
    <bk>
      <rc t="2" v="0"/>
    </bk>
    <bk>
      <rc t="2" v="1"/>
    </bk>
    <bk>
      <rc t="2" v="2"/>
    </bk>
    <bk>
      <rc t="2" v="3"/>
    </bk>
    <bk>
      <rc t="2" v="4"/>
    </bk>
  </valueMetadata>
</metadata>
</file>

<file path=xl/sharedStrings.xml><?xml version="1.0" encoding="utf-8"?>
<sst xmlns="http://schemas.openxmlformats.org/spreadsheetml/2006/main" count="102" uniqueCount="96">
  <si>
    <t>Company</t>
  </si>
  <si>
    <t>Source</t>
  </si>
  <si>
    <t>Price</t>
  </si>
  <si>
    <t>Shares</t>
  </si>
  <si>
    <t>4Q20</t>
  </si>
  <si>
    <t>Market Cap</t>
  </si>
  <si>
    <t>Cash</t>
  </si>
  <si>
    <t>Debt</t>
  </si>
  <si>
    <t>EV</t>
  </si>
  <si>
    <t>Competitors</t>
  </si>
  <si>
    <t>Equity</t>
  </si>
  <si>
    <t>D+E</t>
  </si>
  <si>
    <t>Wdebt</t>
  </si>
  <si>
    <t>Wequity</t>
  </si>
  <si>
    <t>Tax rate</t>
  </si>
  <si>
    <t>Interest expense</t>
  </si>
  <si>
    <t>Cost of debt</t>
  </si>
  <si>
    <t>Risk-free rate</t>
  </si>
  <si>
    <t>Beta</t>
  </si>
  <si>
    <t>Market return</t>
  </si>
  <si>
    <t xml:space="preserve">average </t>
  </si>
  <si>
    <t>Cost of equity</t>
  </si>
  <si>
    <t>WACC</t>
  </si>
  <si>
    <t>SBUX-operated Stores</t>
  </si>
  <si>
    <t>Licensed Stores</t>
  </si>
  <si>
    <t>Other</t>
  </si>
  <si>
    <t>Total Revenue</t>
  </si>
  <si>
    <t>COGS</t>
  </si>
  <si>
    <t>Gross Profit</t>
  </si>
  <si>
    <t>Store Opex</t>
  </si>
  <si>
    <t>Other Opex</t>
  </si>
  <si>
    <t>G&amp;A</t>
  </si>
  <si>
    <t>Total Opex</t>
  </si>
  <si>
    <t>Operating Income</t>
  </si>
  <si>
    <t>Pretax Income</t>
  </si>
  <si>
    <t>Taxes</t>
  </si>
  <si>
    <t>Net Income</t>
  </si>
  <si>
    <t>EPS</t>
  </si>
  <si>
    <t>1Q17</t>
  </si>
  <si>
    <t>2Q17</t>
  </si>
  <si>
    <t>3Q17</t>
  </si>
  <si>
    <t>4Q17</t>
  </si>
  <si>
    <t>1Q18</t>
  </si>
  <si>
    <t>2Q18</t>
  </si>
  <si>
    <t>3Q18</t>
  </si>
  <si>
    <t>4Q18</t>
  </si>
  <si>
    <t>1Q19</t>
  </si>
  <si>
    <t>2Q19</t>
  </si>
  <si>
    <t>3Q19</t>
  </si>
  <si>
    <t>4Q19</t>
  </si>
  <si>
    <t>1Q20</t>
  </si>
  <si>
    <t>2Q20</t>
  </si>
  <si>
    <t>3Q20</t>
  </si>
  <si>
    <t>Income from Equity Investees</t>
  </si>
  <si>
    <t xml:space="preserve">Dividend </t>
  </si>
  <si>
    <t>Revenue Y/Y</t>
  </si>
  <si>
    <t>COGS Y/Y</t>
  </si>
  <si>
    <t>Opex Y/Y</t>
  </si>
  <si>
    <t>NI Y/Y</t>
  </si>
  <si>
    <t>Shares Y/Y</t>
  </si>
  <si>
    <t>EPS Y/Y</t>
  </si>
  <si>
    <t>GM</t>
  </si>
  <si>
    <t>OM</t>
  </si>
  <si>
    <t>Dividend Y/Y</t>
  </si>
  <si>
    <t>Maturity Value</t>
  </si>
  <si>
    <t>Discount Rate</t>
  </si>
  <si>
    <t>NPV</t>
  </si>
  <si>
    <t>Net Cash</t>
  </si>
  <si>
    <t>Total Value</t>
  </si>
  <si>
    <t>Per Share</t>
  </si>
  <si>
    <t>Current</t>
  </si>
  <si>
    <t>Difference</t>
  </si>
  <si>
    <t>1Q21</t>
  </si>
  <si>
    <t>4Q22</t>
  </si>
  <si>
    <t>2Q21</t>
  </si>
  <si>
    <t>3Q21</t>
  </si>
  <si>
    <t>4Q21</t>
  </si>
  <si>
    <t>1Q22</t>
  </si>
  <si>
    <t>2Q22</t>
  </si>
  <si>
    <t>3Q22</t>
  </si>
  <si>
    <t>Interest Income</t>
  </si>
  <si>
    <t>Interest Expense</t>
  </si>
  <si>
    <t>2Q23</t>
  </si>
  <si>
    <t>1Q23</t>
  </si>
  <si>
    <t>3Q23</t>
  </si>
  <si>
    <t>4Q23</t>
  </si>
  <si>
    <t>1Q24</t>
  </si>
  <si>
    <t>2Q24</t>
  </si>
  <si>
    <t>3Q24</t>
  </si>
  <si>
    <t>4Q24</t>
  </si>
  <si>
    <t>average 2017-2023</t>
  </si>
  <si>
    <t>model</t>
  </si>
  <si>
    <t>koyfin 3/1/24</t>
  </si>
  <si>
    <t>SBUX-operated Stores Y/Y</t>
  </si>
  <si>
    <t>Licensed Stores Y/Y</t>
  </si>
  <si>
    <t>Other Y/Y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</si>
</sst>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409]* #,##0.00_);_([$$-409]* \(#,##0.00\);_([$$-409]* &quot;-&quot;??_);_(@_)"/>
    <numFmt numFmtId="165" formatCode="#,##0.0"/>
    <numFmt numFmtId="166" formatCode="#,##0.000"/>
  </numFmts>
  <fonts count="6" x14ac:knownFonts="1">
    <font>
      <sz val="11"/>
      <color theme="1"/>
      <name val="Calibri"/>
      <family val="2"/>
      <scheme val="minor"/>
    </font>
    <font>
      <sz val="11"/>
      <color theme="1"/>
      <name val="Arial"/>
      <family val="2"/>
    </font>
    <font>
      <sz val="11"/>
      <color theme="1"/>
      <name val="Arial"/>
      <family val="2"/>
    </font>
    <font>
      <sz val="11"/>
      <color theme="1"/>
      <name val="Calibri"/>
      <family val="2"/>
      <scheme val="minor"/>
    </font>
    <font>
      <b/>
      <sz val="11"/>
      <color theme="1"/>
      <name val="Arial"/>
      <family val="2"/>
    </font>
    <font>
      <sz val="8"/>
      <name val="Calibri"/>
      <family val="2"/>
      <scheme val="minor"/>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s>
  <cellStyleXfs count="2">
    <xf numFmtId="0" fontId="0" fillId="0" borderId="0"/>
    <xf numFmtId="9" fontId="3" fillId="0" borderId="0" applyFont="0" applyFill="0" applyBorder="0" applyAlignment="0" applyProtection="0"/>
  </cellStyleXfs>
  <cellXfs count="30">
    <xf numFmtId="0" fontId="0" fillId="0" borderId="0" xfId="0"/>
    <xf numFmtId="0" fontId="2" fillId="0" borderId="1" xfId="0" applyFont="1" applyBorder="1"/>
    <xf numFmtId="0" fontId="2" fillId="0" borderId="2" xfId="0" applyFont="1" applyBorder="1"/>
    <xf numFmtId="0" fontId="2" fillId="0" borderId="3" xfId="0" applyFont="1" applyBorder="1"/>
    <xf numFmtId="0" fontId="2" fillId="0" borderId="0" xfId="0" applyFont="1"/>
    <xf numFmtId="0" fontId="2" fillId="0" borderId="4" xfId="0" applyFont="1" applyBorder="1"/>
    <xf numFmtId="164" fontId="2" fillId="0" borderId="0" xfId="0" applyNumberFormat="1" applyFont="1" applyAlignment="1">
      <alignment horizontal="right"/>
    </xf>
    <xf numFmtId="0" fontId="2" fillId="0" borderId="1" xfId="0" applyFont="1" applyBorder="1" applyAlignment="1">
      <alignment horizontal="right"/>
    </xf>
    <xf numFmtId="4" fontId="2" fillId="0" borderId="0" xfId="0" applyNumberFormat="1" applyFont="1"/>
    <xf numFmtId="3" fontId="2" fillId="0" borderId="0" xfId="0" applyNumberFormat="1" applyFont="1" applyAlignment="1">
      <alignment horizontal="right"/>
    </xf>
    <xf numFmtId="0" fontId="2" fillId="0" borderId="4" xfId="0" applyFont="1" applyBorder="1" applyAlignment="1">
      <alignment horizontal="right"/>
    </xf>
    <xf numFmtId="0" fontId="2" fillId="0" borderId="5" xfId="0" applyFont="1" applyBorder="1"/>
    <xf numFmtId="3" fontId="2" fillId="0" borderId="6" xfId="0" applyNumberFormat="1" applyFont="1" applyBorder="1" applyAlignment="1">
      <alignment horizontal="right"/>
    </xf>
    <xf numFmtId="0" fontId="2" fillId="0" borderId="5" xfId="0" applyFont="1" applyBorder="1" applyAlignment="1">
      <alignment horizontal="right"/>
    </xf>
    <xf numFmtId="14" fontId="2" fillId="0" borderId="0" xfId="0" applyNumberFormat="1" applyFont="1"/>
    <xf numFmtId="3" fontId="2" fillId="0" borderId="0" xfId="0" applyNumberFormat="1" applyFont="1"/>
    <xf numFmtId="0" fontId="4" fillId="0" borderId="0" xfId="0" applyFont="1"/>
    <xf numFmtId="3" fontId="4" fillId="0" borderId="0" xfId="0" applyNumberFormat="1" applyFont="1"/>
    <xf numFmtId="166" fontId="4" fillId="0" borderId="0" xfId="0" applyNumberFormat="1" applyFont="1"/>
    <xf numFmtId="9" fontId="2" fillId="0" borderId="0" xfId="0" applyNumberFormat="1" applyFont="1"/>
    <xf numFmtId="165" fontId="2" fillId="0" borderId="0" xfId="0" applyNumberFormat="1" applyFont="1"/>
    <xf numFmtId="10" fontId="2" fillId="0" borderId="0" xfId="1" applyNumberFormat="1" applyFont="1"/>
    <xf numFmtId="10" fontId="2" fillId="0" borderId="0" xfId="0" applyNumberFormat="1" applyFont="1"/>
    <xf numFmtId="0" fontId="1" fillId="0" borderId="4" xfId="0" applyFont="1" applyBorder="1" applyAlignment="1">
      <alignment horizontal="right"/>
    </xf>
    <xf numFmtId="0" fontId="1" fillId="0" borderId="0" xfId="0" applyFont="1"/>
    <xf numFmtId="0" fontId="1" fillId="0" borderId="1" xfId="0" applyFont="1" applyBorder="1"/>
    <xf numFmtId="14" fontId="1" fillId="0" borderId="0" xfId="0" applyNumberFormat="1" applyFont="1"/>
    <xf numFmtId="9" fontId="4" fillId="0" borderId="0" xfId="0" applyNumberFormat="1" applyFont="1"/>
    <xf numFmtId="0" fontId="4" fillId="0" borderId="6" xfId="0" applyFont="1" applyBorder="1"/>
    <xf numFmtId="9" fontId="4" fillId="0" borderId="6" xfId="0" applyNumberFormat="1" applyFont="1" applyBorder="1"/>
  </cellXfs>
  <cellStyles count="2">
    <cellStyle name="Normal" xfId="0" builtinId="0"/>
    <cellStyle name="Percent" xfId="1" builtinId="5"/>
  </cellStyles>
  <dxfs count="2">
    <dxf>
      <font>
        <color rgb="FF006100"/>
      </font>
      <fill>
        <patternFill>
          <bgColor rgb="FFC6EF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microsoft.com/office/2017/06/relationships/rdSupportingPropertyBag" Target="richData/rdsupportingpropertybag.xml"/><Relationship Id="rId3" Type="http://schemas.openxmlformats.org/officeDocument/2006/relationships/worksheet" Target="worksheets/sheet3.xml"/><Relationship Id="rId7" Type="http://schemas.openxmlformats.org/officeDocument/2006/relationships/sharedStrings" Target="sharedStrings.xml"/><Relationship Id="rId12" Type="http://schemas.microsoft.com/office/2017/06/relationships/rdSupportingPropertyBagStructure" Target="richData/rdsupportingpropertybagstructure.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ichStyles" Target="richData/richStyles.xml"/><Relationship Id="rId5" Type="http://schemas.openxmlformats.org/officeDocument/2006/relationships/theme" Target="theme/theme1.xml"/><Relationship Id="rId15" Type="http://schemas.openxmlformats.org/officeDocument/2006/relationships/calcChain" Target="calcChain.xml"/><Relationship Id="rId10" Type="http://schemas.microsoft.com/office/2017/06/relationships/rdRichValueStructure" Target="richData/rdrichvaluestructure.xml"/><Relationship Id="rId4" Type="http://schemas.openxmlformats.org/officeDocument/2006/relationships/externalLink" Target="externalLinks/externalLink1.xml"/><Relationship Id="rId9" Type="http://schemas.microsoft.com/office/2017/06/relationships/rdRichValue" Target="richData/rdrichvalue.xml"/><Relationship Id="rId14" Type="http://schemas.microsoft.com/office/2017/06/relationships/rdRichValueTypes" Target="richData/rdRichValueTypes.xml"/></Relationships>
</file>

<file path=xl/drawings/drawing1.xml><?xml version="1.0" encoding="utf-8"?>
<xdr:wsDr xmlns:xdr="http://schemas.openxmlformats.org/drawingml/2006/spreadsheetDrawing" xmlns:a="http://schemas.openxmlformats.org/drawingml/2006/main">
  <xdr:twoCellAnchor>
    <xdr:from>
      <xdr:col>47</xdr:col>
      <xdr:colOff>91440</xdr:colOff>
      <xdr:row>0</xdr:row>
      <xdr:rowOff>43815</xdr:rowOff>
    </xdr:from>
    <xdr:to>
      <xdr:col>47</xdr:col>
      <xdr:colOff>91440</xdr:colOff>
      <xdr:row>38</xdr:row>
      <xdr:rowOff>120015</xdr:rowOff>
    </xdr:to>
    <xdr:cxnSp macro="">
      <xdr:nvCxnSpPr>
        <xdr:cNvPr id="3" name="Straight Connector 2">
          <a:extLst>
            <a:ext uri="{FF2B5EF4-FFF2-40B4-BE49-F238E27FC236}">
              <a16:creationId xmlns:a16="http://schemas.microsoft.com/office/drawing/2014/main" id="{516732B2-F798-41E3-A513-C524C3385EE7}"/>
            </a:ext>
          </a:extLst>
        </xdr:cNvPr>
        <xdr:cNvCxnSpPr/>
      </xdr:nvCxnSpPr>
      <xdr:spPr>
        <a:xfrm>
          <a:off x="33047940" y="43815"/>
          <a:ext cx="0" cy="62484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45720</xdr:colOff>
      <xdr:row>0</xdr:row>
      <xdr:rowOff>83820</xdr:rowOff>
    </xdr:from>
    <xdr:to>
      <xdr:col>31</xdr:col>
      <xdr:colOff>45720</xdr:colOff>
      <xdr:row>38</xdr:row>
      <xdr:rowOff>160020</xdr:rowOff>
    </xdr:to>
    <xdr:cxnSp macro="">
      <xdr:nvCxnSpPr>
        <xdr:cNvPr id="2" name="Straight Connector 1">
          <a:extLst>
            <a:ext uri="{FF2B5EF4-FFF2-40B4-BE49-F238E27FC236}">
              <a16:creationId xmlns:a16="http://schemas.microsoft.com/office/drawing/2014/main" id="{85E699FE-93E8-4976-BF88-B57E09EBF4AC}"/>
            </a:ext>
          </a:extLst>
        </xdr:cNvPr>
        <xdr:cNvCxnSpPr/>
      </xdr:nvCxnSpPr>
      <xdr:spPr>
        <a:xfrm>
          <a:off x="22772370" y="83820"/>
          <a:ext cx="0" cy="62484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wlshe\Documents\Models\00%20Dashboard.xlsx" TargetMode="External"/><Relationship Id="rId1" Type="http://schemas.openxmlformats.org/officeDocument/2006/relationships/externalLinkPath" Target="00%20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Bond Yields"/>
      <sheetName val="All"/>
      <sheetName val="Communication"/>
      <sheetName val="Discretionary"/>
      <sheetName val="Staples"/>
      <sheetName val="Energy"/>
      <sheetName val="Financials"/>
      <sheetName val="Health Care"/>
      <sheetName val="Industrials"/>
      <sheetName val="Materials"/>
      <sheetName val="Real Estate"/>
      <sheetName val="Tech"/>
      <sheetName val="Utilities"/>
      <sheetName val="Screens"/>
    </sheetNames>
    <sheetDataSet>
      <sheetData sheetId="0">
        <row r="12">
          <cell r="C12">
            <v>4.2999999999999997E-2</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19">
  <rv s="0">
    <v>https://www.bing.com/financeapi/forcetrigger?t=a22k9c&amp;q=XNAS%3aSBUX&amp;form=skydnc</v>
    <v>Learn more on Bing</v>
  </rv>
  <rv s="1">
    <v>en-US</v>
    <v>a22k9c</v>
    <v>268435456</v>
    <v>1</v>
    <v>Powered by Refinitiv</v>
    <v>0</v>
    <v>STARBUCKS CORPORATION (XNAS:SBUX)</v>
    <v>2</v>
    <v>3</v>
    <v>Finance</v>
    <v>4</v>
    <v>115.48</v>
    <v>89.21</v>
    <v>0.98050000000000004</v>
    <v>-1.74</v>
    <v>-2.1469999999999999E-4</v>
    <v>-1.8335000000000001E-2</v>
    <v>-0.02</v>
    <v>USD</v>
    <v>Starbucks Corporation is a coffee company engaged in sourcing and roasting arabica coffee. The Company has more than 38,000 stores worldwide and is the roaster and retailer of specialty coffee in the world. It operates through three segments: North America, which is inclusive of the United States and Canada; International, which is inclusive of China, Japan, Asia Pacific, Europe, Middle East and Africa, Latin America, and Caribbean; and Channel Development. Its North America and International segments include both Company-operated and licensed stores. Its Channel Development segment includes roasted whole bean and ground coffees, Starbucks and Teavana-branded single-serve products, a variety of ready-to-drink beverages, such as Frappuccino and Starbucks Doubleshot, foodservice products and other branded products sold worldwide outside of Company-operated and licensed stores. It also sells goods and services under various brands, including Teavana, Ethos, Starbucks Reserve and Princi.</v>
    <v>381000</v>
    <v>Nasdaq Stock Market</v>
    <v>XNAS</v>
    <v>XNAS</v>
    <v>P O Box 34067, SEATTLE, WA, 98124-1067 US</v>
    <v>94.57</v>
    <v>Hotels &amp; Entertainment Services</v>
    <v>Stock</v>
    <v>45352.907804814065</v>
    <v>0</v>
    <v>92.91</v>
    <v>105475800000</v>
    <v>STARBUCKS CORPORATION</v>
    <v>STARBUCKS CORPORATION</v>
    <v>94.45</v>
    <v>28.958500000000001</v>
    <v>94.9</v>
    <v>93.16</v>
    <v>93.14</v>
    <v>1132200000</v>
    <v>SBUX</v>
    <v>STARBUCKS CORPORATION (XNAS:SBUX)</v>
    <v>7995399</v>
    <v>10029855</v>
    <v>1985</v>
  </rv>
  <rv s="2">
    <v>1</v>
  </rv>
  <rv s="0">
    <v>http://en.wikipedia.org/wiki/Public_domain</v>
    <v>Public domain</v>
  </rv>
  <rv s="0">
    <v>http://en.wikipedia.org/wiki/McDonald's</v>
    <v>Wikipedia</v>
  </rv>
  <rv s="3">
    <v>3</v>
    <v>4</v>
  </rv>
  <rv s="4">
    <v>9</v>
    <v>https://www.bing.com/th?id=AMMS_7d8255243964a8970376f8dd41121106&amp;qlt=95</v>
    <v>5</v>
    <v>0</v>
    <v>https://www.bing.com/images/search?form=xlimg&amp;q=mcdonald%27s</v>
    <v>Image of MCDONALD'S CORPORATION</v>
  </rv>
  <rv s="0">
    <v>https://www.bing.com/financeapi/forcetrigger?t=a1xdec&amp;q=XNYS%3aMCD&amp;form=skydnc</v>
    <v>Learn more on Bing</v>
  </rv>
  <rv s="5">
    <v>en-US</v>
    <v>a1xdec</v>
    <v>268435456</v>
    <v>1</v>
    <v>Powered by Refinitiv</v>
    <v>5</v>
    <v>MCDONALD'S CORPORATION (XNYS:MCD)</v>
    <v>7</v>
    <v>8</v>
    <v>Finance</v>
    <v>4</v>
    <v>302.39</v>
    <v>245.73</v>
    <v>0.71750000000000003</v>
    <v>-1.55</v>
    <v>-3.4399999999999996E-5</v>
    <v>-5.3029999999999996E-3</v>
    <v>-0.01</v>
    <v>USD</v>
    <v>McDonald's Corporation is a foodservice retailer with over 40,000 locations in over 100 countries. The Company's segment includes United States, International Operated Markets and International Developmental Licensed Markets &amp; Corporate. The International Operated Markets segment is comprised of markets, or countries in which the Company operates and franchises restaurants, including Australia, Canada, France, Germany, Italy, Poland, Spain and the United Kingdom. This segment is over 89% franchised. The International Developmental Licensed Markets &amp; Corporate segment is comprised of developmental licensee and affiliate markets in the McDonald’s system. This segment is around 98% franchised. Its menu features hamburgers and cheeseburgers, the Big Mac, the Quarter Pounder with Cheese, the Filet-O-Fish, and several chicken sandwiches like the McChicken, McCrispy and McSpicy. Approximately 95% of McDonald’s restaurants worldwide are owned and operated by independent local business owners.</v>
    <v>150000</v>
    <v>New York Stock Exchange</v>
    <v>XNYS</v>
    <v>XNYS</v>
    <v>110 N Carpenter St, CHICAGO, IL, 60607-2104 US</v>
    <v>292.67</v>
    <v>6</v>
    <v>Hotels &amp; Entertainment Services</v>
    <v>Stock</v>
    <v>45352.940612395316</v>
    <v>7</v>
    <v>289.52999999999997</v>
    <v>209922000000</v>
    <v>MCDONALD'S CORPORATION</v>
    <v>MCDONALD'S CORPORATION</v>
    <v>291.39</v>
    <v>25.2715</v>
    <v>292.27999999999997</v>
    <v>290.73</v>
    <v>290.72000000000003</v>
    <v>722051500</v>
    <v>MCD</v>
    <v>MCDONALD'S CORPORATION (XNYS:MCD)</v>
    <v>3028869</v>
    <v>3352191</v>
    <v>1964</v>
  </rv>
  <rv s="2">
    <v>8</v>
  </rv>
  <rv s="0">
    <v>https://www.bing.com/financeapi/forcetrigger?t=a1pxbh&amp;q=XNYS%3aCMG&amp;form=skydnc</v>
    <v>Learn more on Bing</v>
  </rv>
  <rv s="1">
    <v>en-US</v>
    <v>a1pxbh</v>
    <v>268435456</v>
    <v>1</v>
    <v>Powered by Refinitiv</v>
    <v>0</v>
    <v>CHIPOTLE MEXICAN GRILL, INC. (XNYS:CMG)</v>
    <v>2</v>
    <v>3</v>
    <v>Finance</v>
    <v>10</v>
    <v>2725.83</v>
    <v>1494.07</v>
    <v>1.2817000000000001</v>
    <v>-1.46</v>
    <v>-6.6199999999999994E-4</v>
    <v>-5.4299999999999997E-4</v>
    <v>-1.78</v>
    <v>USD</v>
    <v>Chipotle Mexican Grill, Inc. is a restaurant company. The Company, through its subsidiaries, owns and operates Chipotle Mexican Grill restaurants, which feature a menu of burritos, burrito bowls (a burrito without the tortilla), quesadillas, tacos, and salads. The Company operates about 3,437 restaurants, including 3,371 Chipotle restaurants within the United States, and 66 international Chipotle restaurants. The Company owns and operates all its restaurants in North America and Europe. It manages its operations based on eight regions. It has made digital ordering convenient with enhancements to the Chipotle app and Website, such as customization, contactless delivery, and group ordering. Its application also includes order readiness messaging, wrong location detection and reminders to scan for points. The Company’s subsidiaries include Chipotle Mexican Grill Canada Corp., Chipotle Mexican Grill France SAS, and Chipotle Mexican Grill of Berwyn Heights, LLC, among others.</v>
    <v>116068</v>
    <v>New York Stock Exchange</v>
    <v>XNYS</v>
    <v>XNYS</v>
    <v>610 Newport Center Dr, Suite 1100, NEWPORT BEACH, CA, 92660 US</v>
    <v>2704.99</v>
    <v>Hotels &amp; Entertainment Services</v>
    <v>Stock</v>
    <v>45352.973143610936</v>
    <v>10</v>
    <v>2679.95</v>
    <v>73729490000</v>
    <v>CHIPOTLE MEXICAN GRILL, INC.</v>
    <v>CHIPOTLE MEXICAN GRILL, INC.</v>
    <v>2699.45</v>
    <v>60.639000000000003</v>
    <v>2688.77</v>
    <v>2687.31</v>
    <v>2687</v>
    <v>27421170</v>
    <v>CMG</v>
    <v>CHIPOTLE MEXICAN GRILL, INC. (XNYS:CMG)</v>
    <v>165233</v>
    <v>241405</v>
    <v>1998</v>
  </rv>
  <rv s="2">
    <v>11</v>
  </rv>
  <rv s="0">
    <v>https://www.bing.com/financeapi/forcetrigger?t=a21n6h&amp;q=XNYS%3aQSR&amp;form=skydnc</v>
    <v>Learn more on Bing</v>
  </rv>
  <rv s="1">
    <v>en-US</v>
    <v>a21n6h</v>
    <v>268435456</v>
    <v>1</v>
    <v>Powered by Refinitiv</v>
    <v>0</v>
    <v>Restaurant Brands International Inc. (XNYS:QSR)</v>
    <v>2</v>
    <v>3</v>
    <v>Finance</v>
    <v>4</v>
    <v>79.94</v>
    <v>59.99</v>
    <v>0.92330000000000001</v>
    <v>0.06</v>
    <v>-5.1470000000000005E-3</v>
    <v>7.7270000000000008E-4</v>
    <v>-0.4</v>
    <v>USD</v>
    <v>Restaurant Brands International Inc. is a Canada-based quick service restaurant company. The Company franchises and operates quick service restaurants serving premium coffee and other beverage and food products. Its segments include Tim Hortons (TH); Burger King (BK); Popeyes Louisiana Kitchen (PLK), and Firehouse Subs (FHS). TH segments operate in the donut/coffee/tea category of the quick service segment of the restaurant industry. BK segments operate in the fast-food hamburger restaurant category of the quick service segment of the restaurant industry. PLK segment operate in the chicken category of the quick service segment of the restaurant industry. FHS segment operate in the specialty subs category of the quick service segment of the restaurant industry. Its menu includes premium blend coffees, hot and cold specialty drinks, alongside breakfast sandwiches, fresh baked goods, muffins, cookies and pastries, sandwiches, bowls, wraps, soups and more.</v>
    <v>9000</v>
    <v>New York Stock Exchange</v>
    <v>XNYS</v>
    <v>XNYS</v>
    <v>130 King Street West, Suite 300, TORONTO, QC, M5X 1E1 CA</v>
    <v>78</v>
    <v>Hotels &amp; Entertainment Services</v>
    <v>Stock</v>
    <v>45352.913991596877</v>
    <v>13</v>
    <v>76.64</v>
    <v>24350440000</v>
    <v>Restaurant Brands International Inc.</v>
    <v>Restaurant Brands International Inc.</v>
    <v>77.650000000000006</v>
    <v>20.577000000000002</v>
    <v>77.650000000000006</v>
    <v>77.709999999999994</v>
    <v>77.31</v>
    <v>313350100</v>
    <v>QSR</v>
    <v>Restaurant Brands International Inc. (XNYS:QSR)</v>
    <v>906417</v>
    <v>1559776</v>
    <v>2014</v>
  </rv>
  <rv s="2">
    <v>14</v>
  </rv>
  <rv s="0">
    <v>https://www.bing.com/financeapi/forcetrigger?t=a1wljc&amp;q=XNYS%3aKO&amp;form=skydnc</v>
    <v>Learn more on Bing</v>
  </rv>
  <rv s="1">
    <v>en-US</v>
    <v>a1wljc</v>
    <v>268435456</v>
    <v>1</v>
    <v>Powered by Refinitiv</v>
    <v>0</v>
    <v>THE COCA-COLA COMPANY (XNYS:KO)</v>
    <v>2</v>
    <v>3</v>
    <v>Finance</v>
    <v>10</v>
    <v>64.989999999999995</v>
    <v>51.55</v>
    <v>0.59050000000000002</v>
    <v>-0.48</v>
    <v>1.5120000000000001E-3</v>
    <v>-7.9969999999999989E-3</v>
    <v>0.09</v>
    <v>USD</v>
    <v>The Coca-Cola Company is a beverage company. The Company's segments include Europe, Middle East and Africa, Latin America, North America, Asia Pacific, Global Ventures and Bottling Investments. It owns or licenses and markets various beverage brands, which are grouped into categories, such as Trademark Coca-Cola; sparkling flavors; water, sports, coffee and tea; juice, value-added dairy and plant-based beverages and emerging beverages. It owns and markets various nonalcoholic sparkling soft drink brands, including Coca-Cola, Diet Coke/Coca-Cola Light, Coca-Cola Zero Sugar, Fanta, Fresca, Schweppes, Sprite and Thums Up. Its water, sports, coffee and tea brands include Aquarius, Ayataka, BODYARMOR, Ciel, Costa, Dasani, dogadan, FUZE TEA, Georgia, glaceau smartwater, glaceau vitaminwater, Gold Peak, Ice Dew, I LOHAS, Powerade and Topo Chico. Its juice, value-added dairy and plant-based beverages brands include AdeS, Del Valle, fairlife, innocent, Minute Maid, Minute Maid Pulpy and Simply.</v>
    <v>79100</v>
    <v>New York Stock Exchange</v>
    <v>XNYS</v>
    <v>XNYS</v>
    <v>1 Coca Cola Plz NW, ATLANTA, GA, 30313-2420 US</v>
    <v>59.9</v>
    <v>Beverages</v>
    <v>Stock</v>
    <v>45352.998988217187</v>
    <v>16</v>
    <v>59.34</v>
    <v>256720500000</v>
    <v>THE COCA-COLA COMPANY</v>
    <v>THE COCA-COLA COMPANY</v>
    <v>59.9</v>
    <v>24.310300000000002</v>
    <v>60.02</v>
    <v>59.54</v>
    <v>59.62</v>
    <v>4312456000</v>
    <v>KO</v>
    <v>THE COCA-COLA COMPANY (XNYS:KO)</v>
    <v>10927564</v>
    <v>14869213</v>
    <v>1919</v>
  </rv>
  <rv s="2">
    <v>17</v>
  </rv>
</rvData>
</file>

<file path=xl/richData/rdrichvaluestructure.xml><?xml version="1.0" encoding="utf-8"?>
<rvStructures xmlns="http://schemas.microsoft.com/office/spreadsheetml/2017/richdata" count="6">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2">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spbArrays>
  <spbData count="11">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 s="0">
      <v>1</v>
      <v>Name</v>
      <v>LearnMoreOnLink</v>
    </spb>
    <spb s="5">
      <v>0</v>
      <v>0</v>
    </spb>
    <spb s="6">
      <v>6</v>
      <v>1</v>
      <v>1</v>
      <v>1</v>
      <v>1</v>
    </spb>
    <spb s="7">
      <v>1</v>
      <v>2</v>
      <v>2</v>
      <v>1</v>
      <v>3</v>
      <v>1</v>
      <v>10</v>
      <v>1</v>
      <v>1</v>
      <v>4</v>
      <v>4</v>
      <v>5</v>
      <v>6</v>
      <v>1</v>
      <v>1</v>
      <v>1</v>
      <v>4</v>
      <v>7</v>
      <v>8</v>
      <v>9</v>
      <v>4</v>
      <v>1</v>
      <v>1</v>
      <v>5</v>
    </spb>
    <spb s="8">
      <v>Powered by Refinitiv</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9">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na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4" formatCode="#,##0.00"/>
    </x:dxf>
    <x:dxf>
      <x:numFmt numFmtId="3" formatCode="#,##0"/>
    </x:dxf>
    <x:dxf>
      <x:numFmt numFmtId="14" formatCode="0.00%"/>
    </x:dxf>
    <x:dxf>
      <x:numFmt numFmtId="27" formatCode="m/d/yyyy\ h:mm"/>
    </x:dxf>
    <x:dxf>
      <x:numFmt numFmtId="1" formatCode="0"/>
    </x:dxf>
    <x:dxf>
      <x:numFmt numFmtId="2" formatCode="0.00"/>
    </x:dxf>
    <x:dxf>
      <x:numFmt numFmtId="0" formatCode="General"/>
    </x:dxf>
  </dxfs>
  <richProperties>
    <rPr n="NumberFormat" t="s"/>
    <rPr n="IsTitleField" t="b"/>
    <rPr n="IsHeroField" t="b"/>
  </richProperties>
  <richStyles>
    <rSty dxfid="6">
      <rpv i="0">_([$$-en-US]* #,##0.00_);_([$$-en-US]* (#,##0.00);_([$$-en-US]* "-"??_);_(@_)</rpv>
    </rSty>
    <rSty dxfid="0">
      <rpv i="0">#,##0.00</rpv>
    </rSty>
    <rSty>
      <rpv i="1">1</rpv>
    </rSty>
    <rSty dxfid="1">
      <rpv i="0">#,##0</rpv>
    </rSty>
    <rSty dxfid="2"/>
    <rSty dxfid="6">
      <rpv i="0">_([$$-en-US]* #,##0_);_([$$-en-US]* (#,##0);_([$$-en-US]* "-"_);_(@_)</rpv>
    </rSty>
    <rSty dxfid="3"/>
    <rSty dxfid="4">
      <rpv i="0">0</rpv>
    </rSty>
    <rSty dxfid="5">
      <rpv i="0">0.00</rpv>
    </rSty>
    <rSty>
      <rpv i="2">1</rpv>
    </rSty>
  </richStyles>
</richStyleShee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F7514-129C-462C-97F8-F9C23DB00CEA}">
  <dimension ref="B3:G15"/>
  <sheetViews>
    <sheetView workbookViewId="0">
      <selection activeCell="G9" sqref="G9"/>
    </sheetView>
  </sheetViews>
  <sheetFormatPr defaultColWidth="9.21875" defaultRowHeight="13.8" x14ac:dyDescent="0.25"/>
  <cols>
    <col min="1" max="1" width="9.21875" style="4"/>
    <col min="2" max="2" width="11.5546875" style="4" bestFit="1" customWidth="1"/>
    <col min="3" max="3" width="50.5546875" style="4" bestFit="1" customWidth="1"/>
    <col min="4" max="4" width="7.77734375" style="4" bestFit="1" customWidth="1"/>
    <col min="5" max="5" width="9.21875" style="4"/>
    <col min="6" max="6" width="14.21875" style="4" bestFit="1" customWidth="1"/>
    <col min="7" max="7" width="7.77734375" style="4" bestFit="1" customWidth="1"/>
    <col min="8" max="16384" width="9.21875" style="4"/>
  </cols>
  <sheetData>
    <row r="3" spans="2:7" x14ac:dyDescent="0.25">
      <c r="B3" s="1" t="s">
        <v>0</v>
      </c>
      <c r="C3" s="2" t="e" vm="1">
        <v>#VALUE!</v>
      </c>
      <c r="D3" s="3" t="s">
        <v>1</v>
      </c>
    </row>
    <row r="4" spans="2:7" x14ac:dyDescent="0.25">
      <c r="B4" s="5" t="s">
        <v>2</v>
      </c>
      <c r="C4" s="6" cm="1">
        <f t="array" ref="C4">_FV(C3,"Price")</f>
        <v>93.16</v>
      </c>
      <c r="D4" s="7"/>
      <c r="G4" s="8"/>
    </row>
    <row r="5" spans="2:7" x14ac:dyDescent="0.25">
      <c r="B5" s="5" t="s">
        <v>3</v>
      </c>
      <c r="C5" s="9">
        <v>1140.5999999999999</v>
      </c>
      <c r="D5" s="23" t="s">
        <v>85</v>
      </c>
    </row>
    <row r="6" spans="2:7" x14ac:dyDescent="0.25">
      <c r="B6" s="5" t="s">
        <v>5</v>
      </c>
      <c r="C6" s="9">
        <f>C5*C4</f>
        <v>106258.29599999999</v>
      </c>
      <c r="D6" s="10"/>
    </row>
    <row r="7" spans="2:7" x14ac:dyDescent="0.25">
      <c r="B7" s="5" t="s">
        <v>6</v>
      </c>
      <c r="C7" s="9">
        <f>3000.4+383</f>
        <v>3383.4</v>
      </c>
      <c r="D7" s="23" t="s">
        <v>85</v>
      </c>
    </row>
    <row r="8" spans="2:7" x14ac:dyDescent="0.25">
      <c r="B8" s="5" t="s">
        <v>7</v>
      </c>
      <c r="C8" s="9">
        <f>349.5+13564.8</f>
        <v>13914.3</v>
      </c>
      <c r="D8" s="23" t="s">
        <v>85</v>
      </c>
    </row>
    <row r="9" spans="2:7" x14ac:dyDescent="0.25">
      <c r="B9" s="11" t="s">
        <v>8</v>
      </c>
      <c r="C9" s="12">
        <f>C6-C7+C8</f>
        <v>116789.196</v>
      </c>
      <c r="D9" s="13"/>
      <c r="G9" s="15"/>
    </row>
    <row r="11" spans="2:7" x14ac:dyDescent="0.25">
      <c r="C11" s="3" t="s">
        <v>9</v>
      </c>
    </row>
    <row r="12" spans="2:7" x14ac:dyDescent="0.25">
      <c r="C12" s="25" t="e" vm="2">
        <v>#VALUE!</v>
      </c>
    </row>
    <row r="13" spans="2:7" x14ac:dyDescent="0.25">
      <c r="C13" s="5" t="e" vm="3">
        <v>#VALUE!</v>
      </c>
    </row>
    <row r="14" spans="2:7" x14ac:dyDescent="0.25">
      <c r="C14" s="5" t="e" vm="4">
        <v>#VALUE!</v>
      </c>
    </row>
    <row r="15" spans="2:7" x14ac:dyDescent="0.25">
      <c r="C15" s="11" t="e" vm="5">
        <v>#VALUE!</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E6EED8-BEC3-47BE-BAF2-64464946CAEE}">
  <dimension ref="A1:OC37"/>
  <sheetViews>
    <sheetView tabSelected="1" workbookViewId="0">
      <pane xSplit="2" ySplit="2" topLeftCell="AQ15" activePane="bottomRight" state="frozen"/>
      <selection pane="topRight" activeCell="C1" sqref="C1"/>
      <selection pane="bottomLeft" activeCell="A3" sqref="A3"/>
      <selection pane="bottomRight" activeCell="BG36" sqref="BG36"/>
    </sheetView>
  </sheetViews>
  <sheetFormatPr defaultColWidth="9.21875" defaultRowHeight="13.8" x14ac:dyDescent="0.25"/>
  <cols>
    <col min="1" max="1" width="9.21875" style="4"/>
    <col min="2" max="2" width="27.77734375" style="4" bestFit="1" customWidth="1"/>
    <col min="3" max="9" width="9.21875" style="15" bestFit="1" customWidth="1"/>
    <col min="10" max="10" width="10.21875" style="15" bestFit="1" customWidth="1"/>
    <col min="11" max="11" width="11.21875" style="15" bestFit="1" customWidth="1"/>
    <col min="12" max="14" width="10.21875" style="15" bestFit="1" customWidth="1"/>
    <col min="15" max="15" width="11.21875" style="15" bestFit="1" customWidth="1"/>
    <col min="16" max="18" width="10.21875" style="15" bestFit="1" customWidth="1"/>
    <col min="19" max="19" width="11.21875" style="15" bestFit="1" customWidth="1"/>
    <col min="20" max="26" width="11.21875" style="15" customWidth="1"/>
    <col min="27" max="29" width="9.109375" style="15" customWidth="1"/>
    <col min="30" max="30" width="9.88671875" style="15" bestFit="1" customWidth="1"/>
    <col min="31" max="31" width="11" style="15" bestFit="1" customWidth="1"/>
    <col min="32" max="38" width="9.109375" style="15" customWidth="1"/>
    <col min="39" max="40" width="9.21875" style="15"/>
    <col min="41" max="49" width="9.21875" style="15" bestFit="1" customWidth="1"/>
    <col min="50" max="50" width="9.77734375" style="15" bestFit="1" customWidth="1"/>
    <col min="51" max="51" width="9.21875" style="15" bestFit="1" customWidth="1"/>
    <col min="52" max="52" width="9.21875" style="15" customWidth="1"/>
    <col min="53" max="57" width="9.21875" style="15" bestFit="1" customWidth="1"/>
    <col min="58" max="58" width="15.109375" style="15" bestFit="1" customWidth="1"/>
    <col min="59" max="391" width="9.21875" style="15" bestFit="1" customWidth="1"/>
    <col min="392" max="16384" width="9.21875" style="15"/>
  </cols>
  <sheetData>
    <row r="1" spans="1:52" s="4" customFormat="1" x14ac:dyDescent="0.25">
      <c r="J1" s="14">
        <v>43373</v>
      </c>
      <c r="K1" s="14">
        <v>43464</v>
      </c>
      <c r="L1" s="14">
        <v>43555</v>
      </c>
      <c r="M1" s="14">
        <v>43646</v>
      </c>
      <c r="N1" s="14">
        <v>43737</v>
      </c>
      <c r="O1" s="14">
        <v>43828</v>
      </c>
      <c r="P1" s="14">
        <v>43919</v>
      </c>
      <c r="Q1" s="14">
        <v>44010</v>
      </c>
      <c r="R1" s="14">
        <v>44101</v>
      </c>
      <c r="S1" s="14">
        <v>44192</v>
      </c>
      <c r="T1" s="14"/>
      <c r="U1" s="14"/>
      <c r="V1" s="14"/>
      <c r="W1" s="14">
        <v>44563</v>
      </c>
      <c r="X1" s="14">
        <v>44654</v>
      </c>
      <c r="Y1" s="14">
        <v>44745</v>
      </c>
      <c r="Z1" s="14">
        <v>44835</v>
      </c>
      <c r="AA1" s="14">
        <v>44927</v>
      </c>
      <c r="AB1" s="14">
        <v>45018</v>
      </c>
      <c r="AC1" s="26">
        <v>45109</v>
      </c>
      <c r="AD1" s="14">
        <v>45200</v>
      </c>
      <c r="AE1" s="14">
        <v>45291</v>
      </c>
      <c r="AF1" s="14"/>
      <c r="AG1" s="14"/>
      <c r="AH1" s="14"/>
      <c r="AI1" s="14"/>
      <c r="AJ1" s="14"/>
      <c r="AK1" s="14"/>
      <c r="AL1" s="14"/>
    </row>
    <row r="2" spans="1:52" s="4" customFormat="1" x14ac:dyDescent="0.25">
      <c r="C2" s="4" t="s">
        <v>38</v>
      </c>
      <c r="D2" s="4" t="s">
        <v>39</v>
      </c>
      <c r="E2" s="4" t="s">
        <v>40</v>
      </c>
      <c r="F2" s="4" t="s">
        <v>41</v>
      </c>
      <c r="G2" s="4" t="s">
        <v>42</v>
      </c>
      <c r="H2" s="4" t="s">
        <v>43</v>
      </c>
      <c r="I2" s="4" t="s">
        <v>44</v>
      </c>
      <c r="J2" s="4" t="s">
        <v>45</v>
      </c>
      <c r="K2" s="4" t="s">
        <v>46</v>
      </c>
      <c r="L2" s="4" t="s">
        <v>47</v>
      </c>
      <c r="M2" s="4" t="s">
        <v>48</v>
      </c>
      <c r="N2" s="4" t="s">
        <v>49</v>
      </c>
      <c r="O2" s="4" t="s">
        <v>50</v>
      </c>
      <c r="P2" s="4" t="s">
        <v>51</v>
      </c>
      <c r="Q2" s="4" t="s">
        <v>52</v>
      </c>
      <c r="R2" s="4" t="s">
        <v>4</v>
      </c>
      <c r="S2" s="4" t="s">
        <v>72</v>
      </c>
      <c r="T2" s="4" t="s">
        <v>74</v>
      </c>
      <c r="U2" s="4" t="s">
        <v>75</v>
      </c>
      <c r="V2" s="4" t="s">
        <v>76</v>
      </c>
      <c r="W2" s="4" t="s">
        <v>77</v>
      </c>
      <c r="X2" s="4" t="s">
        <v>78</v>
      </c>
      <c r="Y2" s="4" t="s">
        <v>79</v>
      </c>
      <c r="Z2" s="4" t="s">
        <v>73</v>
      </c>
      <c r="AA2" s="4" t="s">
        <v>83</v>
      </c>
      <c r="AB2" s="4" t="s">
        <v>82</v>
      </c>
      <c r="AC2" s="4" t="s">
        <v>84</v>
      </c>
      <c r="AD2" s="4" t="s">
        <v>85</v>
      </c>
      <c r="AE2" s="24" t="s">
        <v>86</v>
      </c>
      <c r="AF2" s="4" t="s">
        <v>87</v>
      </c>
      <c r="AG2" s="4" t="s">
        <v>88</v>
      </c>
      <c r="AH2" s="4" t="s">
        <v>89</v>
      </c>
      <c r="AO2" s="4">
        <v>2017</v>
      </c>
      <c r="AP2" s="4">
        <v>2018</v>
      </c>
      <c r="AQ2" s="4">
        <v>2019</v>
      </c>
      <c r="AR2" s="4">
        <v>2020</v>
      </c>
      <c r="AS2" s="4">
        <v>2021</v>
      </c>
      <c r="AT2" s="4">
        <v>2022</v>
      </c>
      <c r="AU2" s="4">
        <v>2023</v>
      </c>
      <c r="AV2" s="4">
        <v>2024</v>
      </c>
      <c r="AW2" s="4">
        <v>2025</v>
      </c>
      <c r="AX2" s="4">
        <v>2026</v>
      </c>
      <c r="AY2" s="4">
        <v>2027</v>
      </c>
      <c r="AZ2" s="4">
        <v>2028</v>
      </c>
    </row>
    <row r="3" spans="1:52" x14ac:dyDescent="0.25">
      <c r="B3" s="4" t="s">
        <v>23</v>
      </c>
      <c r="C3" s="15">
        <v>4469.3</v>
      </c>
      <c r="D3" s="15">
        <v>4195.3999999999996</v>
      </c>
      <c r="E3" s="15">
        <v>4509</v>
      </c>
      <c r="F3" s="15">
        <v>4477</v>
      </c>
      <c r="G3" s="15">
        <v>4741.8</v>
      </c>
      <c r="H3" s="15">
        <v>4828</v>
      </c>
      <c r="I3" s="15">
        <v>5060.3999999999996</v>
      </c>
      <c r="J3" s="15">
        <v>5060.1000000000004</v>
      </c>
      <c r="K3" s="15">
        <v>5370.3</v>
      </c>
      <c r="L3" s="15">
        <v>5159</v>
      </c>
      <c r="M3" s="15">
        <v>5535</v>
      </c>
      <c r="N3" s="15">
        <v>5480.1</v>
      </c>
      <c r="O3" s="15">
        <v>5780.7</v>
      </c>
      <c r="P3" s="15">
        <v>4766</v>
      </c>
      <c r="Q3" s="15">
        <v>3444.4</v>
      </c>
      <c r="R3" s="15">
        <v>5173.6000000000004</v>
      </c>
      <c r="S3" s="15">
        <v>5726.5</v>
      </c>
      <c r="T3" s="15">
        <v>5653.1</v>
      </c>
      <c r="U3" s="15">
        <v>6363.1</v>
      </c>
      <c r="V3" s="15">
        <v>6864.3</v>
      </c>
      <c r="W3" s="15">
        <v>6722.4</v>
      </c>
      <c r="X3" s="15">
        <v>6276.7</v>
      </c>
      <c r="Y3" s="15">
        <v>6675.5</v>
      </c>
      <c r="Z3" s="15">
        <v>6901.4</v>
      </c>
      <c r="AA3" s="15">
        <v>7083.5</v>
      </c>
      <c r="AB3" s="15">
        <v>7142.3</v>
      </c>
      <c r="AC3" s="15">
        <v>7556.7</v>
      </c>
      <c r="AD3" s="15">
        <v>7679.9</v>
      </c>
      <c r="AE3" s="15">
        <v>7755.2</v>
      </c>
      <c r="AF3" s="15">
        <f>AB3*1.08</f>
        <v>7713.6840000000011</v>
      </c>
      <c r="AG3" s="15">
        <f t="shared" ref="AG3:AH3" si="0">AC3*1.09</f>
        <v>8236.8029999999999</v>
      </c>
      <c r="AH3" s="15">
        <f t="shared" si="0"/>
        <v>8371.0910000000003</v>
      </c>
      <c r="AO3" s="15">
        <f>SUM(C3:F3)</f>
        <v>17650.7</v>
      </c>
      <c r="AP3" s="15">
        <f>SUM(G3:J3)</f>
        <v>19690.3</v>
      </c>
      <c r="AQ3" s="15">
        <f>SUM(K3:N3)</f>
        <v>21544.400000000001</v>
      </c>
      <c r="AR3" s="15">
        <f>SUM(O3:R3)</f>
        <v>19164.7</v>
      </c>
      <c r="AS3" s="15">
        <f>SUM(S3:V3)</f>
        <v>24607</v>
      </c>
      <c r="AT3" s="15">
        <f>SUM(W3:Z3)</f>
        <v>26576</v>
      </c>
      <c r="AU3" s="15">
        <f>SUM(AA3:AD3)</f>
        <v>29462.400000000001</v>
      </c>
      <c r="AV3" s="15">
        <f>SUM(AE3:AH3)</f>
        <v>32076.778000000002</v>
      </c>
      <c r="AW3" s="15">
        <f>AV3*1.09</f>
        <v>34963.688020000001</v>
      </c>
      <c r="AX3" s="15">
        <f t="shared" ref="AX3:AZ3" si="1">AW3*1.09</f>
        <v>38110.419941800006</v>
      </c>
      <c r="AY3" s="15">
        <f t="shared" si="1"/>
        <v>41540.357736562008</v>
      </c>
      <c r="AZ3" s="15">
        <f t="shared" si="1"/>
        <v>45278.989932852593</v>
      </c>
    </row>
    <row r="4" spans="1:52" x14ac:dyDescent="0.25">
      <c r="B4" s="4" t="s">
        <v>24</v>
      </c>
      <c r="C4" s="15">
        <v>602.4</v>
      </c>
      <c r="D4" s="15">
        <v>546.70000000000005</v>
      </c>
      <c r="E4" s="15">
        <v>588.29999999999995</v>
      </c>
      <c r="F4" s="15">
        <v>617.6</v>
      </c>
      <c r="G4" s="15">
        <v>682.4</v>
      </c>
      <c r="H4" s="15">
        <v>625.6</v>
      </c>
      <c r="I4" s="15">
        <v>660.6</v>
      </c>
      <c r="J4" s="15">
        <v>683.6</v>
      </c>
      <c r="K4" s="15">
        <v>737.1</v>
      </c>
      <c r="L4" s="15">
        <v>678.2</v>
      </c>
      <c r="M4" s="15">
        <v>725</v>
      </c>
      <c r="N4" s="15">
        <v>734.7</v>
      </c>
      <c r="O4" s="15">
        <v>792</v>
      </c>
      <c r="P4" s="15">
        <v>689.8</v>
      </c>
      <c r="Q4" s="15">
        <v>300.5</v>
      </c>
      <c r="R4" s="15">
        <v>544.6</v>
      </c>
      <c r="S4" s="15">
        <v>613.79999999999995</v>
      </c>
      <c r="T4" s="15">
        <v>595</v>
      </c>
      <c r="U4" s="15">
        <v>680.2</v>
      </c>
      <c r="V4" s="15">
        <v>794.5</v>
      </c>
      <c r="W4" s="15">
        <v>850.8</v>
      </c>
      <c r="X4" s="15">
        <v>849.5</v>
      </c>
      <c r="Y4" s="15">
        <v>956.8</v>
      </c>
      <c r="Z4" s="15">
        <v>998.4</v>
      </c>
      <c r="AA4" s="15">
        <v>1119.5</v>
      </c>
      <c r="AB4" s="15">
        <v>1069.5</v>
      </c>
      <c r="AC4" s="15">
        <v>1136.2</v>
      </c>
      <c r="AD4" s="15">
        <v>1187.5</v>
      </c>
      <c r="AE4" s="15">
        <v>1192.0999999999999</v>
      </c>
      <c r="AF4" s="15">
        <f>AB4*1.04</f>
        <v>1112.28</v>
      </c>
      <c r="AG4" s="15">
        <f t="shared" ref="AG4:AH4" si="2">AC4*1.05</f>
        <v>1193.01</v>
      </c>
      <c r="AH4" s="15">
        <f t="shared" si="2"/>
        <v>1246.875</v>
      </c>
      <c r="AO4" s="15">
        <f t="shared" ref="AO4:AO5" si="3">SUM(C4:F4)</f>
        <v>2355</v>
      </c>
      <c r="AP4" s="15">
        <f t="shared" ref="AP4:AP5" si="4">SUM(G4:J4)</f>
        <v>2652.2</v>
      </c>
      <c r="AQ4" s="15">
        <f t="shared" ref="AQ4:AQ5" si="5">SUM(K4:N4)</f>
        <v>2875</v>
      </c>
      <c r="AR4" s="15">
        <f t="shared" ref="AR4:AR5" si="6">SUM(O4:R4)</f>
        <v>2326.9</v>
      </c>
      <c r="AS4" s="15">
        <f t="shared" ref="AS4:AS5" si="7">SUM(S4:V4)</f>
        <v>2683.5</v>
      </c>
      <c r="AT4" s="15">
        <f t="shared" ref="AT4:AT5" si="8">SUM(W4:Z4)</f>
        <v>3655.5</v>
      </c>
      <c r="AU4" s="15">
        <f>SUM(AA4:AD4)</f>
        <v>4512.7</v>
      </c>
      <c r="AV4" s="15">
        <f>SUM(AE4:AH4)</f>
        <v>4744.2650000000003</v>
      </c>
      <c r="AW4" s="15">
        <f t="shared" ref="AW4:AZ4" si="9">AV4*1.09</f>
        <v>5171.2488500000009</v>
      </c>
      <c r="AX4" s="15">
        <f t="shared" si="9"/>
        <v>5636.6612465000017</v>
      </c>
      <c r="AY4" s="15">
        <f t="shared" si="9"/>
        <v>6143.9607586850025</v>
      </c>
      <c r="AZ4" s="15">
        <f t="shared" si="9"/>
        <v>6696.9172269666533</v>
      </c>
    </row>
    <row r="5" spans="1:52" x14ac:dyDescent="0.25">
      <c r="B5" s="4" t="s">
        <v>25</v>
      </c>
      <c r="C5" s="15">
        <v>661.2</v>
      </c>
      <c r="D5" s="15">
        <v>551.9</v>
      </c>
      <c r="E5" s="15">
        <v>564.20000000000005</v>
      </c>
      <c r="F5" s="15">
        <v>603.70000000000005</v>
      </c>
      <c r="G5" s="15">
        <v>649.5</v>
      </c>
      <c r="H5" s="15">
        <v>578.20000000000005</v>
      </c>
      <c r="I5" s="15">
        <v>589.29999999999995</v>
      </c>
      <c r="J5" s="15">
        <v>559.9</v>
      </c>
      <c r="K5" s="15">
        <v>525.29999999999995</v>
      </c>
      <c r="L5" s="15">
        <v>468.7</v>
      </c>
      <c r="M5" s="15">
        <v>563</v>
      </c>
      <c r="N5" s="15">
        <v>532.20000000000005</v>
      </c>
      <c r="O5" s="15">
        <v>524.4</v>
      </c>
      <c r="P5" s="15">
        <v>539.9</v>
      </c>
      <c r="Q5" s="15">
        <v>477.2</v>
      </c>
      <c r="R5" s="15">
        <v>484.9</v>
      </c>
      <c r="S5" s="15">
        <v>409.1</v>
      </c>
      <c r="T5" s="15">
        <v>419.9</v>
      </c>
      <c r="U5" s="15">
        <v>453.2</v>
      </c>
      <c r="V5" s="15">
        <v>487.9</v>
      </c>
      <c r="W5" s="15">
        <v>477.2</v>
      </c>
      <c r="X5" s="15">
        <v>509.4</v>
      </c>
      <c r="Y5" s="15">
        <v>517.79999999999995</v>
      </c>
      <c r="Z5" s="15">
        <v>514.4</v>
      </c>
      <c r="AA5" s="15">
        <v>510.9</v>
      </c>
      <c r="AB5" s="15">
        <v>508</v>
      </c>
      <c r="AC5" s="15">
        <v>475.4</v>
      </c>
      <c r="AD5" s="15">
        <v>506.2</v>
      </c>
      <c r="AE5" s="15">
        <v>478</v>
      </c>
      <c r="AF5" s="15">
        <f>AB5*0.94</f>
        <v>477.52</v>
      </c>
      <c r="AG5" s="15">
        <f t="shared" ref="AG5:AH5" si="10">AC5*0.95</f>
        <v>451.62999999999994</v>
      </c>
      <c r="AH5" s="15">
        <f t="shared" si="10"/>
        <v>480.89</v>
      </c>
      <c r="AO5" s="15">
        <f t="shared" si="3"/>
        <v>2381</v>
      </c>
      <c r="AP5" s="15">
        <f t="shared" si="4"/>
        <v>2376.9</v>
      </c>
      <c r="AQ5" s="15">
        <f t="shared" si="5"/>
        <v>2089.1999999999998</v>
      </c>
      <c r="AR5" s="15">
        <f t="shared" si="6"/>
        <v>2026.4</v>
      </c>
      <c r="AS5" s="15">
        <f t="shared" si="7"/>
        <v>1770.1</v>
      </c>
      <c r="AT5" s="15">
        <f t="shared" si="8"/>
        <v>2018.7999999999997</v>
      </c>
      <c r="AU5" s="15">
        <f>SUM(AA5:AD5)</f>
        <v>2000.5</v>
      </c>
      <c r="AV5" s="15">
        <f>SUM(AE5:AH5)</f>
        <v>1888.04</v>
      </c>
      <c r="AW5" s="15">
        <f t="shared" ref="AW5:AZ5" si="11">AV5*1.09</f>
        <v>2057.9636</v>
      </c>
      <c r="AX5" s="15">
        <f t="shared" si="11"/>
        <v>2243.1803240000004</v>
      </c>
      <c r="AY5" s="15">
        <f t="shared" si="11"/>
        <v>2445.0665531600007</v>
      </c>
      <c r="AZ5" s="15">
        <f t="shared" si="11"/>
        <v>2665.1225429444012</v>
      </c>
    </row>
    <row r="6" spans="1:52" s="17" customFormat="1" x14ac:dyDescent="0.25">
      <c r="A6" s="16"/>
      <c r="B6" s="16" t="s">
        <v>26</v>
      </c>
      <c r="C6" s="17">
        <f t="shared" ref="C6:R6" si="12">SUM(C3:C5)</f>
        <v>5732.9</v>
      </c>
      <c r="D6" s="17">
        <f t="shared" si="12"/>
        <v>5293.9999999999991</v>
      </c>
      <c r="E6" s="17">
        <f t="shared" si="12"/>
        <v>5661.5</v>
      </c>
      <c r="F6" s="17">
        <f t="shared" si="12"/>
        <v>5698.3</v>
      </c>
      <c r="G6" s="17">
        <f t="shared" si="12"/>
        <v>6073.7</v>
      </c>
      <c r="H6" s="17">
        <f t="shared" si="12"/>
        <v>6031.8</v>
      </c>
      <c r="I6" s="17">
        <f t="shared" si="12"/>
        <v>6310.3</v>
      </c>
      <c r="J6" s="17">
        <f t="shared" si="12"/>
        <v>6303.6</v>
      </c>
      <c r="K6" s="17">
        <f t="shared" si="12"/>
        <v>6632.7000000000007</v>
      </c>
      <c r="L6" s="17">
        <f t="shared" si="12"/>
        <v>6305.9</v>
      </c>
      <c r="M6" s="17">
        <f t="shared" si="12"/>
        <v>6823</v>
      </c>
      <c r="N6" s="17">
        <f t="shared" si="12"/>
        <v>6747</v>
      </c>
      <c r="O6" s="17">
        <f t="shared" si="12"/>
        <v>7097.0999999999995</v>
      </c>
      <c r="P6" s="17">
        <f t="shared" si="12"/>
        <v>5995.7</v>
      </c>
      <c r="Q6" s="17">
        <f t="shared" si="12"/>
        <v>4222.1000000000004</v>
      </c>
      <c r="R6" s="17">
        <f t="shared" si="12"/>
        <v>6203.1</v>
      </c>
      <c r="S6" s="17">
        <f>SUM(S3:S5)</f>
        <v>6749.4000000000005</v>
      </c>
      <c r="T6" s="17">
        <f t="shared" ref="T6:Y6" si="13">SUM(T3:T5)</f>
        <v>6668</v>
      </c>
      <c r="U6" s="17">
        <f t="shared" si="13"/>
        <v>7496.5</v>
      </c>
      <c r="V6" s="17">
        <f t="shared" si="13"/>
        <v>8146.7</v>
      </c>
      <c r="W6" s="17">
        <f t="shared" si="13"/>
        <v>8050.4</v>
      </c>
      <c r="X6" s="17">
        <f t="shared" si="13"/>
        <v>7635.5999999999995</v>
      </c>
      <c r="Y6" s="17">
        <f t="shared" si="13"/>
        <v>8150.1</v>
      </c>
      <c r="Z6" s="17">
        <f>SUM(Z3:Z5)</f>
        <v>8414.1999999999989</v>
      </c>
      <c r="AA6" s="17">
        <f t="shared" ref="AA6:AH6" si="14">SUM(AA3:AA5)</f>
        <v>8713.9</v>
      </c>
      <c r="AB6" s="17">
        <f t="shared" si="14"/>
        <v>8719.7999999999993</v>
      </c>
      <c r="AC6" s="17">
        <f t="shared" si="14"/>
        <v>9168.2999999999993</v>
      </c>
      <c r="AD6" s="17">
        <f t="shared" si="14"/>
        <v>9373.6</v>
      </c>
      <c r="AE6" s="17">
        <f t="shared" si="14"/>
        <v>9425.2999999999993</v>
      </c>
      <c r="AF6" s="17">
        <f t="shared" si="14"/>
        <v>9303.4840000000022</v>
      </c>
      <c r="AG6" s="17">
        <f t="shared" si="14"/>
        <v>9881.4429999999993</v>
      </c>
      <c r="AH6" s="17">
        <f t="shared" si="14"/>
        <v>10098.856</v>
      </c>
      <c r="AO6" s="17">
        <f t="shared" ref="AO6:AZ6" si="15">SUM(AO3:AO5)</f>
        <v>22386.7</v>
      </c>
      <c r="AP6" s="17">
        <f t="shared" si="15"/>
        <v>24719.4</v>
      </c>
      <c r="AQ6" s="17">
        <f t="shared" si="15"/>
        <v>26508.600000000002</v>
      </c>
      <c r="AR6" s="17">
        <f t="shared" si="15"/>
        <v>23518.000000000004</v>
      </c>
      <c r="AS6" s="17">
        <f t="shared" si="15"/>
        <v>29060.6</v>
      </c>
      <c r="AT6" s="17">
        <f t="shared" si="15"/>
        <v>32250.3</v>
      </c>
      <c r="AU6" s="17">
        <f t="shared" si="15"/>
        <v>35975.599999999999</v>
      </c>
      <c r="AV6" s="17">
        <f t="shared" si="15"/>
        <v>38709.083000000006</v>
      </c>
      <c r="AW6" s="17">
        <f t="shared" si="15"/>
        <v>42192.900470000008</v>
      </c>
      <c r="AX6" s="17">
        <f t="shared" si="15"/>
        <v>45990.261512300007</v>
      </c>
      <c r="AY6" s="17">
        <f t="shared" si="15"/>
        <v>50129.385048407014</v>
      </c>
      <c r="AZ6" s="17">
        <f t="shared" si="15"/>
        <v>54641.029702763648</v>
      </c>
    </row>
    <row r="7" spans="1:52" x14ac:dyDescent="0.25">
      <c r="B7" s="4" t="s">
        <v>27</v>
      </c>
      <c r="C7" s="15">
        <v>2295</v>
      </c>
      <c r="D7" s="15">
        <v>2141.1999999999998</v>
      </c>
      <c r="E7" s="15">
        <v>2249.1</v>
      </c>
      <c r="F7" s="15">
        <v>2352.1</v>
      </c>
      <c r="G7" s="15">
        <v>2502.9</v>
      </c>
      <c r="H7" s="15">
        <v>2516</v>
      </c>
      <c r="I7" s="15">
        <v>2554.9</v>
      </c>
      <c r="J7" s="15">
        <v>2018.7</v>
      </c>
      <c r="K7" s="15">
        <v>2175.8000000000002</v>
      </c>
      <c r="L7" s="15">
        <v>2012</v>
      </c>
      <c r="M7" s="15">
        <v>2199.6</v>
      </c>
      <c r="N7" s="15">
        <v>2139.6</v>
      </c>
      <c r="O7" s="15">
        <v>2236.4</v>
      </c>
      <c r="P7" s="15">
        <v>1997.7</v>
      </c>
      <c r="Q7" s="15">
        <v>1484</v>
      </c>
      <c r="R7" s="15">
        <v>1976.8</v>
      </c>
      <c r="S7" s="15">
        <v>2049.1</v>
      </c>
      <c r="T7" s="15">
        <v>1992.4</v>
      </c>
      <c r="U7" s="15">
        <v>2206</v>
      </c>
      <c r="V7" s="15">
        <v>2491.1</v>
      </c>
      <c r="W7" s="15">
        <v>2526.9</v>
      </c>
      <c r="X7" s="15">
        <v>2465.8000000000002</v>
      </c>
      <c r="Y7" s="15">
        <v>2613.6</v>
      </c>
      <c r="Z7" s="15">
        <v>2711</v>
      </c>
      <c r="AA7" s="15">
        <v>2810.2</v>
      </c>
      <c r="AB7" s="15">
        <v>2801.7</v>
      </c>
      <c r="AC7" s="15">
        <v>2864.2</v>
      </c>
      <c r="AD7" s="15">
        <v>2933.1</v>
      </c>
      <c r="AE7" s="15">
        <v>2980.6</v>
      </c>
      <c r="AF7" s="15">
        <f>AB7*1.1</f>
        <v>3081.87</v>
      </c>
      <c r="AG7" s="15">
        <f t="shared" ref="AG7:AH7" si="16">AC7*1.1</f>
        <v>3150.62</v>
      </c>
      <c r="AH7" s="15">
        <f t="shared" si="16"/>
        <v>3226.4100000000003</v>
      </c>
      <c r="AO7" s="15">
        <f>SUM(C7:F7)</f>
        <v>9037.4</v>
      </c>
      <c r="AP7" s="15">
        <f>SUM(G7:J7)</f>
        <v>9592.5</v>
      </c>
      <c r="AQ7" s="15">
        <f>SUM(K7:N7)</f>
        <v>8527</v>
      </c>
      <c r="AR7" s="15">
        <f>SUM(O7:R7)</f>
        <v>7694.9000000000005</v>
      </c>
      <c r="AS7" s="15">
        <f>SUM(S7:V7)</f>
        <v>8738.6</v>
      </c>
      <c r="AT7" s="15">
        <f>SUM(W7:Z7)</f>
        <v>10317.300000000001</v>
      </c>
      <c r="AU7" s="15">
        <f>SUM(AA7:AD7)</f>
        <v>11409.199999999999</v>
      </c>
      <c r="AV7" s="15">
        <f>SUM(AE7:AH7)</f>
        <v>12439.5</v>
      </c>
      <c r="AW7" s="15">
        <f>AV7*1.09</f>
        <v>13559.055</v>
      </c>
      <c r="AX7" s="15">
        <f>AW7*1.09</f>
        <v>14779.369950000002</v>
      </c>
      <c r="AY7" s="15">
        <f t="shared" ref="AY7:AZ7" si="17">AX7*1.09</f>
        <v>16109.513245500004</v>
      </c>
      <c r="AZ7" s="15">
        <f t="shared" si="17"/>
        <v>17559.369437595007</v>
      </c>
    </row>
    <row r="8" spans="1:52" x14ac:dyDescent="0.25">
      <c r="B8" s="4" t="s">
        <v>28</v>
      </c>
      <c r="C8" s="15">
        <f t="shared" ref="C8" si="18">+C6-C7</f>
        <v>3437.8999999999996</v>
      </c>
      <c r="D8" s="15">
        <f t="shared" ref="D8" si="19">+D6-D7</f>
        <v>3152.7999999999993</v>
      </c>
      <c r="E8" s="15">
        <f t="shared" ref="E8" si="20">+E6-E7</f>
        <v>3412.4</v>
      </c>
      <c r="F8" s="15">
        <f t="shared" ref="F8" si="21">+F6-F7</f>
        <v>3346.2000000000003</v>
      </c>
      <c r="G8" s="15">
        <f t="shared" ref="G8" si="22">+G6-G7</f>
        <v>3570.7999999999997</v>
      </c>
      <c r="H8" s="15">
        <f t="shared" ref="H8" si="23">+H6-H7</f>
        <v>3515.8</v>
      </c>
      <c r="I8" s="15">
        <f t="shared" ref="I8" si="24">+I6-I7</f>
        <v>3755.4</v>
      </c>
      <c r="J8" s="15">
        <f t="shared" ref="J8" si="25">+J6-J7</f>
        <v>4284.9000000000005</v>
      </c>
      <c r="K8" s="15">
        <f t="shared" ref="K8" si="26">+K6-K7</f>
        <v>4456.9000000000005</v>
      </c>
      <c r="L8" s="15">
        <f t="shared" ref="L8" si="27">+L6-L7</f>
        <v>4293.8999999999996</v>
      </c>
      <c r="M8" s="15">
        <f t="shared" ref="M8" si="28">+M6-M7</f>
        <v>4623.3999999999996</v>
      </c>
      <c r="N8" s="15">
        <f t="shared" ref="N8" si="29">+N6-N7</f>
        <v>4607.3999999999996</v>
      </c>
      <c r="O8" s="15">
        <f t="shared" ref="O8" si="30">+O6-O7</f>
        <v>4860.6999999999989</v>
      </c>
      <c r="P8" s="15">
        <f t="shared" ref="P8" si="31">+P6-P7</f>
        <v>3998</v>
      </c>
      <c r="Q8" s="15">
        <f t="shared" ref="Q8" si="32">+Q6-Q7</f>
        <v>2738.1000000000004</v>
      </c>
      <c r="R8" s="15">
        <f t="shared" ref="R8" si="33">+R6-R7</f>
        <v>4226.3</v>
      </c>
      <c r="S8" s="15">
        <f t="shared" ref="S8" si="34">+S6-S7</f>
        <v>4700.3000000000011</v>
      </c>
      <c r="T8" s="15">
        <f t="shared" ref="T8" si="35">+T6-T7</f>
        <v>4675.6000000000004</v>
      </c>
      <c r="U8" s="15">
        <f t="shared" ref="U8" si="36">+U6-U7</f>
        <v>5290.5</v>
      </c>
      <c r="V8" s="15">
        <f t="shared" ref="V8" si="37">+V6-V7</f>
        <v>5655.6</v>
      </c>
      <c r="W8" s="15">
        <f t="shared" ref="W8" si="38">+W6-W7</f>
        <v>5523.5</v>
      </c>
      <c r="X8" s="15">
        <f t="shared" ref="X8" si="39">+X6-X7</f>
        <v>5169.7999999999993</v>
      </c>
      <c r="Y8" s="15">
        <f t="shared" ref="Y8" si="40">+Y6-Y7</f>
        <v>5536.5</v>
      </c>
      <c r="Z8" s="15">
        <f t="shared" ref="Z8:AH8" si="41">+Z6-Z7</f>
        <v>5703.1999999999989</v>
      </c>
      <c r="AA8" s="15">
        <f t="shared" si="41"/>
        <v>5903.7</v>
      </c>
      <c r="AB8" s="15">
        <f t="shared" si="41"/>
        <v>5918.0999999999995</v>
      </c>
      <c r="AC8" s="15">
        <f t="shared" si="41"/>
        <v>6304.0999999999995</v>
      </c>
      <c r="AD8" s="15">
        <f t="shared" si="41"/>
        <v>6440.5</v>
      </c>
      <c r="AE8" s="15">
        <f t="shared" si="41"/>
        <v>6444.6999999999989</v>
      </c>
      <c r="AF8" s="15">
        <f t="shared" si="41"/>
        <v>6221.6140000000023</v>
      </c>
      <c r="AG8" s="15">
        <f t="shared" si="41"/>
        <v>6730.8229999999994</v>
      </c>
      <c r="AH8" s="15">
        <f t="shared" si="41"/>
        <v>6872.4459999999999</v>
      </c>
      <c r="AO8" s="15">
        <f t="shared" ref="AO8" si="42">+AO6-AO7</f>
        <v>13349.300000000001</v>
      </c>
      <c r="AP8" s="15">
        <f t="shared" ref="AP8" si="43">+AP6-AP7</f>
        <v>15126.900000000001</v>
      </c>
      <c r="AQ8" s="15">
        <f t="shared" ref="AQ8" si="44">+AQ6-AQ7</f>
        <v>17981.600000000002</v>
      </c>
      <c r="AR8" s="15">
        <f t="shared" ref="AR8" si="45">+AR6-AR7</f>
        <v>15823.100000000002</v>
      </c>
      <c r="AS8" s="15">
        <f t="shared" ref="AS8" si="46">+AS6-AS7</f>
        <v>20322</v>
      </c>
      <c r="AT8" s="15">
        <f t="shared" ref="AT8" si="47">+AT6-AT7</f>
        <v>21933</v>
      </c>
      <c r="AU8" s="15">
        <f t="shared" ref="AU8" si="48">+AU6-AU7</f>
        <v>24566.400000000001</v>
      </c>
      <c r="AV8" s="15">
        <f>+AV6-AV7</f>
        <v>26269.583000000006</v>
      </c>
      <c r="AW8" s="15">
        <f>+AW6-AW7</f>
        <v>28633.845470000007</v>
      </c>
      <c r="AX8" s="15">
        <f t="shared" ref="AX8:AZ8" si="49">+AX6-AX7</f>
        <v>31210.891562300007</v>
      </c>
      <c r="AY8" s="15">
        <f t="shared" si="49"/>
        <v>34019.871802907008</v>
      </c>
      <c r="AZ8" s="15">
        <f t="shared" si="49"/>
        <v>37081.660265168641</v>
      </c>
    </row>
    <row r="9" spans="1:52" x14ac:dyDescent="0.25">
      <c r="B9" s="4" t="s">
        <v>29</v>
      </c>
      <c r="C9" s="15">
        <v>1638.2</v>
      </c>
      <c r="D9" s="15">
        <v>1586.4</v>
      </c>
      <c r="E9" s="15">
        <v>1628.9</v>
      </c>
      <c r="F9" s="15">
        <v>1639.8</v>
      </c>
      <c r="G9" s="15">
        <v>1737</v>
      </c>
      <c r="H9" s="15">
        <v>1789.6</v>
      </c>
      <c r="I9" s="15">
        <v>1825</v>
      </c>
      <c r="J9" s="15">
        <v>2438.1</v>
      </c>
      <c r="K9" s="15">
        <v>2586.8000000000002</v>
      </c>
      <c r="L9" s="15">
        <v>2554.1</v>
      </c>
      <c r="M9" s="15">
        <v>2643.2</v>
      </c>
      <c r="N9" s="15">
        <v>2709.5</v>
      </c>
      <c r="O9" s="15">
        <v>2821.5</v>
      </c>
      <c r="P9" s="15">
        <v>2721.4</v>
      </c>
      <c r="Q9" s="15">
        <v>2537.8000000000002</v>
      </c>
      <c r="R9" s="15">
        <v>2683.4</v>
      </c>
      <c r="S9" s="15">
        <v>2867.3</v>
      </c>
      <c r="T9" s="15">
        <v>2823.3</v>
      </c>
      <c r="U9" s="15">
        <v>2966.9</v>
      </c>
      <c r="V9" s="15">
        <v>3273.4</v>
      </c>
      <c r="W9" s="15">
        <v>3400</v>
      </c>
      <c r="X9" s="15">
        <v>3314.7</v>
      </c>
      <c r="Y9" s="15">
        <v>3302.5</v>
      </c>
      <c r="Z9" s="15">
        <v>3544.7</v>
      </c>
      <c r="AA9" s="15">
        <v>3665.3</v>
      </c>
      <c r="AB9" s="15">
        <v>3636</v>
      </c>
      <c r="AC9" s="15">
        <v>3697.6</v>
      </c>
      <c r="AD9" s="15">
        <v>3721.3</v>
      </c>
      <c r="AE9" s="15">
        <v>3851.5</v>
      </c>
      <c r="AF9" s="15">
        <f>AB9*1.06</f>
        <v>3854.1600000000003</v>
      </c>
      <c r="AG9" s="15">
        <f t="shared" ref="AG9:AG11" si="50">AC9*1.06</f>
        <v>3919.4560000000001</v>
      </c>
      <c r="AH9" s="15">
        <f t="shared" ref="AH9:AH11" si="51">AD9*1.06</f>
        <v>3944.5780000000004</v>
      </c>
      <c r="AO9" s="15">
        <f t="shared" ref="AO9:AO11" si="52">SUM(C9:F9)</f>
        <v>6493.3</v>
      </c>
      <c r="AP9" s="15">
        <f t="shared" ref="AP9:AP11" si="53">SUM(G9:J9)</f>
        <v>7789.7000000000007</v>
      </c>
      <c r="AQ9" s="15">
        <f t="shared" ref="AQ9:AQ11" si="54">SUM(K9:N9)</f>
        <v>10493.599999999999</v>
      </c>
      <c r="AR9" s="15">
        <f t="shared" ref="AR9:AR11" si="55">SUM(O9:R9)</f>
        <v>10764.1</v>
      </c>
      <c r="AS9" s="15">
        <f t="shared" ref="AS9:AS11" si="56">SUM(S9:V9)</f>
        <v>11930.9</v>
      </c>
      <c r="AT9" s="15">
        <f>SUM(W9:Z9)</f>
        <v>13561.900000000001</v>
      </c>
      <c r="AU9" s="15">
        <f>SUM(AA9:AD9)</f>
        <v>14720.2</v>
      </c>
      <c r="AV9" s="15">
        <f>SUM(AE9:AH9)</f>
        <v>15569.694</v>
      </c>
      <c r="AW9" s="15">
        <f>AV9*1.09</f>
        <v>16970.96646</v>
      </c>
      <c r="AX9" s="15">
        <f t="shared" ref="AX9:AZ9" si="57">AW9*1.09</f>
        <v>18498.353441400002</v>
      </c>
      <c r="AY9" s="15">
        <f t="shared" si="57"/>
        <v>20163.205251126004</v>
      </c>
      <c r="AZ9" s="15">
        <f t="shared" si="57"/>
        <v>21977.893723727346</v>
      </c>
    </row>
    <row r="10" spans="1:52" x14ac:dyDescent="0.25">
      <c r="B10" s="4" t="s">
        <v>30</v>
      </c>
      <c r="C10" s="15">
        <v>145.4</v>
      </c>
      <c r="D10" s="15">
        <v>134.69999999999999</v>
      </c>
      <c r="E10" s="15">
        <v>142.5</v>
      </c>
      <c r="F10" s="15">
        <v>114.4</v>
      </c>
      <c r="G10" s="15">
        <v>141.6</v>
      </c>
      <c r="H10" s="15">
        <v>134.30000000000001</v>
      </c>
      <c r="I10" s="15">
        <v>148</v>
      </c>
      <c r="J10" s="15">
        <v>161.19999999999999</v>
      </c>
      <c r="K10" s="15">
        <v>97.6</v>
      </c>
      <c r="L10" s="15">
        <v>87.1</v>
      </c>
      <c r="M10" s="15">
        <v>94.4</v>
      </c>
      <c r="N10" s="15">
        <v>91.6</v>
      </c>
      <c r="O10" s="15">
        <v>101.8</v>
      </c>
      <c r="P10" s="15">
        <v>95</v>
      </c>
      <c r="Q10" s="15">
        <v>133.6</v>
      </c>
      <c r="R10" s="15">
        <v>99.9</v>
      </c>
      <c r="S10" s="15">
        <v>91.8</v>
      </c>
      <c r="T10" s="15">
        <v>87.7</v>
      </c>
      <c r="U10" s="15">
        <v>71.400000000000006</v>
      </c>
      <c r="V10" s="15">
        <v>108.6</v>
      </c>
      <c r="W10" s="15">
        <v>101.7</v>
      </c>
      <c r="X10" s="15">
        <v>101.7</v>
      </c>
      <c r="Y10" s="15">
        <v>135.1</v>
      </c>
      <c r="Z10" s="15">
        <v>123.1</v>
      </c>
      <c r="AA10" s="15">
        <v>129.30000000000001</v>
      </c>
      <c r="AB10" s="15">
        <v>126.2</v>
      </c>
      <c r="AC10" s="15">
        <v>138.69999999999999</v>
      </c>
      <c r="AD10" s="15">
        <v>145.19999999999999</v>
      </c>
      <c r="AE10" s="15">
        <v>150.4</v>
      </c>
      <c r="AF10" s="15">
        <f t="shared" ref="AF10:AF11" si="58">AB10*1.06</f>
        <v>133.77200000000002</v>
      </c>
      <c r="AG10" s="15">
        <f t="shared" si="50"/>
        <v>147.02199999999999</v>
      </c>
      <c r="AH10" s="15">
        <f t="shared" si="51"/>
        <v>153.91200000000001</v>
      </c>
      <c r="AO10" s="15">
        <f t="shared" si="52"/>
        <v>537</v>
      </c>
      <c r="AP10" s="15">
        <f t="shared" si="53"/>
        <v>585.09999999999991</v>
      </c>
      <c r="AQ10" s="15">
        <f t="shared" si="54"/>
        <v>370.70000000000005</v>
      </c>
      <c r="AR10" s="15">
        <f t="shared" si="55"/>
        <v>430.29999999999995</v>
      </c>
      <c r="AS10" s="15">
        <f t="shared" si="56"/>
        <v>359.5</v>
      </c>
      <c r="AT10" s="15">
        <f>SUM(W10:Z10)</f>
        <v>461.6</v>
      </c>
      <c r="AU10" s="15">
        <f>SUM(AA10:AD10)</f>
        <v>539.4</v>
      </c>
      <c r="AV10" s="15">
        <f>SUM(AE10:AH10)</f>
        <v>585.10599999999999</v>
      </c>
      <c r="AW10" s="15">
        <f t="shared" ref="AW10:AZ10" si="59">AV10*1.09</f>
        <v>637.76553999999999</v>
      </c>
      <c r="AX10" s="15">
        <f t="shared" si="59"/>
        <v>695.16443860000004</v>
      </c>
      <c r="AY10" s="15">
        <f t="shared" si="59"/>
        <v>757.72923807400014</v>
      </c>
      <c r="AZ10" s="15">
        <f t="shared" si="59"/>
        <v>825.92486950066018</v>
      </c>
    </row>
    <row r="11" spans="1:52" x14ac:dyDescent="0.25">
      <c r="B11" s="4" t="s">
        <v>31</v>
      </c>
      <c r="C11" s="15">
        <v>356.4</v>
      </c>
      <c r="D11" s="15">
        <v>326.8</v>
      </c>
      <c r="E11" s="15">
        <v>325</v>
      </c>
      <c r="F11" s="15">
        <v>402.7</v>
      </c>
      <c r="G11" s="15">
        <v>379.1</v>
      </c>
      <c r="H11" s="15">
        <v>405.8</v>
      </c>
      <c r="I11" s="15">
        <v>468.7</v>
      </c>
      <c r="J11" s="15">
        <v>444.9</v>
      </c>
      <c r="K11" s="15">
        <v>448</v>
      </c>
      <c r="L11" s="15">
        <v>458.4</v>
      </c>
      <c r="M11" s="15">
        <v>459.7</v>
      </c>
      <c r="N11" s="15">
        <v>458.4</v>
      </c>
      <c r="O11" s="15">
        <v>434.2</v>
      </c>
      <c r="P11" s="15">
        <v>406.5</v>
      </c>
      <c r="Q11" s="15">
        <v>399.9</v>
      </c>
      <c r="R11" s="15">
        <v>439</v>
      </c>
      <c r="S11" s="15">
        <v>472.1</v>
      </c>
      <c r="T11" s="15">
        <v>464.4</v>
      </c>
      <c r="U11" s="15">
        <v>494.9</v>
      </c>
      <c r="V11" s="15">
        <v>501.2</v>
      </c>
      <c r="W11" s="15">
        <v>525.79999999999995</v>
      </c>
      <c r="X11" s="15">
        <v>481.5</v>
      </c>
      <c r="Y11" s="15">
        <v>486.7</v>
      </c>
      <c r="Z11" s="15">
        <v>538</v>
      </c>
      <c r="AA11" s="15">
        <v>580.9</v>
      </c>
      <c r="AB11" s="15">
        <v>620.4</v>
      </c>
      <c r="AC11" s="15">
        <v>604.29999999999995</v>
      </c>
      <c r="AD11" s="15">
        <v>635.79999999999995</v>
      </c>
      <c r="AE11" s="15">
        <v>648</v>
      </c>
      <c r="AF11" s="15">
        <f t="shared" si="58"/>
        <v>657.62400000000002</v>
      </c>
      <c r="AG11" s="15">
        <f t="shared" si="50"/>
        <v>640.55799999999999</v>
      </c>
      <c r="AH11" s="15">
        <f t="shared" si="51"/>
        <v>673.94799999999998</v>
      </c>
      <c r="AO11" s="15">
        <f t="shared" si="52"/>
        <v>1410.9</v>
      </c>
      <c r="AP11" s="15">
        <f t="shared" si="53"/>
        <v>1698.5</v>
      </c>
      <c r="AQ11" s="15">
        <f t="shared" si="54"/>
        <v>1824.5</v>
      </c>
      <c r="AR11" s="15">
        <f t="shared" si="55"/>
        <v>1679.6</v>
      </c>
      <c r="AS11" s="15">
        <f t="shared" si="56"/>
        <v>1932.6000000000001</v>
      </c>
      <c r="AT11" s="15">
        <f>SUM(W11:Z11)</f>
        <v>2032</v>
      </c>
      <c r="AU11" s="15">
        <f>SUM(AA11:AD11)</f>
        <v>2441.3999999999996</v>
      </c>
      <c r="AV11" s="15">
        <f>SUM(AE11:AH11)</f>
        <v>2620.13</v>
      </c>
      <c r="AW11" s="15">
        <f t="shared" ref="AW11:AZ11" si="60">AV11*1.09</f>
        <v>2855.9417000000003</v>
      </c>
      <c r="AX11" s="15">
        <f t="shared" si="60"/>
        <v>3112.9764530000007</v>
      </c>
      <c r="AY11" s="15">
        <f t="shared" si="60"/>
        <v>3393.1443337700011</v>
      </c>
      <c r="AZ11" s="15">
        <f t="shared" si="60"/>
        <v>3698.5273238093014</v>
      </c>
    </row>
    <row r="12" spans="1:52" x14ac:dyDescent="0.25">
      <c r="B12" s="4" t="s">
        <v>32</v>
      </c>
      <c r="C12" s="15">
        <f t="shared" ref="C12:Y12" si="61">SUM(C9:C11)</f>
        <v>2140</v>
      </c>
      <c r="D12" s="15">
        <f t="shared" si="61"/>
        <v>2047.9</v>
      </c>
      <c r="E12" s="15">
        <f t="shared" si="61"/>
        <v>2096.4</v>
      </c>
      <c r="F12" s="15">
        <f t="shared" si="61"/>
        <v>2156.9</v>
      </c>
      <c r="G12" s="15">
        <f t="shared" si="61"/>
        <v>2257.6999999999998</v>
      </c>
      <c r="H12" s="15">
        <f t="shared" si="61"/>
        <v>2329.6999999999998</v>
      </c>
      <c r="I12" s="15">
        <f t="shared" si="61"/>
        <v>2441.6999999999998</v>
      </c>
      <c r="J12" s="15">
        <f t="shared" si="61"/>
        <v>3044.2</v>
      </c>
      <c r="K12" s="15">
        <f t="shared" si="61"/>
        <v>3132.4</v>
      </c>
      <c r="L12" s="15">
        <f t="shared" si="61"/>
        <v>3099.6</v>
      </c>
      <c r="M12" s="15">
        <f t="shared" si="61"/>
        <v>3197.2999999999997</v>
      </c>
      <c r="N12" s="15">
        <f t="shared" si="61"/>
        <v>3259.5</v>
      </c>
      <c r="O12" s="15">
        <f t="shared" si="61"/>
        <v>3357.5</v>
      </c>
      <c r="P12" s="15">
        <f t="shared" si="61"/>
        <v>3222.9</v>
      </c>
      <c r="Q12" s="15">
        <f t="shared" si="61"/>
        <v>3071.3</v>
      </c>
      <c r="R12" s="15">
        <f t="shared" si="61"/>
        <v>3222.3</v>
      </c>
      <c r="S12" s="15">
        <f t="shared" si="61"/>
        <v>3431.2000000000003</v>
      </c>
      <c r="T12" s="15">
        <f t="shared" si="61"/>
        <v>3375.4</v>
      </c>
      <c r="U12" s="15">
        <f t="shared" si="61"/>
        <v>3533.2000000000003</v>
      </c>
      <c r="V12" s="15">
        <f t="shared" si="61"/>
        <v>3883.2</v>
      </c>
      <c r="W12" s="15">
        <f t="shared" si="61"/>
        <v>4027.5</v>
      </c>
      <c r="X12" s="15">
        <f t="shared" si="61"/>
        <v>3897.8999999999996</v>
      </c>
      <c r="Y12" s="15">
        <f t="shared" si="61"/>
        <v>3924.2999999999997</v>
      </c>
      <c r="Z12" s="15">
        <f>SUM(Z9:Z11)</f>
        <v>4205.7999999999993</v>
      </c>
      <c r="AA12" s="15">
        <f t="shared" ref="AA12" si="62">SUM(AA9:AA11)</f>
        <v>4375.5</v>
      </c>
      <c r="AB12" s="15">
        <f>SUM(AB9:AB11)</f>
        <v>4382.5999999999995</v>
      </c>
      <c r="AC12" s="15">
        <f t="shared" ref="AC12:AH12" si="63">SUM(AC9:AC11)</f>
        <v>4440.5999999999995</v>
      </c>
      <c r="AD12" s="15">
        <f t="shared" si="63"/>
        <v>4502.3</v>
      </c>
      <c r="AE12" s="15">
        <f t="shared" si="63"/>
        <v>4649.8999999999996</v>
      </c>
      <c r="AF12" s="15">
        <f t="shared" si="63"/>
        <v>4645.5560000000005</v>
      </c>
      <c r="AG12" s="15">
        <f t="shared" si="63"/>
        <v>4707.0360000000001</v>
      </c>
      <c r="AH12" s="15">
        <f t="shared" si="63"/>
        <v>4772.438000000001</v>
      </c>
      <c r="AO12" s="15">
        <f t="shared" ref="AO12:AZ12" si="64">SUM(AO9:AO11)</f>
        <v>8441.2000000000007</v>
      </c>
      <c r="AP12" s="15">
        <f t="shared" si="64"/>
        <v>10073.300000000001</v>
      </c>
      <c r="AQ12" s="15">
        <f t="shared" si="64"/>
        <v>12688.8</v>
      </c>
      <c r="AR12" s="15">
        <f t="shared" si="64"/>
        <v>12874</v>
      </c>
      <c r="AS12" s="15">
        <f t="shared" si="64"/>
        <v>14223</v>
      </c>
      <c r="AT12" s="15">
        <f>SUM(AT9:AT11)</f>
        <v>16055.500000000002</v>
      </c>
      <c r="AU12" s="15">
        <f t="shared" si="64"/>
        <v>17701</v>
      </c>
      <c r="AV12" s="15">
        <f t="shared" si="64"/>
        <v>18774.93</v>
      </c>
      <c r="AW12" s="15">
        <f t="shared" si="64"/>
        <v>20464.673699999999</v>
      </c>
      <c r="AX12" s="15">
        <f t="shared" si="64"/>
        <v>22306.494333000002</v>
      </c>
      <c r="AY12" s="15">
        <f t="shared" si="64"/>
        <v>24314.078822970005</v>
      </c>
      <c r="AZ12" s="15">
        <f t="shared" si="64"/>
        <v>26502.34591703731</v>
      </c>
    </row>
    <row r="13" spans="1:52" x14ac:dyDescent="0.25">
      <c r="B13" s="4" t="s">
        <v>53</v>
      </c>
      <c r="C13" s="15">
        <v>84.4</v>
      </c>
      <c r="D13" s="15">
        <v>84.1</v>
      </c>
      <c r="E13" s="15">
        <v>101</v>
      </c>
      <c r="F13" s="15">
        <v>121.9</v>
      </c>
      <c r="G13" s="15">
        <v>89.4</v>
      </c>
      <c r="H13" s="15">
        <v>52.7</v>
      </c>
      <c r="I13" s="15">
        <v>71.400000000000006</v>
      </c>
      <c r="J13" s="15">
        <v>87.7</v>
      </c>
      <c r="K13" s="15">
        <v>67.8</v>
      </c>
      <c r="L13" s="15">
        <v>62.3</v>
      </c>
      <c r="M13" s="15">
        <v>76</v>
      </c>
      <c r="N13" s="15">
        <v>91.9</v>
      </c>
      <c r="O13" s="15">
        <v>73.900000000000006</v>
      </c>
      <c r="P13" s="15">
        <v>67.900000000000006</v>
      </c>
      <c r="Q13" s="15">
        <v>68.400000000000006</v>
      </c>
      <c r="R13" s="15">
        <v>112.2</v>
      </c>
      <c r="S13" s="15">
        <v>82.7</v>
      </c>
      <c r="T13" s="15">
        <v>77.099999999999994</v>
      </c>
      <c r="U13" s="15">
        <v>105.5</v>
      </c>
      <c r="V13" s="15">
        <v>120</v>
      </c>
      <c r="W13" s="15">
        <v>40.299999999999997</v>
      </c>
      <c r="X13" s="15">
        <v>49.1</v>
      </c>
      <c r="Y13" s="15">
        <v>54.1</v>
      </c>
      <c r="Z13" s="15">
        <v>90.6</v>
      </c>
      <c r="AA13" s="15">
        <v>57.8</v>
      </c>
      <c r="AB13" s="15">
        <v>51.4</v>
      </c>
      <c r="AC13" s="15">
        <v>69.7</v>
      </c>
      <c r="AD13" s="15">
        <v>119.4</v>
      </c>
      <c r="AE13" s="15">
        <v>55.9</v>
      </c>
      <c r="AF13" s="15">
        <f>AB13</f>
        <v>51.4</v>
      </c>
      <c r="AG13" s="15">
        <f t="shared" ref="AG13:AH13" si="65">AC13</f>
        <v>69.7</v>
      </c>
      <c r="AH13" s="15">
        <f t="shared" si="65"/>
        <v>119.4</v>
      </c>
      <c r="AO13" s="15">
        <f>SUM(C13:F13)</f>
        <v>391.4</v>
      </c>
      <c r="AP13" s="15">
        <f>SUM(G13:J13)</f>
        <v>301.20000000000005</v>
      </c>
      <c r="AQ13" s="15">
        <f>SUM(K13:N13)</f>
        <v>298</v>
      </c>
      <c r="AR13" s="15">
        <f>SUM(O13:R13)</f>
        <v>322.40000000000003</v>
      </c>
      <c r="AS13" s="15">
        <f>SUM(S13:V13)</f>
        <v>385.3</v>
      </c>
      <c r="AT13" s="15">
        <f>SUM(W13:Z13)</f>
        <v>234.1</v>
      </c>
      <c r="AU13" s="15">
        <f>SUM(AA13:AD13)</f>
        <v>298.29999999999995</v>
      </c>
      <c r="AV13" s="15">
        <f>SUM(AE13:AH13)</f>
        <v>296.39999999999998</v>
      </c>
      <c r="AW13" s="15">
        <f>AV13*1.09</f>
        <v>323.07600000000002</v>
      </c>
      <c r="AX13" s="15">
        <f>AW13*1.01</f>
        <v>326.30676</v>
      </c>
      <c r="AY13" s="15">
        <f t="shared" ref="AY13:AZ13" si="66">AX13*1.01</f>
        <v>329.5698276</v>
      </c>
      <c r="AZ13" s="15">
        <f t="shared" si="66"/>
        <v>332.86552587599999</v>
      </c>
    </row>
    <row r="14" spans="1:52" x14ac:dyDescent="0.25">
      <c r="B14" s="4" t="s">
        <v>33</v>
      </c>
      <c r="C14" s="15">
        <f t="shared" ref="C14:Y14" si="67">+C8-C12+C13</f>
        <v>1382.2999999999997</v>
      </c>
      <c r="D14" s="15">
        <f t="shared" si="67"/>
        <v>1188.9999999999991</v>
      </c>
      <c r="E14" s="15">
        <f t="shared" si="67"/>
        <v>1417</v>
      </c>
      <c r="F14" s="15">
        <f t="shared" si="67"/>
        <v>1311.2000000000003</v>
      </c>
      <c r="G14" s="15">
        <f t="shared" si="67"/>
        <v>1402.5</v>
      </c>
      <c r="H14" s="15">
        <f t="shared" si="67"/>
        <v>1238.8000000000004</v>
      </c>
      <c r="I14" s="15">
        <f t="shared" si="67"/>
        <v>1385.1000000000004</v>
      </c>
      <c r="J14" s="15">
        <f t="shared" si="67"/>
        <v>1328.4000000000008</v>
      </c>
      <c r="K14" s="15">
        <f t="shared" si="67"/>
        <v>1392.3000000000004</v>
      </c>
      <c r="L14" s="15">
        <f t="shared" si="67"/>
        <v>1256.5999999999997</v>
      </c>
      <c r="M14" s="15">
        <f t="shared" si="67"/>
        <v>1502.1</v>
      </c>
      <c r="N14" s="15">
        <f t="shared" si="67"/>
        <v>1439.7999999999997</v>
      </c>
      <c r="O14" s="15">
        <f t="shared" si="67"/>
        <v>1577.099999999999</v>
      </c>
      <c r="P14" s="15">
        <f t="shared" si="67"/>
        <v>842.99999999999989</v>
      </c>
      <c r="Q14" s="15">
        <f t="shared" si="67"/>
        <v>-264.79999999999984</v>
      </c>
      <c r="R14" s="15">
        <f t="shared" si="67"/>
        <v>1116.2</v>
      </c>
      <c r="S14" s="15">
        <f t="shared" si="67"/>
        <v>1351.8000000000009</v>
      </c>
      <c r="T14" s="15">
        <f t="shared" si="67"/>
        <v>1377.3000000000002</v>
      </c>
      <c r="U14" s="15">
        <f t="shared" si="67"/>
        <v>1862.7999999999997</v>
      </c>
      <c r="V14" s="15">
        <f t="shared" si="67"/>
        <v>1892.4000000000005</v>
      </c>
      <c r="W14" s="15">
        <f t="shared" si="67"/>
        <v>1536.3</v>
      </c>
      <c r="X14" s="15">
        <f t="shared" si="67"/>
        <v>1320.9999999999995</v>
      </c>
      <c r="Y14" s="15">
        <f t="shared" si="67"/>
        <v>1666.3000000000002</v>
      </c>
      <c r="Z14" s="15">
        <f>+Z8-Z12+Z13</f>
        <v>1587.9999999999995</v>
      </c>
      <c r="AA14" s="15">
        <f t="shared" ref="AA14" si="68">+AA8-AA12+AA13</f>
        <v>1585.9999999999998</v>
      </c>
      <c r="AB14" s="15">
        <f>+AB8-AB12+AB13</f>
        <v>1586.9</v>
      </c>
      <c r="AC14" s="15">
        <f t="shared" ref="AC14:AH14" si="69">+AC8-AC12+AC13</f>
        <v>1933.2</v>
      </c>
      <c r="AD14" s="15">
        <f t="shared" si="69"/>
        <v>2057.6</v>
      </c>
      <c r="AE14" s="15">
        <f t="shared" si="69"/>
        <v>1850.6999999999994</v>
      </c>
      <c r="AF14" s="15">
        <f t="shared" si="69"/>
        <v>1627.4580000000019</v>
      </c>
      <c r="AG14" s="15">
        <f t="shared" si="69"/>
        <v>2093.4869999999992</v>
      </c>
      <c r="AH14" s="15">
        <f t="shared" si="69"/>
        <v>2219.407999999999</v>
      </c>
      <c r="AO14" s="15">
        <f t="shared" ref="AO14:AZ14" si="70">+AO8-AO12+AO13</f>
        <v>5299.5</v>
      </c>
      <c r="AP14" s="15">
        <f>+AP8-AP12+AP13</f>
        <v>5354.8</v>
      </c>
      <c r="AQ14" s="15">
        <f t="shared" si="70"/>
        <v>5590.8000000000029</v>
      </c>
      <c r="AR14" s="15">
        <f t="shared" si="70"/>
        <v>3271.5000000000023</v>
      </c>
      <c r="AS14" s="15">
        <f t="shared" si="70"/>
        <v>6484.3</v>
      </c>
      <c r="AT14" s="15">
        <f t="shared" si="70"/>
        <v>6111.5999999999985</v>
      </c>
      <c r="AU14" s="15">
        <f t="shared" si="70"/>
        <v>7163.7000000000016</v>
      </c>
      <c r="AV14" s="15">
        <f t="shared" si="70"/>
        <v>7791.0530000000053</v>
      </c>
      <c r="AW14" s="15">
        <f t="shared" si="70"/>
        <v>8492.247770000009</v>
      </c>
      <c r="AX14" s="15">
        <f t="shared" si="70"/>
        <v>9230.7039893000037</v>
      </c>
      <c r="AY14" s="15">
        <f t="shared" si="70"/>
        <v>10035.362807537003</v>
      </c>
      <c r="AZ14" s="15">
        <f t="shared" si="70"/>
        <v>10912.179874007332</v>
      </c>
    </row>
    <row r="15" spans="1:52" x14ac:dyDescent="0.25">
      <c r="B15" s="24" t="s">
        <v>80</v>
      </c>
      <c r="C15" s="15">
        <f>24.1</f>
        <v>24.1</v>
      </c>
      <c r="D15" s="15">
        <f>9.6+58.3</f>
        <v>67.899999999999991</v>
      </c>
      <c r="E15" s="15">
        <f>31.7</f>
        <v>31.7</v>
      </c>
      <c r="F15" s="15">
        <f>83.9+67.7</f>
        <v>151.60000000000002</v>
      </c>
      <c r="G15" s="15">
        <f>1326.3+501.2+88.2</f>
        <v>1915.7</v>
      </c>
      <c r="H15" s="15">
        <f>47.6-4.9+35.5</f>
        <v>78.2</v>
      </c>
      <c r="I15" s="15">
        <f>2.5+31.5</f>
        <v>34</v>
      </c>
      <c r="J15" s="15">
        <f>2.9+36.2</f>
        <v>39.1</v>
      </c>
      <c r="K15" s="15">
        <f>24.8</f>
        <v>24.8</v>
      </c>
      <c r="L15" s="15">
        <f>21+15.2</f>
        <v>36.200000000000003</v>
      </c>
      <c r="M15" s="15">
        <f>601.8+40.2</f>
        <v>642</v>
      </c>
      <c r="N15" s="15">
        <f>16.4</f>
        <v>16.399999999999999</v>
      </c>
      <c r="O15" s="15">
        <f>15.9</f>
        <v>15.9</v>
      </c>
      <c r="P15" s="15">
        <f>2</f>
        <v>2</v>
      </c>
      <c r="Q15" s="15">
        <f>12.7</f>
        <v>12.7</v>
      </c>
      <c r="R15" s="15">
        <f>9.1</f>
        <v>9.1</v>
      </c>
      <c r="S15" s="15">
        <f>15.5</f>
        <v>15.5</v>
      </c>
      <c r="T15" s="15">
        <v>17.3</v>
      </c>
      <c r="U15" s="15">
        <v>36</v>
      </c>
      <c r="V15" s="15">
        <f>864.5+21.5</f>
        <v>886</v>
      </c>
      <c r="W15" s="15">
        <v>-0.1</v>
      </c>
      <c r="X15" s="15">
        <v>46.3</v>
      </c>
      <c r="Y15" s="15">
        <v>19.8</v>
      </c>
      <c r="Z15" s="15">
        <v>31</v>
      </c>
      <c r="AA15" s="15">
        <v>11.6</v>
      </c>
      <c r="AB15" s="15">
        <v>18.399999999999999</v>
      </c>
      <c r="AC15" s="15">
        <v>21.3</v>
      </c>
      <c r="AD15" s="15">
        <v>30.1</v>
      </c>
      <c r="AE15" s="15">
        <v>33.799999999999997</v>
      </c>
      <c r="AF15" s="15">
        <f>AB15*1.5</f>
        <v>27.599999999999998</v>
      </c>
      <c r="AG15" s="15">
        <f t="shared" ref="AG15:AH15" si="71">AC15*1.5</f>
        <v>31.950000000000003</v>
      </c>
      <c r="AH15" s="15">
        <f t="shared" si="71"/>
        <v>45.150000000000006</v>
      </c>
      <c r="AO15" s="15">
        <f t="shared" ref="AO15:AO16" si="72">SUM(C15:F15)</f>
        <v>275.3</v>
      </c>
      <c r="AP15" s="15">
        <f t="shared" ref="AP15:AP16" si="73">SUM(G15:J15)</f>
        <v>2067</v>
      </c>
      <c r="AQ15" s="15">
        <f>SUM(K15:N15)</f>
        <v>719.4</v>
      </c>
      <c r="AR15" s="15">
        <f>SUM(O15:R15)</f>
        <v>39.699999999999996</v>
      </c>
      <c r="AS15" s="15">
        <f t="shared" ref="AS15:AS16" si="74">SUM(S15:V15)</f>
        <v>954.8</v>
      </c>
      <c r="AT15" s="15">
        <f>SUM(W15:Z15)</f>
        <v>97</v>
      </c>
      <c r="AU15" s="15">
        <f>SUM(AA15:AD15)</f>
        <v>81.400000000000006</v>
      </c>
      <c r="AV15" s="15">
        <f>SUM(AE15:AH15)</f>
        <v>138.5</v>
      </c>
      <c r="AW15" s="15">
        <f>AV15*1.09</f>
        <v>150.965</v>
      </c>
      <c r="AX15" s="15">
        <f>AW15*1.01</f>
        <v>152.47465</v>
      </c>
      <c r="AY15" s="15">
        <f t="shared" ref="AY15:AZ15" si="75">AX15*1.01</f>
        <v>153.99939649999999</v>
      </c>
      <c r="AZ15" s="15">
        <f t="shared" si="75"/>
        <v>155.539390465</v>
      </c>
    </row>
    <row r="16" spans="1:52" x14ac:dyDescent="0.25">
      <c r="B16" s="24" t="s">
        <v>81</v>
      </c>
      <c r="C16" s="15">
        <v>23.8</v>
      </c>
      <c r="D16" s="15">
        <v>22.9</v>
      </c>
      <c r="E16" s="15">
        <v>23.5</v>
      </c>
      <c r="F16" s="15">
        <v>22.3</v>
      </c>
      <c r="G16" s="15">
        <v>25.9</v>
      </c>
      <c r="H16" s="15">
        <v>35.1</v>
      </c>
      <c r="I16" s="15">
        <v>45.4</v>
      </c>
      <c r="J16" s="15">
        <v>63.8</v>
      </c>
      <c r="K16" s="15">
        <v>75</v>
      </c>
      <c r="L16" s="15">
        <v>73.900000000000006</v>
      </c>
      <c r="M16" s="15">
        <v>86.4</v>
      </c>
      <c r="N16" s="15">
        <v>95.7</v>
      </c>
      <c r="O16" s="15">
        <v>91.9</v>
      </c>
      <c r="P16" s="15">
        <v>99.2</v>
      </c>
      <c r="Q16" s="15">
        <v>120.8</v>
      </c>
      <c r="R16" s="15">
        <v>125</v>
      </c>
      <c r="S16" s="15">
        <v>120.7</v>
      </c>
      <c r="T16" s="15">
        <v>115</v>
      </c>
      <c r="U16" s="15">
        <v>113.4</v>
      </c>
      <c r="V16" s="15">
        <v>120.6</v>
      </c>
      <c r="W16" s="15">
        <v>115.3</v>
      </c>
      <c r="X16" s="15">
        <v>119.1</v>
      </c>
      <c r="Y16" s="15">
        <v>123.1</v>
      </c>
      <c r="Z16" s="15">
        <v>125.3</v>
      </c>
      <c r="AA16" s="15">
        <v>129.69999999999999</v>
      </c>
      <c r="AB16" s="15">
        <v>136.30000000000001</v>
      </c>
      <c r="AC16" s="15">
        <v>140.9</v>
      </c>
      <c r="AD16" s="15">
        <v>143.19999999999999</v>
      </c>
      <c r="AE16" s="15">
        <v>140.1</v>
      </c>
      <c r="AF16" s="15">
        <f>AB16*1.1</f>
        <v>149.93000000000004</v>
      </c>
      <c r="AG16" s="15">
        <f t="shared" ref="AG16:AH16" si="76">AC16*1.1</f>
        <v>154.99</v>
      </c>
      <c r="AH16" s="15">
        <f t="shared" si="76"/>
        <v>157.52000000000001</v>
      </c>
      <c r="AO16" s="15">
        <f t="shared" si="72"/>
        <v>92.5</v>
      </c>
      <c r="AP16" s="15">
        <f t="shared" si="73"/>
        <v>170.2</v>
      </c>
      <c r="AQ16" s="15">
        <f>SUM(K16:N16)</f>
        <v>331</v>
      </c>
      <c r="AR16" s="15">
        <f>SUM(O16:R16)</f>
        <v>436.90000000000003</v>
      </c>
      <c r="AS16" s="15">
        <f t="shared" si="74"/>
        <v>469.70000000000005</v>
      </c>
      <c r="AT16" s="15">
        <f>SUM(W16:Z16)</f>
        <v>482.8</v>
      </c>
      <c r="AU16" s="15">
        <f>SUM(AA16:AD16)</f>
        <v>550.09999999999991</v>
      </c>
      <c r="AV16" s="15">
        <f>SUM(AE16:AH16)</f>
        <v>602.54000000000008</v>
      </c>
      <c r="AW16" s="15">
        <f>AV16*1.09</f>
        <v>656.76860000000011</v>
      </c>
      <c r="AX16" s="15">
        <f t="shared" ref="AX16:AZ16" si="77">AW16*1.01</f>
        <v>663.33628600000009</v>
      </c>
      <c r="AY16" s="15">
        <f t="shared" si="77"/>
        <v>669.96964886000012</v>
      </c>
      <c r="AZ16" s="15">
        <f t="shared" si="77"/>
        <v>676.66934534860013</v>
      </c>
    </row>
    <row r="17" spans="1:393" x14ac:dyDescent="0.25">
      <c r="B17" s="4" t="s">
        <v>34</v>
      </c>
      <c r="C17" s="15">
        <f t="shared" ref="C17:Y17" si="78">C14+C15-C16</f>
        <v>1382.5999999999997</v>
      </c>
      <c r="D17" s="15">
        <f t="shared" si="78"/>
        <v>1233.9999999999991</v>
      </c>
      <c r="E17" s="15">
        <f t="shared" si="78"/>
        <v>1425.2</v>
      </c>
      <c r="F17" s="15">
        <f t="shared" si="78"/>
        <v>1440.5000000000002</v>
      </c>
      <c r="G17" s="15">
        <f t="shared" si="78"/>
        <v>3292.2999999999997</v>
      </c>
      <c r="H17" s="15">
        <f t="shared" si="78"/>
        <v>1281.9000000000005</v>
      </c>
      <c r="I17" s="15">
        <f t="shared" si="78"/>
        <v>1373.7000000000003</v>
      </c>
      <c r="J17" s="15">
        <f t="shared" si="78"/>
        <v>1303.7000000000007</v>
      </c>
      <c r="K17" s="15">
        <f t="shared" si="78"/>
        <v>1342.1000000000004</v>
      </c>
      <c r="L17" s="15">
        <f t="shared" si="78"/>
        <v>1218.8999999999996</v>
      </c>
      <c r="M17" s="15">
        <f t="shared" si="78"/>
        <v>2057.6999999999998</v>
      </c>
      <c r="N17" s="15">
        <f t="shared" si="78"/>
        <v>1360.4999999999998</v>
      </c>
      <c r="O17" s="15">
        <f t="shared" si="78"/>
        <v>1501.099999999999</v>
      </c>
      <c r="P17" s="15">
        <f t="shared" si="78"/>
        <v>745.79999999999984</v>
      </c>
      <c r="Q17" s="15">
        <f t="shared" si="78"/>
        <v>-372.89999999999986</v>
      </c>
      <c r="R17" s="15">
        <f>R14+R15-R16</f>
        <v>1000.3</v>
      </c>
      <c r="S17" s="15">
        <f>S14+S15-S16</f>
        <v>1246.6000000000008</v>
      </c>
      <c r="T17" s="15">
        <f t="shared" si="78"/>
        <v>1279.6000000000001</v>
      </c>
      <c r="U17" s="15">
        <f t="shared" si="78"/>
        <v>1785.3999999999996</v>
      </c>
      <c r="V17" s="15">
        <f t="shared" si="78"/>
        <v>2657.8000000000006</v>
      </c>
      <c r="W17" s="15">
        <f t="shared" si="78"/>
        <v>1420.9</v>
      </c>
      <c r="X17" s="15">
        <f t="shared" si="78"/>
        <v>1248.1999999999996</v>
      </c>
      <c r="Y17" s="15">
        <f t="shared" si="78"/>
        <v>1563.0000000000002</v>
      </c>
      <c r="Z17" s="15">
        <f>Z14+Z15-Z16</f>
        <v>1493.6999999999996</v>
      </c>
      <c r="AA17" s="15">
        <f t="shared" ref="AA17" si="79">AA14+AA15-AA16</f>
        <v>1467.8999999999996</v>
      </c>
      <c r="AB17" s="15">
        <f>AB14+AB15-AB16</f>
        <v>1469.0000000000002</v>
      </c>
      <c r="AC17" s="15">
        <f t="shared" ref="AC17:AH17" si="80">AC14+AC15-AC16</f>
        <v>1813.6</v>
      </c>
      <c r="AD17" s="15">
        <f t="shared" si="80"/>
        <v>1944.4999999999998</v>
      </c>
      <c r="AE17" s="15">
        <f t="shared" si="80"/>
        <v>1744.3999999999994</v>
      </c>
      <c r="AF17" s="15">
        <f t="shared" si="80"/>
        <v>1505.1280000000017</v>
      </c>
      <c r="AG17" s="15">
        <f t="shared" si="80"/>
        <v>1970.446999999999</v>
      </c>
      <c r="AH17" s="15">
        <f t="shared" si="80"/>
        <v>2107.0379999999991</v>
      </c>
      <c r="AO17" s="15">
        <f t="shared" ref="AO17:AZ17" si="81">AO14+AO15-AO16</f>
        <v>5482.3</v>
      </c>
      <c r="AP17" s="15">
        <f>AP14+AP15-AP16</f>
        <v>7251.6</v>
      </c>
      <c r="AQ17" s="15">
        <f t="shared" si="81"/>
        <v>5979.2000000000025</v>
      </c>
      <c r="AR17" s="15">
        <f>AR14+AR15-AR16</f>
        <v>2874.300000000002</v>
      </c>
      <c r="AS17" s="15">
        <f>AS14+AS15-AS16</f>
        <v>6969.4000000000005</v>
      </c>
      <c r="AT17" s="15">
        <f>AT14+AT15-AT16</f>
        <v>5725.7999999999984</v>
      </c>
      <c r="AU17" s="15">
        <f t="shared" si="81"/>
        <v>6695.0000000000018</v>
      </c>
      <c r="AV17" s="15">
        <f t="shared" si="81"/>
        <v>7327.0130000000054</v>
      </c>
      <c r="AW17" s="15">
        <f t="shared" si="81"/>
        <v>7986.4441700000089</v>
      </c>
      <c r="AX17" s="15">
        <f t="shared" si="81"/>
        <v>8719.8423533000041</v>
      </c>
      <c r="AY17" s="15">
        <f t="shared" si="81"/>
        <v>9519.3925551770026</v>
      </c>
      <c r="AZ17" s="15">
        <f t="shared" si="81"/>
        <v>10391.049919123732</v>
      </c>
    </row>
    <row r="18" spans="1:393" x14ac:dyDescent="0.25">
      <c r="B18" s="4" t="s">
        <v>35</v>
      </c>
      <c r="C18" s="15">
        <v>381.4</v>
      </c>
      <c r="D18" s="15">
        <v>327.60000000000002</v>
      </c>
      <c r="E18" s="15">
        <v>361.1</v>
      </c>
      <c r="F18" s="15">
        <v>362.5</v>
      </c>
      <c r="G18" s="15">
        <v>755.8</v>
      </c>
      <c r="H18" s="15">
        <v>155.80000000000001</v>
      </c>
      <c r="I18" s="15">
        <v>174.8</v>
      </c>
      <c r="J18" s="15">
        <v>175.5</v>
      </c>
      <c r="K18" s="15">
        <v>205.1</v>
      </c>
      <c r="L18" s="15">
        <v>161.19999999999999</v>
      </c>
      <c r="M18" s="15">
        <v>303.7</v>
      </c>
      <c r="N18" s="15">
        <v>201.5</v>
      </c>
      <c r="O18" s="15">
        <v>258.5</v>
      </c>
      <c r="P18" s="15">
        <v>65.400000000000006</v>
      </c>
      <c r="Q18" s="15">
        <v>-133.9</v>
      </c>
      <c r="R18" s="15">
        <v>49.7</v>
      </c>
      <c r="S18" s="15">
        <v>186.1</v>
      </c>
      <c r="T18" s="15">
        <v>230.5</v>
      </c>
      <c r="U18" s="15">
        <v>257.10000000000002</v>
      </c>
      <c r="V18" s="15">
        <v>483</v>
      </c>
      <c r="W18" s="15">
        <v>246.3</v>
      </c>
      <c r="X18" s="15">
        <v>201.1</v>
      </c>
      <c r="Y18" s="15">
        <v>278.5</v>
      </c>
      <c r="Z18" s="15">
        <v>222.7</v>
      </c>
      <c r="AA18" s="15">
        <v>279.8</v>
      </c>
      <c r="AB18" s="15">
        <v>301.3</v>
      </c>
      <c r="AC18" s="15">
        <v>322.39999999999998</v>
      </c>
      <c r="AD18" s="15">
        <v>373.8</v>
      </c>
      <c r="AE18" s="15">
        <v>354.7</v>
      </c>
      <c r="AF18" s="15">
        <f>0.21*AF17</f>
        <v>316.07688000000036</v>
      </c>
      <c r="AG18" s="15">
        <f t="shared" ref="AG18:AH18" si="82">0.21*AG17</f>
        <v>413.79386999999974</v>
      </c>
      <c r="AH18" s="15">
        <f t="shared" si="82"/>
        <v>442.47797999999977</v>
      </c>
      <c r="AO18" s="15">
        <f>SUM(C18:F18)</f>
        <v>1432.6</v>
      </c>
      <c r="AP18" s="15">
        <f>SUM(G18:J18)</f>
        <v>1261.8999999999999</v>
      </c>
      <c r="AQ18" s="15">
        <f>SUM(K18:N18)</f>
        <v>871.5</v>
      </c>
      <c r="AR18" s="15">
        <f>SUM(O18:R18)</f>
        <v>239.7</v>
      </c>
      <c r="AS18" s="15">
        <f>SUM(S18:V18)</f>
        <v>1156.7</v>
      </c>
      <c r="AT18" s="15">
        <f>SUM(W18:Z18)</f>
        <v>948.59999999999991</v>
      </c>
      <c r="AU18" s="15">
        <f>SUM(AA18:AD18)</f>
        <v>1277.3</v>
      </c>
      <c r="AV18" s="15">
        <f>SUM(AE18:AH18)</f>
        <v>1527.04873</v>
      </c>
      <c r="AW18" s="15">
        <f>AVERAGE($AO$37:$AU$37)*AW17</f>
        <v>1354.1628417269274</v>
      </c>
      <c r="AX18" s="15">
        <f>AVERAGE($AO$37:$AU$37)*AX17</f>
        <v>1478.5161267277147</v>
      </c>
      <c r="AY18" s="15">
        <f t="shared" ref="AY18:AZ18" si="83">AVERAGE($AO$37:$AU$37)*AY17</f>
        <v>1614.0859936710272</v>
      </c>
      <c r="AZ18" s="15">
        <f t="shared" si="83"/>
        <v>1761.882182794616</v>
      </c>
    </row>
    <row r="19" spans="1:393" s="17" customFormat="1" x14ac:dyDescent="0.25">
      <c r="A19" s="16"/>
      <c r="B19" s="16" t="s">
        <v>36</v>
      </c>
      <c r="C19" s="17">
        <f>+C17-C18</f>
        <v>1001.1999999999997</v>
      </c>
      <c r="D19" s="17">
        <f t="shared" ref="D19:AH19" si="84">+D17-D18</f>
        <v>906.39999999999907</v>
      </c>
      <c r="E19" s="17">
        <f t="shared" si="84"/>
        <v>1064.0999999999999</v>
      </c>
      <c r="F19" s="17">
        <f t="shared" si="84"/>
        <v>1078.0000000000002</v>
      </c>
      <c r="G19" s="17">
        <f t="shared" si="84"/>
        <v>2536.5</v>
      </c>
      <c r="H19" s="17">
        <f t="shared" si="84"/>
        <v>1126.1000000000006</v>
      </c>
      <c r="I19" s="17">
        <f t="shared" si="84"/>
        <v>1198.9000000000003</v>
      </c>
      <c r="J19" s="17">
        <f t="shared" si="84"/>
        <v>1128.2000000000007</v>
      </c>
      <c r="K19" s="17">
        <f t="shared" si="84"/>
        <v>1137.0000000000005</v>
      </c>
      <c r="L19" s="17">
        <f t="shared" si="84"/>
        <v>1057.6999999999996</v>
      </c>
      <c r="M19" s="17">
        <f t="shared" si="84"/>
        <v>1753.9999999999998</v>
      </c>
      <c r="N19" s="17">
        <f t="shared" si="84"/>
        <v>1158.9999999999998</v>
      </c>
      <c r="O19" s="17">
        <f t="shared" si="84"/>
        <v>1242.599999999999</v>
      </c>
      <c r="P19" s="17">
        <f t="shared" si="84"/>
        <v>680.39999999999986</v>
      </c>
      <c r="Q19" s="17">
        <f t="shared" si="84"/>
        <v>-238.99999999999986</v>
      </c>
      <c r="R19" s="17">
        <f t="shared" si="84"/>
        <v>950.59999999999991</v>
      </c>
      <c r="S19" s="17">
        <f t="shared" si="84"/>
        <v>1060.5000000000009</v>
      </c>
      <c r="T19" s="17">
        <f t="shared" si="84"/>
        <v>1049.1000000000001</v>
      </c>
      <c r="U19" s="17">
        <f t="shared" si="84"/>
        <v>1528.2999999999997</v>
      </c>
      <c r="V19" s="17">
        <f t="shared" si="84"/>
        <v>2174.8000000000006</v>
      </c>
      <c r="W19" s="17">
        <f t="shared" si="84"/>
        <v>1174.6000000000001</v>
      </c>
      <c r="X19" s="17">
        <f t="shared" si="84"/>
        <v>1047.0999999999997</v>
      </c>
      <c r="Y19" s="17">
        <f t="shared" si="84"/>
        <v>1284.5000000000002</v>
      </c>
      <c r="Z19" s="17">
        <f t="shared" si="84"/>
        <v>1270.9999999999995</v>
      </c>
      <c r="AA19" s="17">
        <f t="shared" si="84"/>
        <v>1188.0999999999997</v>
      </c>
      <c r="AB19" s="17">
        <f t="shared" si="84"/>
        <v>1167.7000000000003</v>
      </c>
      <c r="AC19" s="17">
        <f t="shared" si="84"/>
        <v>1491.1999999999998</v>
      </c>
      <c r="AD19" s="17">
        <f t="shared" si="84"/>
        <v>1570.6999999999998</v>
      </c>
      <c r="AE19" s="17">
        <f t="shared" si="84"/>
        <v>1389.6999999999994</v>
      </c>
      <c r="AF19" s="17">
        <f t="shared" si="84"/>
        <v>1189.0511200000014</v>
      </c>
      <c r="AG19" s="17">
        <f t="shared" si="84"/>
        <v>1556.6531299999992</v>
      </c>
      <c r="AH19" s="17">
        <f t="shared" si="84"/>
        <v>1664.5600199999994</v>
      </c>
      <c r="AM19" s="18"/>
      <c r="AO19" s="17">
        <f t="shared" ref="AO19" si="85">+AO17-AO18</f>
        <v>4049.7000000000003</v>
      </c>
      <c r="AP19" s="17">
        <f t="shared" ref="AP19" si="86">+AP17-AP18</f>
        <v>5989.7000000000007</v>
      </c>
      <c r="AQ19" s="17">
        <f t="shared" ref="AQ19" si="87">+AQ17-AQ18</f>
        <v>5107.7000000000025</v>
      </c>
      <c r="AR19" s="17">
        <f t="shared" ref="AR19" si="88">+AR17-AR18</f>
        <v>2634.6000000000022</v>
      </c>
      <c r="AS19" s="17">
        <f t="shared" ref="AS19" si="89">+AS17-AS18</f>
        <v>5812.7000000000007</v>
      </c>
      <c r="AT19" s="17">
        <f t="shared" ref="AT19" si="90">+AT17-AT18</f>
        <v>4777.1999999999989</v>
      </c>
      <c r="AU19" s="17">
        <f t="shared" ref="AU19" si="91">+AU17-AU18</f>
        <v>5417.7000000000016</v>
      </c>
      <c r="AV19" s="17">
        <f t="shared" ref="AV19" si="92">+AV17-AV18</f>
        <v>5799.9642700000059</v>
      </c>
      <c r="AW19" s="17">
        <f t="shared" ref="AW19" si="93">+AW17-AW18</f>
        <v>6632.2813282730813</v>
      </c>
      <c r="AX19" s="17">
        <f t="shared" ref="AX19" si="94">+AX17-AX18</f>
        <v>7241.3262265722897</v>
      </c>
      <c r="AY19" s="17">
        <f t="shared" ref="AY19" si="95">+AY17-AY18</f>
        <v>7905.306561505975</v>
      </c>
      <c r="AZ19" s="17">
        <f t="shared" ref="AZ19" si="96">+AZ17-AZ18</f>
        <v>8629.1677363291165</v>
      </c>
      <c r="BA19" s="17">
        <f>AZ19*(1+$BG$29)</f>
        <v>8542.876058965825</v>
      </c>
      <c r="BB19" s="17">
        <f>BA19*(1+$BG$29)</f>
        <v>8457.4472983761661</v>
      </c>
      <c r="BC19" s="17">
        <f>BB19*(1+$BG$29)</f>
        <v>8372.8728253924037</v>
      </c>
      <c r="BD19" s="17">
        <f>BC19*(1+$BG$29)</f>
        <v>8289.14409713848</v>
      </c>
      <c r="BE19" s="17">
        <f>BD19*(1+$BG$29)</f>
        <v>8206.2526561670948</v>
      </c>
      <c r="BF19" s="17">
        <f>BE19*(1+$BG$29)</f>
        <v>8124.1901296054239</v>
      </c>
      <c r="BG19" s="17">
        <f>BF19*(1+$BG$29)</f>
        <v>8042.9482283093694</v>
      </c>
      <c r="BH19" s="17">
        <f>BG19*(1+$BG$29)</f>
        <v>7962.5187460262759</v>
      </c>
      <c r="BI19" s="17">
        <f>BH19*(1+$BG$29)</f>
        <v>7882.8935585660129</v>
      </c>
      <c r="BJ19" s="17">
        <f>BI19*(1+$BG$29)</f>
        <v>7804.0646229803524</v>
      </c>
      <c r="BK19" s="17">
        <f>BJ19*(1+$BG$29)</f>
        <v>7726.0239767505491</v>
      </c>
      <c r="BL19" s="17">
        <f>BK19*(1+$BG$29)</f>
        <v>7648.7637369830436</v>
      </c>
      <c r="BM19" s="17">
        <f>BL19*(1+$BG$29)</f>
        <v>7572.2760996132129</v>
      </c>
      <c r="BN19" s="17">
        <f>BM19*(1+$BG$29)</f>
        <v>7496.553338617081</v>
      </c>
      <c r="BO19" s="17">
        <f>BN19*(1+$BG$29)</f>
        <v>7421.5878052309099</v>
      </c>
      <c r="BP19" s="17">
        <f>BO19*(1+$BG$29)</f>
        <v>7347.3719271786003</v>
      </c>
      <c r="BQ19" s="17">
        <f>BP19*(1+$BG$29)</f>
        <v>7273.8982079068146</v>
      </c>
      <c r="BR19" s="17">
        <f>BQ19*(1+$BG$29)</f>
        <v>7201.159225827746</v>
      </c>
      <c r="BS19" s="17">
        <f>BR19*(1+$BG$29)</f>
        <v>7129.1476335694688</v>
      </c>
      <c r="BT19" s="17">
        <f>BS19*(1+$BG$29)</f>
        <v>7057.856157233774</v>
      </c>
      <c r="BU19" s="17">
        <f>BT19*(1+$BG$29)</f>
        <v>6987.277595661436</v>
      </c>
      <c r="BV19" s="17">
        <f>BU19*(1+$BG$29)</f>
        <v>6917.4048197048214</v>
      </c>
      <c r="BW19" s="17">
        <f>BV19*(1+$BG$29)</f>
        <v>6848.2307715077732</v>
      </c>
      <c r="BX19" s="17">
        <f>BW19*(1+$BG$29)</f>
        <v>6779.7484637926955</v>
      </c>
      <c r="BY19" s="17">
        <f>BX19*(1+$BG$29)</f>
        <v>6711.9509791547689</v>
      </c>
      <c r="BZ19" s="17">
        <f>BY19*(1+$BG$29)</f>
        <v>6644.831469363221</v>
      </c>
      <c r="CA19" s="17">
        <f>BZ19*(1+$BG$29)</f>
        <v>6578.3831546695883</v>
      </c>
      <c r="CB19" s="17">
        <f>CA19*(1+$BG$29)</f>
        <v>6512.5993231228922</v>
      </c>
      <c r="CC19" s="17">
        <f>CB19*(1+$BG$29)</f>
        <v>6447.4733298916635</v>
      </c>
      <c r="CD19" s="17">
        <f>CC19*(1+$BG$29)</f>
        <v>6382.9985965927472</v>
      </c>
      <c r="CE19" s="17">
        <f>CD19*(1+$BG$29)</f>
        <v>6319.1686106268198</v>
      </c>
      <c r="CF19" s="17">
        <f>CE19*(1+$BG$29)</f>
        <v>6255.9769245205516</v>
      </c>
      <c r="CG19" s="17">
        <f>CF19*(1+$BG$29)</f>
        <v>6193.417155275346</v>
      </c>
      <c r="CH19" s="17">
        <f>CG19*(1+$BG$29)</f>
        <v>6131.4829837225925</v>
      </c>
      <c r="CI19" s="17">
        <f>CH19*(1+$BG$29)</f>
        <v>6070.1681538853663</v>
      </c>
      <c r="CJ19" s="17">
        <f>CI19*(1+$BG$29)</f>
        <v>6009.466472346513</v>
      </c>
      <c r="CK19" s="17">
        <f>CJ19*(1+$BG$29)</f>
        <v>5949.371807623048</v>
      </c>
      <c r="CL19" s="17">
        <f>CK19*(1+$BG$29)</f>
        <v>5889.8780895468171</v>
      </c>
      <c r="CM19" s="17">
        <f>CL19*(1+$BG$29)</f>
        <v>5830.9793086513491</v>
      </c>
      <c r="CN19" s="17">
        <f>CM19*(1+$BG$29)</f>
        <v>5772.6695155648358</v>
      </c>
      <c r="CO19" s="17">
        <f>CN19*(1+$BG$29)</f>
        <v>5714.9428204091873</v>
      </c>
      <c r="CP19" s="17">
        <f>CO19*(1+$BG$29)</f>
        <v>5657.7933922050952</v>
      </c>
      <c r="CQ19" s="17">
        <f>CP19*(1+$BG$29)</f>
        <v>5601.2154582830444</v>
      </c>
      <c r="CR19" s="17">
        <f>CQ19*(1+$BG$29)</f>
        <v>5545.2033037002138</v>
      </c>
      <c r="CS19" s="17">
        <f>CR19*(1+$BG$29)</f>
        <v>5489.7512706632115</v>
      </c>
      <c r="CT19" s="17">
        <f>CS19*(1+$BG$29)</f>
        <v>5434.8537579565791</v>
      </c>
      <c r="CU19" s="17">
        <f>CT19*(1+$BG$29)</f>
        <v>5380.5052203770128</v>
      </c>
      <c r="CV19" s="17">
        <f>CU19*(1+$BG$29)</f>
        <v>5326.7001681732427</v>
      </c>
      <c r="CW19" s="17">
        <f>CV19*(1+$BG$29)</f>
        <v>5273.4331664915098</v>
      </c>
      <c r="CX19" s="17">
        <f>CW19*(1+$BG$29)</f>
        <v>5220.698834826595</v>
      </c>
      <c r="CY19" s="17">
        <f>CX19*(1+$BG$29)</f>
        <v>5168.4918464783286</v>
      </c>
      <c r="CZ19" s="17">
        <f>CY19*(1+$BG$29)</f>
        <v>5116.8069280135451</v>
      </c>
      <c r="DA19" s="17">
        <f>CZ19*(1+$BG$29)</f>
        <v>5065.6388587334095</v>
      </c>
      <c r="DB19" s="17">
        <f>DA19*(1+$BG$29)</f>
        <v>5014.9824701460757</v>
      </c>
      <c r="DC19" s="17">
        <f>DB19*(1+$BG$29)</f>
        <v>4964.8326454446151</v>
      </c>
      <c r="DD19" s="17">
        <f>DC19*(1+$BG$29)</f>
        <v>4915.1843189901692</v>
      </c>
      <c r="DE19" s="17">
        <f>DD19*(1+$BG$29)</f>
        <v>4866.0324758002671</v>
      </c>
      <c r="DF19" s="17">
        <f>DE19*(1+$BG$29)</f>
        <v>4817.3721510422647</v>
      </c>
      <c r="DG19" s="17">
        <f>DF19*(1+$BG$29)</f>
        <v>4769.1984295318416</v>
      </c>
      <c r="DH19" s="17">
        <f>DG19*(1+$BG$29)</f>
        <v>4721.5064452365232</v>
      </c>
      <c r="DI19" s="17">
        <f>DH19*(1+$BG$29)</f>
        <v>4674.2913807841578</v>
      </c>
      <c r="DJ19" s="17">
        <f>DI19*(1+$BG$29)</f>
        <v>4627.5484669763164</v>
      </c>
      <c r="DK19" s="17">
        <f>DJ19*(1+$BG$29)</f>
        <v>4581.2729823065529</v>
      </c>
      <c r="DL19" s="17">
        <f>DK19*(1+$BG$29)</f>
        <v>4535.4602524834872</v>
      </c>
      <c r="DM19" s="17">
        <f>DL19*(1+$BG$29)</f>
        <v>4490.1056499586521</v>
      </c>
      <c r="DN19" s="17">
        <f>DM19*(1+$BG$29)</f>
        <v>4445.2045934590651</v>
      </c>
      <c r="DO19" s="17">
        <f>DN19*(1+$BG$29)</f>
        <v>4400.7525475244747</v>
      </c>
      <c r="DP19" s="17">
        <f>DO19*(1+$BG$29)</f>
        <v>4356.7450220492301</v>
      </c>
      <c r="DQ19" s="17">
        <f>DP19*(1+$BG$29)</f>
        <v>4313.1775718287381</v>
      </c>
      <c r="DR19" s="17">
        <f>DQ19*(1+$BG$29)</f>
        <v>4270.0457961104503</v>
      </c>
      <c r="DS19" s="17">
        <f>DR19*(1+$BG$29)</f>
        <v>4227.3453381493455</v>
      </c>
      <c r="DT19" s="17">
        <f>DS19*(1+$BG$29)</f>
        <v>4185.0718847678518</v>
      </c>
      <c r="DU19" s="17">
        <f>DT19*(1+$BG$29)</f>
        <v>4143.221165920173</v>
      </c>
      <c r="DV19" s="17">
        <f>DU19*(1+$BG$29)</f>
        <v>4101.788954260971</v>
      </c>
      <c r="DW19" s="17">
        <f>DV19*(1+$BG$29)</f>
        <v>4060.7710647183612</v>
      </c>
      <c r="DX19" s="17">
        <f>DW19*(1+$BG$29)</f>
        <v>4020.1633540711778</v>
      </c>
      <c r="DY19" s="17">
        <f>DX19*(1+$BG$29)</f>
        <v>3979.9617205304658</v>
      </c>
      <c r="DZ19" s="17">
        <f>DY19*(1+$BG$29)</f>
        <v>3940.1621033251608</v>
      </c>
      <c r="EA19" s="17">
        <f>DZ19*(1+$BG$29)</f>
        <v>3900.7604822919093</v>
      </c>
      <c r="EB19" s="17">
        <f>EA19*(1+$BG$29)</f>
        <v>3861.7528774689899</v>
      </c>
      <c r="EC19" s="17">
        <f>EB19*(1+$BG$29)</f>
        <v>3823.1353486942999</v>
      </c>
      <c r="ED19" s="17">
        <f>EC19*(1+$BG$29)</f>
        <v>3784.9039952073567</v>
      </c>
      <c r="EE19" s="17">
        <f>ED19*(1+$BG$29)</f>
        <v>3747.0549552552829</v>
      </c>
      <c r="EF19" s="17">
        <f>EE19*(1+$BG$29)</f>
        <v>3709.5844057027302</v>
      </c>
      <c r="EG19" s="17">
        <f>EF19*(1+$BG$29)</f>
        <v>3672.4885616457027</v>
      </c>
      <c r="EH19" s="17">
        <f>EG19*(1+$BG$29)</f>
        <v>3635.7636760292457</v>
      </c>
      <c r="EI19" s="17">
        <f>EH19*(1+$BG$29)</f>
        <v>3599.4060392689535</v>
      </c>
      <c r="EJ19" s="17">
        <f>EI19*(1+$BG$29)</f>
        <v>3563.4119788762637</v>
      </c>
      <c r="EK19" s="17">
        <f>EJ19*(1+$BG$29)</f>
        <v>3527.7778590875009</v>
      </c>
      <c r="EL19" s="17">
        <f>EK19*(1+$BG$29)</f>
        <v>3492.5000804966257</v>
      </c>
      <c r="EM19" s="17">
        <f>EL19*(1+$BG$29)</f>
        <v>3457.5750796916595</v>
      </c>
      <c r="EN19" s="17">
        <f>EM19*(1+$BG$29)</f>
        <v>3422.999328894743</v>
      </c>
      <c r="EO19" s="17">
        <f>EN19*(1+$BG$29)</f>
        <v>3388.7693356057957</v>
      </c>
      <c r="EP19" s="17">
        <f>EO19*(1+$BG$29)</f>
        <v>3354.8816422497375</v>
      </c>
      <c r="EQ19" s="17">
        <f>EP19*(1+$BG$29)</f>
        <v>3321.33282582724</v>
      </c>
      <c r="ER19" s="17">
        <f>EQ19*(1+$BG$29)</f>
        <v>3288.1194975689677</v>
      </c>
      <c r="ES19" s="17">
        <f>ER19*(1+$BG$29)</f>
        <v>3255.2383025932781</v>
      </c>
      <c r="ET19" s="17">
        <f>ES19*(1+$BG$29)</f>
        <v>3222.6859195673455</v>
      </c>
      <c r="EU19" s="17">
        <f>ET19*(1+$BG$29)</f>
        <v>3190.459060371672</v>
      </c>
      <c r="EV19" s="17">
        <f>EU19*(1+$BG$29)</f>
        <v>3158.5544697679552</v>
      </c>
      <c r="EW19" s="17">
        <f>EV19*(1+$BG$29)</f>
        <v>3126.9689250702754</v>
      </c>
      <c r="EX19" s="17">
        <f>EW19*(1+$BG$29)</f>
        <v>3095.6992358195726</v>
      </c>
      <c r="EY19" s="17">
        <f>EX19*(1+$BG$29)</f>
        <v>3064.7422434613768</v>
      </c>
      <c r="EZ19" s="17">
        <f>EY19*(1+$BG$29)</f>
        <v>3034.0948210267629</v>
      </c>
      <c r="FA19" s="17">
        <f>EZ19*(1+$BG$29)</f>
        <v>3003.7538728164955</v>
      </c>
      <c r="FB19" s="17">
        <f>FA19*(1+$BG$29)</f>
        <v>2973.7163340883303</v>
      </c>
      <c r="FC19" s="17">
        <f>FB19*(1+$BG$29)</f>
        <v>2943.9791707474469</v>
      </c>
      <c r="FD19" s="17">
        <f>FC19*(1+$BG$29)</f>
        <v>2914.5393790399726</v>
      </c>
      <c r="FE19" s="17">
        <f>FD19*(1+$BG$29)</f>
        <v>2885.3939852495728</v>
      </c>
      <c r="FF19" s="17">
        <f>FE19*(1+$BG$29)</f>
        <v>2856.5400453970769</v>
      </c>
      <c r="FG19" s="17">
        <f>FF19*(1+$BG$29)</f>
        <v>2827.9746449431063</v>
      </c>
      <c r="FH19" s="17">
        <f>FG19*(1+$BG$29)</f>
        <v>2799.6948984936753</v>
      </c>
      <c r="FI19" s="17">
        <f>FH19*(1+$BG$29)</f>
        <v>2771.6979495087385</v>
      </c>
      <c r="FJ19" s="17">
        <f>FI19*(1+$BG$29)</f>
        <v>2743.9809700136511</v>
      </c>
      <c r="FK19" s="17">
        <f>FJ19*(1+$BG$29)</f>
        <v>2716.5411603135144</v>
      </c>
      <c r="FL19" s="17">
        <f>FK19*(1+$BG$29)</f>
        <v>2689.3757487103794</v>
      </c>
      <c r="FM19" s="17">
        <f>FL19*(1+$BG$29)</f>
        <v>2662.4819912232756</v>
      </c>
      <c r="FN19" s="17">
        <f>FM19*(1+$BG$29)</f>
        <v>2635.8571713110427</v>
      </c>
      <c r="FO19" s="17">
        <f>FN19*(1+$BG$29)</f>
        <v>2609.4985995979323</v>
      </c>
      <c r="FP19" s="17">
        <f>FO19*(1+$BG$29)</f>
        <v>2583.4036136019531</v>
      </c>
      <c r="FQ19" s="17">
        <f>FP19*(1+$BG$29)</f>
        <v>2557.5695774659334</v>
      </c>
      <c r="FR19" s="17">
        <f>FQ19*(1+$BG$29)</f>
        <v>2531.9938816912741</v>
      </c>
      <c r="FS19" s="17">
        <f>FR19*(1+$BG$29)</f>
        <v>2506.6739428743613</v>
      </c>
      <c r="FT19" s="17">
        <f>FS19*(1+$BG$29)</f>
        <v>2481.6072034456174</v>
      </c>
      <c r="FU19" s="17">
        <f>FT19*(1+$BG$29)</f>
        <v>2456.7911314111611</v>
      </c>
      <c r="FV19" s="17">
        <f>FU19*(1+$BG$29)</f>
        <v>2432.2232200970493</v>
      </c>
      <c r="FW19" s="17">
        <f>FV19*(1+$BG$29)</f>
        <v>2407.9009878960787</v>
      </c>
      <c r="FX19" s="17">
        <f>FW19*(1+$BG$29)</f>
        <v>2383.821978017118</v>
      </c>
      <c r="FY19" s="17">
        <f>FX19*(1+$BG$29)</f>
        <v>2359.9837582369469</v>
      </c>
      <c r="FZ19" s="17">
        <f>FY19*(1+$BG$29)</f>
        <v>2336.3839206545772</v>
      </c>
      <c r="GA19" s="17">
        <f>FZ19*(1+$BG$29)</f>
        <v>2313.0200814480313</v>
      </c>
      <c r="GB19" s="17">
        <f>GA19*(1+$BG$29)</f>
        <v>2289.889880633551</v>
      </c>
      <c r="GC19" s="17">
        <f>GB19*(1+$BG$29)</f>
        <v>2266.9909818272154</v>
      </c>
      <c r="GD19" s="17">
        <f>GC19*(1+$BG$29)</f>
        <v>2244.3210720089432</v>
      </c>
      <c r="GE19" s="17">
        <f>GD19*(1+$BG$29)</f>
        <v>2221.8778612888536</v>
      </c>
      <c r="GF19" s="17">
        <f>GE19*(1+$BG$29)</f>
        <v>2199.6590826759652</v>
      </c>
      <c r="GG19" s="17">
        <f>GF19*(1+$BG$29)</f>
        <v>2177.6624918492057</v>
      </c>
      <c r="GH19" s="17">
        <f>GG19*(1+$BG$29)</f>
        <v>2155.8858669307137</v>
      </c>
      <c r="GI19" s="17">
        <f>GH19*(1+$BG$29)</f>
        <v>2134.3270082614067</v>
      </c>
      <c r="GJ19" s="17">
        <f>GI19*(1+$BG$29)</f>
        <v>2112.9837381787925</v>
      </c>
      <c r="GK19" s="17">
        <f>GJ19*(1+$BG$29)</f>
        <v>2091.8539007970044</v>
      </c>
      <c r="GL19" s="17">
        <f>GK19*(1+$BG$29)</f>
        <v>2070.9353617890342</v>
      </c>
      <c r="GM19" s="17">
        <f>GL19*(1+$BG$29)</f>
        <v>2050.2260081711438</v>
      </c>
      <c r="GN19" s="17">
        <f>GM19*(1+$BG$29)</f>
        <v>2029.7237480894323</v>
      </c>
      <c r="GO19" s="17">
        <f>GN19*(1+$BG$29)</f>
        <v>2009.4265106085379</v>
      </c>
      <c r="GP19" s="17">
        <f>GO19*(1+$BG$29)</f>
        <v>1989.3322455024525</v>
      </c>
      <c r="GQ19" s="17">
        <f>GP19*(1+$BG$29)</f>
        <v>1969.4389230474278</v>
      </c>
      <c r="GR19" s="17">
        <f>GQ19*(1+$BG$29)</f>
        <v>1949.7445338169534</v>
      </c>
      <c r="GS19" s="17">
        <f>GR19*(1+$BG$29)</f>
        <v>1930.2470884787838</v>
      </c>
      <c r="GT19" s="17">
        <f>GS19*(1+$BG$29)</f>
        <v>1910.9446175939959</v>
      </c>
      <c r="GU19" s="17">
        <f>GT19*(1+$BG$29)</f>
        <v>1891.835171418056</v>
      </c>
      <c r="GV19" s="17">
        <f>GU19*(1+$BG$29)</f>
        <v>1872.9168197038755</v>
      </c>
      <c r="GW19" s="17">
        <f>GV19*(1+$BG$29)</f>
        <v>1854.1876515068368</v>
      </c>
      <c r="GX19" s="17">
        <f>GW19*(1+$BG$29)</f>
        <v>1835.6457749917683</v>
      </c>
      <c r="GY19" s="17">
        <f>GX19*(1+$BG$29)</f>
        <v>1817.2893172418505</v>
      </c>
      <c r="GZ19" s="17">
        <f>GY19*(1+$BG$29)</f>
        <v>1799.116424069432</v>
      </c>
      <c r="HA19" s="17">
        <f>GZ19*(1+$BG$29)</f>
        <v>1781.1252598287376</v>
      </c>
      <c r="HB19" s="17">
        <f>HA19*(1+$BG$29)</f>
        <v>1763.3140072304502</v>
      </c>
      <c r="HC19" s="17">
        <f>HB19*(1+$BG$29)</f>
        <v>1745.6808671581457</v>
      </c>
      <c r="HD19" s="17">
        <f>HC19*(1+$BG$29)</f>
        <v>1728.2240584865642</v>
      </c>
      <c r="HE19" s="17">
        <f>HD19*(1+$BG$29)</f>
        <v>1710.9418179016986</v>
      </c>
      <c r="HF19" s="17">
        <f>HE19*(1+$BG$29)</f>
        <v>1693.8323997226817</v>
      </c>
      <c r="HG19" s="17">
        <f>HF19*(1+$BG$29)</f>
        <v>1676.8940757254547</v>
      </c>
      <c r="HH19" s="17">
        <f>HG19*(1+$BG$29)</f>
        <v>1660.1251349682002</v>
      </c>
      <c r="HI19" s="17">
        <f>HH19*(1+$BG$29)</f>
        <v>1643.5238836185181</v>
      </c>
      <c r="HJ19" s="17">
        <f>HI19*(1+$BG$29)</f>
        <v>1627.0886447823329</v>
      </c>
      <c r="HK19" s="17">
        <f>HJ19*(1+$BG$29)</f>
        <v>1610.8177583345096</v>
      </c>
      <c r="HL19" s="17">
        <f>HK19*(1+$BG$29)</f>
        <v>1594.7095807511644</v>
      </c>
      <c r="HM19" s="17">
        <f>HL19*(1+$BG$29)</f>
        <v>1578.7624849436527</v>
      </c>
      <c r="HN19" s="17">
        <f>HM19*(1+$BG$29)</f>
        <v>1562.9748600942162</v>
      </c>
      <c r="HO19" s="17">
        <f>HN19*(1+$BG$29)</f>
        <v>1547.3451114932741</v>
      </c>
      <c r="HP19" s="17">
        <f>HO19*(1+$BG$29)</f>
        <v>1531.8716603783414</v>
      </c>
      <c r="HQ19" s="17">
        <f>HP19*(1+$BG$29)</f>
        <v>1516.5529437745579</v>
      </c>
      <c r="HR19" s="17">
        <f>HQ19*(1+$BG$29)</f>
        <v>1501.3874143368123</v>
      </c>
      <c r="HS19" s="17">
        <f>HR19*(1+$BG$29)</f>
        <v>1486.3735401934441</v>
      </c>
      <c r="HT19" s="17">
        <f>HS19*(1+$BG$29)</f>
        <v>1471.5098047915096</v>
      </c>
      <c r="HU19" s="17">
        <f>HT19*(1+$BG$29)</f>
        <v>1456.7947067435946</v>
      </c>
      <c r="HV19" s="17">
        <f>HU19*(1+$BG$29)</f>
        <v>1442.2267596761587</v>
      </c>
      <c r="HW19" s="17">
        <f>HV19*(1+$BG$29)</f>
        <v>1427.8044920793971</v>
      </c>
      <c r="HX19" s="17">
        <f>HW19*(1+$BG$29)</f>
        <v>1413.5264471586031</v>
      </c>
      <c r="HY19" s="17">
        <f>HX19*(1+$BG$29)</f>
        <v>1399.3911826870171</v>
      </c>
      <c r="HZ19" s="17">
        <f>HY19*(1+$BG$29)</f>
        <v>1385.397270860147</v>
      </c>
      <c r="IA19" s="17">
        <f>HZ19*(1+$BG$29)</f>
        <v>1371.5432981515455</v>
      </c>
      <c r="IB19" s="17">
        <f>IA19*(1+$BG$29)</f>
        <v>1357.82786517003</v>
      </c>
      <c r="IC19" s="17">
        <f>IB19*(1+$BG$29)</f>
        <v>1344.2495865183298</v>
      </c>
      <c r="ID19" s="17">
        <f>IC19*(1+$BG$29)</f>
        <v>1330.8070906531466</v>
      </c>
      <c r="IE19" s="17">
        <f>ID19*(1+$BG$29)</f>
        <v>1317.4990197466152</v>
      </c>
      <c r="IF19" s="17">
        <f>IE19*(1+$BG$29)</f>
        <v>1304.3240295491491</v>
      </c>
      <c r="IG19" s="17">
        <f>IF19*(1+$BG$29)</f>
        <v>1291.2807892536575</v>
      </c>
      <c r="IH19" s="17">
        <f>IG19*(1+$BG$29)</f>
        <v>1278.3679813611209</v>
      </c>
      <c r="II19" s="17">
        <f>IH19*(1+$BG$29)</f>
        <v>1265.5843015475098</v>
      </c>
      <c r="IJ19" s="17">
        <f>II19*(1+$BG$29)</f>
        <v>1252.9284585320347</v>
      </c>
      <c r="IK19" s="17">
        <f>IJ19*(1+$BG$29)</f>
        <v>1240.3991739467144</v>
      </c>
      <c r="IL19" s="17">
        <f>IK19*(1+$BG$29)</f>
        <v>1227.9951822072474</v>
      </c>
      <c r="IM19" s="17">
        <f>IL19*(1+$BG$29)</f>
        <v>1215.7152303851749</v>
      </c>
      <c r="IN19" s="17">
        <f>IM19*(1+$BG$29)</f>
        <v>1203.5580780813232</v>
      </c>
      <c r="IO19" s="17">
        <f>IN19*(1+$BG$29)</f>
        <v>1191.5224973005099</v>
      </c>
      <c r="IP19" s="17">
        <f>IO19*(1+$BG$29)</f>
        <v>1179.6072723275049</v>
      </c>
      <c r="IQ19" s="17">
        <f>IP19*(1+$BG$29)</f>
        <v>1167.8111996042298</v>
      </c>
      <c r="IR19" s="17">
        <f>IQ19*(1+$BG$29)</f>
        <v>1156.1330876081875</v>
      </c>
      <c r="IS19" s="17">
        <f>IR19*(1+$BG$29)</f>
        <v>1144.5717567321055</v>
      </c>
      <c r="IT19" s="17">
        <f>IS19*(1+$BG$29)</f>
        <v>1133.1260391647845</v>
      </c>
      <c r="IU19" s="17">
        <f>IT19*(1+$BG$29)</f>
        <v>1121.7947787731366</v>
      </c>
      <c r="IV19" s="17">
        <f>IU19*(1+$BG$29)</f>
        <v>1110.5768309854052</v>
      </c>
      <c r="IW19" s="17">
        <f>IV19*(1+$BG$29)</f>
        <v>1099.4710626755511</v>
      </c>
      <c r="IX19" s="17">
        <f>IW19*(1+$BG$29)</f>
        <v>1088.4763520487957</v>
      </c>
      <c r="IY19" s="17">
        <f>IX19*(1+$BG$29)</f>
        <v>1077.5915885283077</v>
      </c>
      <c r="IZ19" s="17">
        <f>IY19*(1+$BG$29)</f>
        <v>1066.8156726430248</v>
      </c>
      <c r="JA19" s="17">
        <f>IZ19*(1+$BG$29)</f>
        <v>1056.1475159165946</v>
      </c>
      <c r="JB19" s="17">
        <f>JA19*(1+$BG$29)</f>
        <v>1045.5860407574287</v>
      </c>
      <c r="JC19" s="17">
        <f>JB19*(1+$BG$29)</f>
        <v>1035.1301803498543</v>
      </c>
      <c r="JD19" s="17">
        <f>JC19*(1+$BG$29)</f>
        <v>1024.7788785463558</v>
      </c>
      <c r="JE19" s="17">
        <f>JD19*(1+$BG$29)</f>
        <v>1014.5310897608923</v>
      </c>
      <c r="JF19" s="17">
        <f>JE19*(1+$BG$29)</f>
        <v>1004.3857788632833</v>
      </c>
      <c r="JG19" s="17">
        <f>JF19*(1+$BG$29)</f>
        <v>994.34192107465049</v>
      </c>
      <c r="JH19" s="17">
        <f>JG19*(1+$BG$29)</f>
        <v>984.39850186390402</v>
      </c>
      <c r="JI19" s="17">
        <f>JH19*(1+$BG$29)</f>
        <v>974.55451684526497</v>
      </c>
      <c r="JJ19" s="17">
        <f>JI19*(1+$BG$29)</f>
        <v>964.80897167681235</v>
      </c>
      <c r="JK19" s="17">
        <f>JJ19*(1+$BG$29)</f>
        <v>955.16088196004421</v>
      </c>
      <c r="JL19" s="17">
        <f>JK19*(1+$BG$29)</f>
        <v>945.60927314044375</v>
      </c>
      <c r="JM19" s="17">
        <f>JL19*(1+$BG$29)</f>
        <v>936.15318040903935</v>
      </c>
      <c r="JN19" s="17">
        <f>JM19*(1+$BG$29)</f>
        <v>926.79164860494893</v>
      </c>
      <c r="JO19" s="17">
        <f>JN19*(1+$BG$29)</f>
        <v>917.52373211889949</v>
      </c>
      <c r="JP19" s="17">
        <f>JO19*(1+$BG$29)</f>
        <v>908.34849479771049</v>
      </c>
      <c r="JQ19" s="17">
        <f>JP19*(1+$BG$29)</f>
        <v>899.26500984973336</v>
      </c>
      <c r="JR19" s="17">
        <f>JQ19*(1+$BG$29)</f>
        <v>890.27235975123597</v>
      </c>
      <c r="JS19" s="17">
        <f>JR19*(1+$BG$29)</f>
        <v>881.3696361537236</v>
      </c>
      <c r="JT19" s="17">
        <f>JS19*(1+$BG$29)</f>
        <v>872.55593979218634</v>
      </c>
      <c r="JU19" s="17">
        <f>JT19*(1+$BG$29)</f>
        <v>863.83038039426447</v>
      </c>
      <c r="JV19" s="17">
        <f>JU19*(1+$BG$29)</f>
        <v>855.19207659032179</v>
      </c>
      <c r="JW19" s="17">
        <f>JV19*(1+$BG$29)</f>
        <v>846.64015582441857</v>
      </c>
      <c r="JX19" s="17">
        <f>JW19*(1+$BG$29)</f>
        <v>838.17375426617434</v>
      </c>
      <c r="JY19" s="17">
        <f>JX19*(1+$BG$29)</f>
        <v>829.79201672351257</v>
      </c>
      <c r="JZ19" s="17">
        <f>JY19*(1+$BG$29)</f>
        <v>821.49409655627744</v>
      </c>
      <c r="KA19" s="17">
        <f>JZ19*(1+$BG$29)</f>
        <v>813.27915559071471</v>
      </c>
      <c r="KB19" s="17">
        <f>KA19*(1+$BG$29)</f>
        <v>805.14636403480756</v>
      </c>
      <c r="KC19" s="17">
        <f>KB19*(1+$BG$29)</f>
        <v>797.0949003944595</v>
      </c>
      <c r="KD19" s="17">
        <f>KC19*(1+$BG$29)</f>
        <v>789.12395139051489</v>
      </c>
      <c r="KE19" s="17">
        <f>KD19*(1+$BG$29)</f>
        <v>781.23271187660976</v>
      </c>
      <c r="KF19" s="17">
        <f>KE19*(1+$BG$29)</f>
        <v>773.42038475784364</v>
      </c>
      <c r="KG19" s="17">
        <f>KF19*(1+$BG$29)</f>
        <v>765.68618091026519</v>
      </c>
      <c r="KH19" s="17">
        <f>KG19*(1+$BG$29)</f>
        <v>758.02931910116251</v>
      </c>
      <c r="KI19" s="17">
        <f>KH19*(1+$BG$29)</f>
        <v>750.44902591015091</v>
      </c>
      <c r="KJ19" s="17">
        <f>KI19*(1+$BG$29)</f>
        <v>742.94453565104936</v>
      </c>
      <c r="KK19" s="17">
        <f>KJ19*(1+$BG$29)</f>
        <v>735.51509029453882</v>
      </c>
      <c r="KL19" s="17">
        <f>KK19*(1+$BG$29)</f>
        <v>728.15993939159341</v>
      </c>
      <c r="KM19" s="17">
        <f>KL19*(1+$BG$29)</f>
        <v>720.87833999767747</v>
      </c>
      <c r="KN19" s="17">
        <f>KM19*(1+$BG$29)</f>
        <v>713.66955659770065</v>
      </c>
      <c r="KO19" s="17">
        <f>KN19*(1+$BG$29)</f>
        <v>706.53286103172366</v>
      </c>
      <c r="KP19" s="17">
        <f>KO19*(1+$BG$29)</f>
        <v>699.46753242140642</v>
      </c>
      <c r="KQ19" s="17">
        <f>KP19*(1+$BG$29)</f>
        <v>692.47285709719233</v>
      </c>
      <c r="KR19" s="17">
        <f>KQ19*(1+$BG$29)</f>
        <v>685.54812852622035</v>
      </c>
      <c r="KS19" s="17">
        <f>KR19*(1+$BG$29)</f>
        <v>678.69264724095819</v>
      </c>
      <c r="KT19" s="17">
        <f>KS19*(1+$BG$29)</f>
        <v>671.90572076854858</v>
      </c>
      <c r="KU19" s="17">
        <f>KT19*(1+$BG$29)</f>
        <v>665.18666356086305</v>
      </c>
      <c r="KV19" s="17">
        <f>KU19*(1+$BG$29)</f>
        <v>658.53479692525445</v>
      </c>
      <c r="KW19" s="17">
        <f>KV19*(1+$BG$29)</f>
        <v>651.9494489560019</v>
      </c>
      <c r="KX19" s="17">
        <f>KW19*(1+$BG$29)</f>
        <v>645.42995446644193</v>
      </c>
      <c r="KY19" s="17">
        <f>KX19*(1+$BG$29)</f>
        <v>638.9756549217775</v>
      </c>
      <c r="KZ19" s="17">
        <f>KY19*(1+$BG$29)</f>
        <v>632.58589837255977</v>
      </c>
      <c r="LA19" s="17">
        <f>KZ19*(1+$BG$29)</f>
        <v>626.26003938883412</v>
      </c>
      <c r="LB19" s="17">
        <f>LA19*(1+$BG$29)</f>
        <v>619.99743899494581</v>
      </c>
      <c r="LC19" s="17">
        <f>LB19*(1+$BG$29)</f>
        <v>613.79746460499632</v>
      </c>
      <c r="LD19" s="17">
        <f>LC19*(1+$BG$29)</f>
        <v>607.65948995894632</v>
      </c>
      <c r="LE19" s="17">
        <f>LD19*(1+$BG$29)</f>
        <v>601.58289505935682</v>
      </c>
      <c r="LF19" s="17">
        <f>LE19*(1+$BG$29)</f>
        <v>595.56706610876324</v>
      </c>
      <c r="LG19" s="17">
        <f>LF19*(1+$BG$29)</f>
        <v>589.61139544767559</v>
      </c>
      <c r="LH19" s="17">
        <f>LG19*(1+$BG$29)</f>
        <v>583.71528149319886</v>
      </c>
      <c r="LI19" s="17">
        <f>LH19*(1+$BG$29)</f>
        <v>577.87812867826688</v>
      </c>
      <c r="LJ19" s="17">
        <f>LI19*(1+$BG$29)</f>
        <v>572.09934739148423</v>
      </c>
      <c r="LK19" s="17">
        <f>LJ19*(1+$BG$29)</f>
        <v>566.37835391756937</v>
      </c>
      <c r="LL19" s="17">
        <f>LK19*(1+$BG$29)</f>
        <v>560.71457037839366</v>
      </c>
      <c r="LM19" s="17">
        <f>LL19*(1+$BG$29)</f>
        <v>555.10742467460977</v>
      </c>
      <c r="LN19" s="17">
        <f>LM19*(1+$BG$29)</f>
        <v>549.55635042786366</v>
      </c>
      <c r="LO19" s="17">
        <f>LN19*(1+$BG$29)</f>
        <v>544.06078692358506</v>
      </c>
      <c r="LP19" s="17">
        <f>LO19*(1+$BG$29)</f>
        <v>538.62017905434925</v>
      </c>
      <c r="LQ19" s="17">
        <f>LP19*(1+$BG$29)</f>
        <v>533.23397726380574</v>
      </c>
      <c r="LR19" s="17">
        <f>LQ19*(1+$BG$29)</f>
        <v>527.90163749116766</v>
      </c>
      <c r="LS19" s="17">
        <f>LR19*(1+$BG$29)</f>
        <v>522.62262111625603</v>
      </c>
      <c r="LT19" s="17">
        <f>LS19*(1+$BG$29)</f>
        <v>517.39639490509342</v>
      </c>
      <c r="LU19" s="17">
        <f>LT19*(1+$BG$29)</f>
        <v>512.22243095604244</v>
      </c>
      <c r="LV19" s="17">
        <f>LU19*(1+$BG$29)</f>
        <v>507.10020664648204</v>
      </c>
      <c r="LW19" s="17">
        <f>LV19*(1+$BG$29)</f>
        <v>502.02920458001722</v>
      </c>
      <c r="LX19" s="17">
        <f>LW19*(1+$BG$29)</f>
        <v>497.00891253421702</v>
      </c>
      <c r="LY19" s="17">
        <f>LX19*(1+$BG$29)</f>
        <v>492.03882340887486</v>
      </c>
      <c r="LZ19" s="17">
        <f>LY19*(1+$BG$29)</f>
        <v>487.1184351747861</v>
      </c>
      <c r="MA19" s="17">
        <f>LZ19*(1+$BG$29)</f>
        <v>482.24725082303826</v>
      </c>
      <c r="MB19" s="17">
        <f>MA19*(1+$BG$29)</f>
        <v>477.4247783148079</v>
      </c>
      <c r="MC19" s="17">
        <f>MB19*(1+$BG$29)</f>
        <v>472.6505305316598</v>
      </c>
      <c r="MD19" s="17">
        <f>MC19*(1+$BG$29)</f>
        <v>467.92402522634319</v>
      </c>
      <c r="ME19" s="17">
        <f>MD19*(1+$BG$29)</f>
        <v>463.24478497407978</v>
      </c>
      <c r="MF19" s="17">
        <f>ME19*(1+$BG$29)</f>
        <v>458.61233712433898</v>
      </c>
      <c r="MG19" s="17">
        <f>MF19*(1+$BG$29)</f>
        <v>454.02621375309559</v>
      </c>
      <c r="MH19" s="17">
        <f>MG19*(1+$BG$29)</f>
        <v>449.4859516155646</v>
      </c>
      <c r="MI19" s="17">
        <f>MH19*(1+$BG$29)</f>
        <v>444.99109209940895</v>
      </c>
      <c r="MJ19" s="17">
        <f>MI19*(1+$BG$29)</f>
        <v>440.54118117841483</v>
      </c>
      <c r="MK19" s="17">
        <f>MJ19*(1+$BG$29)</f>
        <v>436.13576936663065</v>
      </c>
      <c r="ML19" s="17">
        <f>MK19*(1+$BG$29)</f>
        <v>431.77441167296433</v>
      </c>
      <c r="MM19" s="17">
        <f>ML19*(1+$BG$29)</f>
        <v>427.45666755623466</v>
      </c>
      <c r="MN19" s="17">
        <f>MM19*(1+$BG$29)</f>
        <v>423.18210088067229</v>
      </c>
      <c r="MO19" s="17">
        <f>MN19*(1+$BG$29)</f>
        <v>418.95027987186558</v>
      </c>
      <c r="MP19" s="17">
        <f>MO19*(1+$BG$29)</f>
        <v>414.76077707314693</v>
      </c>
      <c r="MQ19" s="17">
        <f>MP19*(1+$BG$29)</f>
        <v>410.61316930241543</v>
      </c>
      <c r="MR19" s="17">
        <f>MQ19*(1+$BG$29)</f>
        <v>406.50703760939126</v>
      </c>
      <c r="MS19" s="17">
        <f>MR19*(1+$BG$29)</f>
        <v>402.44196723329736</v>
      </c>
      <c r="MT19" s="17">
        <f>MS19*(1+$BG$29)</f>
        <v>398.41754756096441</v>
      </c>
      <c r="MU19" s="17">
        <f>MT19*(1+$BG$29)</f>
        <v>394.43337208535473</v>
      </c>
      <c r="MV19" s="17">
        <f>MU19*(1+$BG$29)</f>
        <v>390.4890383645012</v>
      </c>
      <c r="MW19" s="17">
        <f>MV19*(1+$BG$29)</f>
        <v>386.58414798085619</v>
      </c>
      <c r="MX19" s="17">
        <f>MW19*(1+$BG$29)</f>
        <v>382.71830650104761</v>
      </c>
      <c r="MY19" s="17">
        <f>MX19*(1+$BG$29)</f>
        <v>378.89112343603711</v>
      </c>
      <c r="MZ19" s="17">
        <f>MY19*(1+$BG$29)</f>
        <v>375.10221220167671</v>
      </c>
      <c r="NA19" s="17">
        <f>MZ19*(1+$BG$29)</f>
        <v>371.35119007965994</v>
      </c>
      <c r="NB19" s="17">
        <f>NA19*(1+$BG$29)</f>
        <v>367.63767817886333</v>
      </c>
      <c r="NC19" s="17">
        <f>NB19*(1+$BG$29)</f>
        <v>363.96130139707469</v>
      </c>
      <c r="ND19" s="17">
        <f>NC19*(1+$BG$29)</f>
        <v>360.32168838310395</v>
      </c>
      <c r="NE19" s="17">
        <f>ND19*(1+$BG$29)</f>
        <v>356.71847149927288</v>
      </c>
      <c r="NF19" s="17">
        <f>NE19*(1+$BG$29)</f>
        <v>353.15128678428016</v>
      </c>
      <c r="NG19" s="17">
        <f>NF19*(1+$BG$29)</f>
        <v>349.61977391643734</v>
      </c>
      <c r="NH19" s="17">
        <f>NG19*(1+$BG$29)</f>
        <v>346.12357617727298</v>
      </c>
      <c r="NI19" s="17">
        <f>NH19*(1+$BG$29)</f>
        <v>342.66234041550024</v>
      </c>
      <c r="NJ19" s="17">
        <f>NI19*(1+$BG$29)</f>
        <v>339.23571701134523</v>
      </c>
      <c r="NK19" s="17">
        <f>NJ19*(1+$BG$29)</f>
        <v>335.8433598412318</v>
      </c>
      <c r="NL19" s="17">
        <f>NK19*(1+$BG$29)</f>
        <v>332.48492624281948</v>
      </c>
      <c r="NM19" s="17">
        <f>NL19*(1+$BG$29)</f>
        <v>329.1600769803913</v>
      </c>
      <c r="NN19" s="17">
        <f>NM19*(1+$BG$29)</f>
        <v>325.8684762105874</v>
      </c>
      <c r="NO19" s="17">
        <f>NN19*(1+$BG$29)</f>
        <v>322.60979144848153</v>
      </c>
      <c r="NP19" s="17">
        <f>NO19*(1+$BG$29)</f>
        <v>319.38369353399673</v>
      </c>
      <c r="NQ19" s="17">
        <f>NP19*(1+$BG$29)</f>
        <v>316.18985659865677</v>
      </c>
      <c r="NR19" s="17">
        <f>NQ19*(1+$BG$29)</f>
        <v>313.0279580326702</v>
      </c>
      <c r="NS19" s="17">
        <f>NR19*(1+$BG$29)</f>
        <v>309.89767845234348</v>
      </c>
      <c r="NT19" s="17">
        <f>NS19*(1+$BG$29)</f>
        <v>306.79870166782007</v>
      </c>
      <c r="NU19" s="17">
        <f>NT19*(1+$BG$29)</f>
        <v>303.73071465114185</v>
      </c>
      <c r="NV19" s="17">
        <f>NU19*(1+$BG$29)</f>
        <v>300.69340750463044</v>
      </c>
      <c r="NW19" s="17">
        <f>NV19*(1+$BG$29)</f>
        <v>297.68647342958411</v>
      </c>
      <c r="NX19" s="17">
        <f>NW19*(1+$BG$29)</f>
        <v>294.7096086952883</v>
      </c>
      <c r="NY19" s="17">
        <f>NX19*(1+$BG$29)</f>
        <v>291.76251260833538</v>
      </c>
      <c r="NZ19" s="17">
        <f>NY19*(1+$BG$29)</f>
        <v>288.84488748225203</v>
      </c>
      <c r="OA19" s="17">
        <f>NZ19*(1+$BG$29)</f>
        <v>285.9564386074295</v>
      </c>
      <c r="OB19" s="17">
        <f>OA19*(1+$BG$29)</f>
        <v>283.09687422135522</v>
      </c>
      <c r="OC19" s="17">
        <f>OB19*(1+$BG$29)</f>
        <v>280.26590547914168</v>
      </c>
    </row>
    <row r="20" spans="1:393" x14ac:dyDescent="0.25">
      <c r="B20" s="4" t="s">
        <v>3</v>
      </c>
      <c r="C20" s="15">
        <v>1470.5</v>
      </c>
      <c r="D20" s="15">
        <v>1464.8</v>
      </c>
      <c r="E20" s="15">
        <v>1459.4</v>
      </c>
      <c r="F20" s="15">
        <v>1451.2</v>
      </c>
      <c r="G20" s="15">
        <v>1434.6</v>
      </c>
      <c r="H20" s="15">
        <v>1406.6</v>
      </c>
      <c r="I20" s="15">
        <v>1388.5</v>
      </c>
      <c r="J20" s="15">
        <v>1348.7</v>
      </c>
      <c r="K20" s="15">
        <v>1253.4000000000001</v>
      </c>
      <c r="L20" s="15">
        <v>1250.7</v>
      </c>
      <c r="M20" s="15">
        <v>1223</v>
      </c>
      <c r="N20" s="15">
        <v>1205.5999999999999</v>
      </c>
      <c r="O20" s="15">
        <v>1191</v>
      </c>
      <c r="P20" s="15">
        <v>1180.7</v>
      </c>
      <c r="Q20" s="15">
        <v>1168.5</v>
      </c>
      <c r="R20" s="15">
        <v>1179</v>
      </c>
      <c r="S20" s="15">
        <v>1183</v>
      </c>
      <c r="T20" s="15">
        <v>1184.8</v>
      </c>
      <c r="U20" s="15">
        <v>1186.2</v>
      </c>
      <c r="V20" s="15">
        <v>1187.9000000000001</v>
      </c>
      <c r="W20" s="15">
        <v>1176.5999999999999</v>
      </c>
      <c r="X20" s="15">
        <v>1153.9000000000001</v>
      </c>
      <c r="Y20" s="15">
        <v>1151</v>
      </c>
      <c r="Z20" s="15">
        <v>1152.5</v>
      </c>
      <c r="AA20" s="15">
        <v>1152.9000000000001</v>
      </c>
      <c r="AB20" s="15">
        <v>1152.7</v>
      </c>
      <c r="AC20" s="15">
        <v>1150.5</v>
      </c>
      <c r="AD20" s="15">
        <v>1149.4000000000001</v>
      </c>
      <c r="AE20" s="15">
        <v>1140.5999999999999</v>
      </c>
      <c r="AF20" s="15">
        <f>AB20*0.99</f>
        <v>1141.173</v>
      </c>
      <c r="AG20" s="15">
        <f t="shared" ref="AG20:AH20" si="97">AC20*0.99</f>
        <v>1138.9949999999999</v>
      </c>
      <c r="AH20" s="15">
        <f t="shared" si="97"/>
        <v>1137.9060000000002</v>
      </c>
      <c r="AO20" s="15">
        <f>F20</f>
        <v>1451.2</v>
      </c>
      <c r="AP20" s="15">
        <f>J20</f>
        <v>1348.7</v>
      </c>
      <c r="AQ20" s="15">
        <f>N20</f>
        <v>1205.5999999999999</v>
      </c>
      <c r="AR20" s="15">
        <f>R20</f>
        <v>1179</v>
      </c>
      <c r="AS20" s="15">
        <f>V20</f>
        <v>1187.9000000000001</v>
      </c>
      <c r="AT20" s="15">
        <f>Z20</f>
        <v>1152.5</v>
      </c>
      <c r="AU20" s="15">
        <f>AD20</f>
        <v>1149.4000000000001</v>
      </c>
      <c r="AV20" s="15">
        <f>AH20</f>
        <v>1137.9060000000002</v>
      </c>
      <c r="AW20" s="15">
        <f t="shared" ref="AW20" si="98">AV20*0.99</f>
        <v>1126.5269400000002</v>
      </c>
      <c r="AX20" s="15">
        <f>AW20*0.99</f>
        <v>1115.2616706000001</v>
      </c>
      <c r="AY20" s="15">
        <f t="shared" ref="AY20:AZ20" si="99">AX20*0.99</f>
        <v>1104.109053894</v>
      </c>
      <c r="AZ20" s="15">
        <f t="shared" si="99"/>
        <v>1093.0679633550601</v>
      </c>
    </row>
    <row r="21" spans="1:393" x14ac:dyDescent="0.25">
      <c r="B21" s="4" t="s">
        <v>37</v>
      </c>
      <c r="C21" s="8">
        <f t="shared" ref="C21:R21" si="100">C19/C20</f>
        <v>0.68085685141108443</v>
      </c>
      <c r="D21" s="8">
        <f t="shared" si="100"/>
        <v>0.61878754778809331</v>
      </c>
      <c r="E21" s="8">
        <f t="shared" si="100"/>
        <v>0.72913526106619153</v>
      </c>
      <c r="F21" s="8">
        <f t="shared" si="100"/>
        <v>0.74283351708930556</v>
      </c>
      <c r="G21" s="8">
        <f t="shared" si="100"/>
        <v>1.7680886658301966</v>
      </c>
      <c r="H21" s="8">
        <f t="shared" si="100"/>
        <v>0.80058296601734724</v>
      </c>
      <c r="I21" s="8">
        <f t="shared" si="100"/>
        <v>0.86344976593446188</v>
      </c>
      <c r="J21" s="8">
        <f t="shared" si="100"/>
        <v>0.83650923111144115</v>
      </c>
      <c r="K21" s="8">
        <f t="shared" si="100"/>
        <v>0.90713259932982315</v>
      </c>
      <c r="L21" s="8">
        <f t="shared" si="100"/>
        <v>0.84568641560725955</v>
      </c>
      <c r="M21" s="8">
        <f t="shared" si="100"/>
        <v>1.4341782502044151</v>
      </c>
      <c r="N21" s="8">
        <f t="shared" si="100"/>
        <v>0.96134704711347041</v>
      </c>
      <c r="O21" s="8">
        <f t="shared" si="100"/>
        <v>1.0433249370277069</v>
      </c>
      <c r="P21" s="8">
        <f t="shared" si="100"/>
        <v>0.57626831540611489</v>
      </c>
      <c r="Q21" s="8">
        <f t="shared" si="100"/>
        <v>-0.20453572956782187</v>
      </c>
      <c r="R21" s="8">
        <f t="shared" si="100"/>
        <v>0.80627650551314667</v>
      </c>
      <c r="S21" s="8">
        <f>S19/S20</f>
        <v>0.89644970414201264</v>
      </c>
      <c r="T21" s="8">
        <f t="shared" ref="T21:AH21" si="101">T19/T20</f>
        <v>0.885465901417961</v>
      </c>
      <c r="U21" s="8">
        <f t="shared" si="101"/>
        <v>1.2883999325577471</v>
      </c>
      <c r="V21" s="8">
        <f t="shared" si="101"/>
        <v>1.8307938378651405</v>
      </c>
      <c r="W21" s="8">
        <f t="shared" si="101"/>
        <v>0.99830018697943246</v>
      </c>
      <c r="X21" s="8">
        <f t="shared" si="101"/>
        <v>0.90744431926510061</v>
      </c>
      <c r="Y21" s="8">
        <f t="shared" si="101"/>
        <v>1.1159860990443096</v>
      </c>
      <c r="Z21" s="8">
        <f t="shared" si="101"/>
        <v>1.1028199566160517</v>
      </c>
      <c r="AA21" s="8">
        <f t="shared" si="101"/>
        <v>1.0305317026628498</v>
      </c>
      <c r="AB21" s="8">
        <f t="shared" si="101"/>
        <v>1.0130129261733323</v>
      </c>
      <c r="AC21" s="8">
        <f t="shared" si="101"/>
        <v>1.2961321164710993</v>
      </c>
      <c r="AD21" s="8">
        <f t="shared" si="101"/>
        <v>1.3665390638594046</v>
      </c>
      <c r="AE21" s="8">
        <f t="shared" si="101"/>
        <v>1.2183938278099242</v>
      </c>
      <c r="AF21" s="8">
        <f t="shared" si="101"/>
        <v>1.041955181203903</v>
      </c>
      <c r="AG21" s="8">
        <f t="shared" si="101"/>
        <v>1.3666900469273344</v>
      </c>
      <c r="AH21" s="8">
        <f t="shared" si="101"/>
        <v>1.4628273512926369</v>
      </c>
      <c r="AI21" s="8"/>
      <c r="AJ21" s="8"/>
      <c r="AK21" s="8"/>
      <c r="AL21" s="8"/>
      <c r="AO21" s="8">
        <f t="shared" ref="AO21" si="102">AO19/AO20</f>
        <v>2.790587100330761</v>
      </c>
      <c r="AP21" s="8">
        <f t="shared" ref="AP21" si="103">AP19/AP20</f>
        <v>4.4410914213687258</v>
      </c>
      <c r="AQ21" s="8">
        <f t="shared" ref="AQ21" si="104">AQ19/AQ20</f>
        <v>4.236645653616459</v>
      </c>
      <c r="AR21" s="8">
        <f t="shared" ref="AR21" si="105">AR19/AR20</f>
        <v>2.2346055979643786</v>
      </c>
      <c r="AS21" s="8">
        <f t="shared" ref="AS21" si="106">AS19/AS20</f>
        <v>4.893257008165671</v>
      </c>
      <c r="AT21" s="8">
        <f t="shared" ref="AT21" si="107">AT19/AT20</f>
        <v>4.1450759219088926</v>
      </c>
      <c r="AU21" s="8">
        <f t="shared" ref="AU21" si="108">AU19/AU20</f>
        <v>4.7135026970593366</v>
      </c>
      <c r="AV21" s="8">
        <f t="shared" ref="AV21" si="109">AV19/AV20</f>
        <v>5.0970504329883184</v>
      </c>
      <c r="AW21" s="8">
        <f t="shared" ref="AW21:AZ21" si="110">AW19/AW20</f>
        <v>5.8873703706305331</v>
      </c>
      <c r="AX21" s="8">
        <f t="shared" si="110"/>
        <v>6.4929392065240847</v>
      </c>
      <c r="AY21" s="8">
        <f t="shared" si="110"/>
        <v>7.1598965098830938</v>
      </c>
      <c r="AZ21" s="8">
        <f t="shared" si="110"/>
        <v>7.8944475783946411</v>
      </c>
    </row>
    <row r="22" spans="1:393" x14ac:dyDescent="0.25">
      <c r="V22" s="20"/>
      <c r="AA22" s="20"/>
      <c r="AB22" s="20"/>
      <c r="AT22" s="20"/>
      <c r="AU22" s="8"/>
    </row>
    <row r="23" spans="1:393" x14ac:dyDescent="0.25">
      <c r="B23" s="4" t="s">
        <v>54</v>
      </c>
      <c r="C23" s="8">
        <v>0.25</v>
      </c>
      <c r="D23" s="8">
        <v>0.25</v>
      </c>
      <c r="E23" s="8">
        <v>0.25</v>
      </c>
      <c r="F23" s="8">
        <v>0.3</v>
      </c>
      <c r="G23" s="8">
        <v>0.3</v>
      </c>
      <c r="H23" s="8">
        <v>0.3</v>
      </c>
      <c r="I23" s="8">
        <v>0.36</v>
      </c>
      <c r="J23" s="8">
        <v>0.36</v>
      </c>
      <c r="K23" s="8">
        <v>0.36</v>
      </c>
      <c r="L23" s="8">
        <v>0.36</v>
      </c>
      <c r="M23" s="8">
        <v>0.36</v>
      </c>
      <c r="N23" s="8">
        <v>0.41</v>
      </c>
      <c r="O23" s="8">
        <v>0.41</v>
      </c>
      <c r="P23" s="8">
        <v>0.41</v>
      </c>
      <c r="Q23" s="8">
        <v>0.41</v>
      </c>
      <c r="R23" s="8">
        <v>0.45</v>
      </c>
      <c r="S23" s="8">
        <v>0.45</v>
      </c>
      <c r="T23" s="8">
        <v>0.45</v>
      </c>
      <c r="U23" s="8">
        <v>0.45</v>
      </c>
      <c r="V23" s="8">
        <v>0.49</v>
      </c>
      <c r="W23" s="8">
        <v>0.49</v>
      </c>
      <c r="X23" s="8">
        <v>0.49</v>
      </c>
      <c r="Y23" s="8">
        <v>0.49</v>
      </c>
      <c r="Z23" s="8">
        <v>0.53</v>
      </c>
      <c r="AA23" s="8">
        <v>0.53</v>
      </c>
      <c r="AB23" s="8">
        <v>0.53</v>
      </c>
      <c r="AC23" s="8">
        <v>0.53</v>
      </c>
      <c r="AD23" s="8">
        <v>0.56999999999999995</v>
      </c>
      <c r="AE23" s="8">
        <v>0.56999999999999995</v>
      </c>
      <c r="AF23" s="8">
        <f>AB23*1.08</f>
        <v>0.57240000000000002</v>
      </c>
      <c r="AG23" s="8">
        <f>AC23*1.08</f>
        <v>0.57240000000000002</v>
      </c>
      <c r="AH23" s="8">
        <f>AD23*1.08</f>
        <v>0.61560000000000004</v>
      </c>
      <c r="AI23" s="8"/>
      <c r="AJ23" s="8"/>
      <c r="AK23" s="8"/>
      <c r="AL23" s="8"/>
      <c r="AO23" s="8">
        <f>SUM(C23:F23)</f>
        <v>1.05</v>
      </c>
      <c r="AP23" s="8">
        <f>SUM(G23:J23)</f>
        <v>1.3199999999999998</v>
      </c>
      <c r="AQ23" s="8">
        <f>SUM(K23:N23)</f>
        <v>1.49</v>
      </c>
      <c r="AR23" s="8">
        <f>SUM(O23:R23)</f>
        <v>1.68</v>
      </c>
      <c r="AS23" s="8">
        <f>SUM(S23:V23)</f>
        <v>1.84</v>
      </c>
      <c r="AT23" s="8">
        <f>SUM(W23:Z23)</f>
        <v>2</v>
      </c>
      <c r="AU23" s="8">
        <f>SUM(AA23:AD23)</f>
        <v>2.16</v>
      </c>
      <c r="AV23" s="8">
        <f>SUM(AE23:AH23)</f>
        <v>2.3304</v>
      </c>
      <c r="AW23" s="8">
        <f>AV23*1.08</f>
        <v>2.5168320000000004</v>
      </c>
      <c r="AX23" s="8">
        <f t="shared" ref="AX23:AZ23" si="111">AW23*1.08</f>
        <v>2.7181785600000006</v>
      </c>
      <c r="AY23" s="8">
        <f t="shared" si="111"/>
        <v>2.9356328448000006</v>
      </c>
      <c r="AZ23" s="8">
        <f t="shared" si="111"/>
        <v>3.1704834723840007</v>
      </c>
    </row>
    <row r="24" spans="1:393" x14ac:dyDescent="0.25">
      <c r="B24" s="4" t="s">
        <v>63</v>
      </c>
      <c r="G24" s="19">
        <f t="shared" ref="G24" si="112">G23/C23-1</f>
        <v>0.19999999999999996</v>
      </c>
      <c r="H24" s="19">
        <f t="shared" ref="H24" si="113">H23/D23-1</f>
        <v>0.19999999999999996</v>
      </c>
      <c r="I24" s="19">
        <f t="shared" ref="I24" si="114">I23/E23-1</f>
        <v>0.43999999999999995</v>
      </c>
      <c r="J24" s="19">
        <f t="shared" ref="J24" si="115">J23/F23-1</f>
        <v>0.19999999999999996</v>
      </c>
      <c r="K24" s="19">
        <f t="shared" ref="K24" si="116">K23/G23-1</f>
        <v>0.19999999999999996</v>
      </c>
      <c r="L24" s="19">
        <f t="shared" ref="L24" si="117">L23/H23-1</f>
        <v>0.19999999999999996</v>
      </c>
      <c r="M24" s="19">
        <f t="shared" ref="M24" si="118">M23/I23-1</f>
        <v>0</v>
      </c>
      <c r="N24" s="19">
        <f t="shared" ref="N24:Q24" si="119">N23/J23-1</f>
        <v>0.13888888888888884</v>
      </c>
      <c r="O24" s="19">
        <f t="shared" si="119"/>
        <v>0.13888888888888884</v>
      </c>
      <c r="P24" s="19">
        <f t="shared" si="119"/>
        <v>0.13888888888888884</v>
      </c>
      <c r="Q24" s="19">
        <f t="shared" si="119"/>
        <v>0.13888888888888884</v>
      </c>
      <c r="R24" s="19">
        <f>R23/N23-1</f>
        <v>9.7560975609756184E-2</v>
      </c>
      <c r="S24" s="19">
        <f>S23/O23-1</f>
        <v>9.7560975609756184E-2</v>
      </c>
      <c r="T24" s="19">
        <f t="shared" ref="T24:AH24" si="120">T23/P23-1</f>
        <v>9.7560975609756184E-2</v>
      </c>
      <c r="U24" s="19">
        <f t="shared" si="120"/>
        <v>9.7560975609756184E-2</v>
      </c>
      <c r="V24" s="19">
        <f t="shared" si="120"/>
        <v>8.8888888888888795E-2</v>
      </c>
      <c r="W24" s="19">
        <f t="shared" si="120"/>
        <v>8.8888888888888795E-2</v>
      </c>
      <c r="X24" s="19">
        <f t="shared" si="120"/>
        <v>8.8888888888888795E-2</v>
      </c>
      <c r="Y24" s="19">
        <f t="shared" si="120"/>
        <v>8.8888888888888795E-2</v>
      </c>
      <c r="Z24" s="19">
        <f t="shared" si="120"/>
        <v>8.163265306122458E-2</v>
      </c>
      <c r="AA24" s="19">
        <f t="shared" si="120"/>
        <v>8.163265306122458E-2</v>
      </c>
      <c r="AB24" s="19">
        <f t="shared" si="120"/>
        <v>8.163265306122458E-2</v>
      </c>
      <c r="AC24" s="19">
        <f t="shared" si="120"/>
        <v>8.163265306122458E-2</v>
      </c>
      <c r="AD24" s="19">
        <f t="shared" si="120"/>
        <v>7.5471698113207308E-2</v>
      </c>
      <c r="AE24" s="19">
        <f t="shared" si="120"/>
        <v>7.5471698113207308E-2</v>
      </c>
      <c r="AF24" s="19">
        <f t="shared" si="120"/>
        <v>8.0000000000000071E-2</v>
      </c>
      <c r="AG24" s="19">
        <f t="shared" si="120"/>
        <v>8.0000000000000071E-2</v>
      </c>
      <c r="AH24" s="19">
        <f t="shared" si="120"/>
        <v>8.0000000000000071E-2</v>
      </c>
      <c r="AI24" s="19"/>
      <c r="AJ24" s="19"/>
      <c r="AK24" s="19"/>
      <c r="AL24" s="19"/>
      <c r="AP24" s="19">
        <f>AP23/AO23-1</f>
        <v>0.2571428571428569</v>
      </c>
      <c r="AQ24" s="19">
        <f t="shared" ref="AQ24:AR24" si="121">AQ23/AP23-1</f>
        <v>0.1287878787878789</v>
      </c>
      <c r="AR24" s="19">
        <f t="shared" si="121"/>
        <v>0.12751677852348986</v>
      </c>
      <c r="AS24" s="19">
        <f t="shared" ref="AS24" si="122">AS23/AR23-1</f>
        <v>9.5238095238095344E-2</v>
      </c>
      <c r="AT24" s="19">
        <f t="shared" ref="AT24" si="123">AT23/AS23-1</f>
        <v>8.6956521739130377E-2</v>
      </c>
      <c r="AU24" s="19">
        <f t="shared" ref="AU24" si="124">AU23/AT23-1</f>
        <v>8.0000000000000071E-2</v>
      </c>
      <c r="AV24" s="19">
        <f t="shared" ref="AV24" si="125">AV23/AU23-1</f>
        <v>7.8888888888888786E-2</v>
      </c>
      <c r="AW24" s="19">
        <f t="shared" ref="AW24" si="126">AW23/AV23-1</f>
        <v>8.0000000000000071E-2</v>
      </c>
      <c r="AX24" s="19">
        <f t="shared" ref="AX24" si="127">AX23/AW23-1</f>
        <v>8.0000000000000071E-2</v>
      </c>
      <c r="AY24" s="19">
        <f t="shared" ref="AY24" si="128">AY23/AX23-1</f>
        <v>8.0000000000000071E-2</v>
      </c>
      <c r="AZ24" s="19">
        <f t="shared" ref="AZ24" si="129">AZ23/AY23-1</f>
        <v>8.0000000000000071E-2</v>
      </c>
    </row>
    <row r="25" spans="1:393" x14ac:dyDescent="0.25">
      <c r="K25" s="20"/>
    </row>
    <row r="26" spans="1:393" x14ac:dyDescent="0.25">
      <c r="B26" s="24" t="s">
        <v>93</v>
      </c>
      <c r="G26" s="19">
        <f>G3/C3-1</f>
        <v>6.0971516792338809E-2</v>
      </c>
      <c r="H26" s="19">
        <f>H3/D3-1</f>
        <v>0.15078419221051642</v>
      </c>
      <c r="I26" s="19">
        <f>I3/E3-1</f>
        <v>0.12228875582168985</v>
      </c>
      <c r="J26" s="19">
        <f>J3/F3-1</f>
        <v>0.13024346660710306</v>
      </c>
      <c r="K26" s="19">
        <f>K3/G3-1</f>
        <v>0.13254460331519669</v>
      </c>
      <c r="L26" s="19">
        <f>L3/H3-1</f>
        <v>6.8558409279204646E-2</v>
      </c>
      <c r="M26" s="19">
        <f>M3/I3-1</f>
        <v>9.378705240692442E-2</v>
      </c>
      <c r="N26" s="19">
        <f>N3/J3-1</f>
        <v>8.3002312207268725E-2</v>
      </c>
      <c r="O26" s="19">
        <f>O3/K3-1</f>
        <v>7.6420311714429312E-2</v>
      </c>
      <c r="P26" s="19">
        <f>P3/L3-1</f>
        <v>-7.617755378949409E-2</v>
      </c>
      <c r="Q26" s="19">
        <f>Q3/M3-1</f>
        <v>-0.37770551038843725</v>
      </c>
      <c r="R26" s="19">
        <f>R3/N3-1</f>
        <v>-5.5929636320505072E-2</v>
      </c>
      <c r="S26" s="19">
        <f>S3/O3-1</f>
        <v>-9.3760271247426141E-3</v>
      </c>
      <c r="T26" s="19">
        <f>T3/P3-1</f>
        <v>0.18613092740243409</v>
      </c>
      <c r="U26" s="19">
        <f>U3/Q3-1</f>
        <v>0.84737545000580661</v>
      </c>
      <c r="V26" s="19">
        <f>V3/R3-1</f>
        <v>0.32679372197309409</v>
      </c>
      <c r="W26" s="19">
        <f>W3/S3-1</f>
        <v>0.17391076573823439</v>
      </c>
      <c r="X26" s="19">
        <f>X3/T3-1</f>
        <v>0.11031115671047731</v>
      </c>
      <c r="Y26" s="19">
        <f>Y3/U3-1</f>
        <v>4.9095566626329967E-2</v>
      </c>
      <c r="Z26" s="19">
        <f>Z3/V3-1</f>
        <v>5.4047754323092168E-3</v>
      </c>
      <c r="AA26" s="19">
        <f>AA3/W3-1</f>
        <v>5.3715934785195874E-2</v>
      </c>
      <c r="AB26" s="19">
        <f>AB3/X3-1</f>
        <v>0.13790686188602308</v>
      </c>
      <c r="AC26" s="19">
        <f>AC3/Y3-1</f>
        <v>0.13200509325144183</v>
      </c>
      <c r="AD26" s="19">
        <f>AD3/Z3-1</f>
        <v>0.11280319935085625</v>
      </c>
      <c r="AE26" s="19">
        <f>AE3/AA3-1</f>
        <v>9.4826004094021199E-2</v>
      </c>
      <c r="AF26" s="19">
        <f>AF3/AB3-1</f>
        <v>8.0000000000000071E-2</v>
      </c>
      <c r="AG26" s="19">
        <f>AG3/AC3-1</f>
        <v>9.000000000000008E-2</v>
      </c>
      <c r="AH26" s="19">
        <f>AH3/AD3-1</f>
        <v>9.000000000000008E-2</v>
      </c>
      <c r="AP26" s="19">
        <f>AP3/AO3-1</f>
        <v>0.11555349079639887</v>
      </c>
      <c r="AQ26" s="19">
        <f t="shared" ref="AQ26:AZ26" si="130">AQ3/AP3-1</f>
        <v>9.4163115848920675E-2</v>
      </c>
      <c r="AR26" s="19">
        <f t="shared" si="130"/>
        <v>-0.11045561723696184</v>
      </c>
      <c r="AS26" s="19">
        <f t="shared" si="130"/>
        <v>0.28397522528398556</v>
      </c>
      <c r="AT26" s="19">
        <f t="shared" si="130"/>
        <v>8.001788109074659E-2</v>
      </c>
      <c r="AU26" s="19">
        <f t="shared" si="130"/>
        <v>0.10860927152317879</v>
      </c>
      <c r="AV26" s="19">
        <f t="shared" si="130"/>
        <v>8.8736083957858147E-2</v>
      </c>
      <c r="AW26" s="19">
        <f t="shared" si="130"/>
        <v>9.000000000000008E-2</v>
      </c>
      <c r="AX26" s="19">
        <f t="shared" si="130"/>
        <v>9.000000000000008E-2</v>
      </c>
      <c r="AY26" s="19">
        <f t="shared" si="130"/>
        <v>9.000000000000008E-2</v>
      </c>
      <c r="AZ26" s="19">
        <f t="shared" si="130"/>
        <v>9.000000000000008E-2</v>
      </c>
    </row>
    <row r="27" spans="1:393" x14ac:dyDescent="0.25">
      <c r="B27" s="24" t="s">
        <v>94</v>
      </c>
      <c r="G27" s="19">
        <f>G4/C4-1</f>
        <v>0.13280212483399745</v>
      </c>
      <c r="H27" s="19">
        <f>H4/D4-1</f>
        <v>0.14432046826413014</v>
      </c>
      <c r="I27" s="19">
        <f>I4/E4-1</f>
        <v>0.12289648138704745</v>
      </c>
      <c r="J27" s="19">
        <f>J4/F4-1</f>
        <v>0.1068652849740932</v>
      </c>
      <c r="K27" s="19">
        <f>K4/G4-1</f>
        <v>8.0158264947244984E-2</v>
      </c>
      <c r="L27" s="19">
        <f>L4/H4-1</f>
        <v>8.4079283887467993E-2</v>
      </c>
      <c r="M27" s="19">
        <f>M4/I4-1</f>
        <v>9.7487132909476193E-2</v>
      </c>
      <c r="N27" s="19">
        <f>N4/J4-1</f>
        <v>7.4751316559391379E-2</v>
      </c>
      <c r="O27" s="19">
        <f>O4/K4-1</f>
        <v>7.4481074481074439E-2</v>
      </c>
      <c r="P27" s="19">
        <f>P4/L4-1</f>
        <v>1.7104099085815339E-2</v>
      </c>
      <c r="Q27" s="19">
        <f>Q4/M4-1</f>
        <v>-0.58551724137931038</v>
      </c>
      <c r="R27" s="19">
        <f>R4/N4-1</f>
        <v>-0.2587450660133388</v>
      </c>
      <c r="S27" s="19">
        <f>S4/O4-1</f>
        <v>-0.22500000000000009</v>
      </c>
      <c r="T27" s="19">
        <f>T4/P4-1</f>
        <v>-0.13743113946071317</v>
      </c>
      <c r="U27" s="19">
        <f>U4/Q4-1</f>
        <v>1.2635607321131448</v>
      </c>
      <c r="V27" s="19">
        <f>V4/R4-1</f>
        <v>0.45886889460154245</v>
      </c>
      <c r="W27" s="19">
        <f>W4/S4-1</f>
        <v>0.38611925708699912</v>
      </c>
      <c r="X27" s="19">
        <f>X4/T4-1</f>
        <v>0.42773109243697482</v>
      </c>
      <c r="Y27" s="19">
        <f>Y4/U4-1</f>
        <v>0.40664510438106416</v>
      </c>
      <c r="Z27" s="19">
        <f>Z4/V4-1</f>
        <v>0.25663939584644435</v>
      </c>
      <c r="AA27" s="19">
        <f>AA4/W4-1</f>
        <v>0.31582040432534098</v>
      </c>
      <c r="AB27" s="19">
        <f>AB4/X4-1</f>
        <v>0.25897586815773987</v>
      </c>
      <c r="AC27" s="19">
        <f>AC4/Y4-1</f>
        <v>0.1875</v>
      </c>
      <c r="AD27" s="19">
        <f>AD4/Z4-1</f>
        <v>0.18940304487179493</v>
      </c>
      <c r="AE27" s="19">
        <f>AE4/AA4-1</f>
        <v>6.4850379633764943E-2</v>
      </c>
      <c r="AF27" s="19">
        <f>AF4/AB4-1</f>
        <v>4.0000000000000036E-2</v>
      </c>
      <c r="AG27" s="19">
        <f>AG4/AC4-1</f>
        <v>5.0000000000000044E-2</v>
      </c>
      <c r="AH27" s="19">
        <f>AH4/AD4-1</f>
        <v>5.0000000000000044E-2</v>
      </c>
      <c r="AP27" s="19">
        <f t="shared" ref="AP27:AZ28" si="131">AP4/AO4-1</f>
        <v>0.12619957537154991</v>
      </c>
      <c r="AQ27" s="19">
        <f t="shared" si="131"/>
        <v>8.4005731091169711E-2</v>
      </c>
      <c r="AR27" s="19">
        <f t="shared" si="131"/>
        <v>-0.19064347826086958</v>
      </c>
      <c r="AS27" s="19">
        <f t="shared" si="131"/>
        <v>0.15325110662254504</v>
      </c>
      <c r="AT27" s="19">
        <f t="shared" si="131"/>
        <v>0.36221352711011745</v>
      </c>
      <c r="AU27" s="19">
        <f t="shared" si="131"/>
        <v>0.23449596498427017</v>
      </c>
      <c r="AV27" s="19">
        <f t="shared" si="131"/>
        <v>5.1314069182529343E-2</v>
      </c>
      <c r="AW27" s="19">
        <f t="shared" si="131"/>
        <v>9.000000000000008E-2</v>
      </c>
      <c r="AX27" s="19">
        <f t="shared" si="131"/>
        <v>9.000000000000008E-2</v>
      </c>
      <c r="AY27" s="19">
        <f t="shared" si="131"/>
        <v>9.000000000000008E-2</v>
      </c>
      <c r="AZ27" s="19">
        <f t="shared" si="131"/>
        <v>9.000000000000008E-2</v>
      </c>
    </row>
    <row r="28" spans="1:393" x14ac:dyDescent="0.25">
      <c r="B28" s="24" t="s">
        <v>95</v>
      </c>
      <c r="G28" s="19">
        <f>G5/C5-1</f>
        <v>-1.7695099818511917E-2</v>
      </c>
      <c r="H28" s="19">
        <f>H5/D5-1</f>
        <v>4.7653560427613817E-2</v>
      </c>
      <c r="I28" s="19">
        <f>I5/E5-1</f>
        <v>4.4487770294221685E-2</v>
      </c>
      <c r="J28" s="19">
        <f>J5/F5-1</f>
        <v>-7.2552592347192468E-2</v>
      </c>
      <c r="K28" s="19">
        <f>K5/G5-1</f>
        <v>-0.19122401847575066</v>
      </c>
      <c r="L28" s="19">
        <f>L5/H5-1</f>
        <v>-0.18938083708059505</v>
      </c>
      <c r="M28" s="19">
        <f>M5/I5-1</f>
        <v>-4.4629221109791173E-2</v>
      </c>
      <c r="N28" s="19">
        <f>N5/J5-1</f>
        <v>-4.9473120200035581E-2</v>
      </c>
      <c r="O28" s="19">
        <f>O5/K5-1</f>
        <v>-1.7133066818960652E-3</v>
      </c>
      <c r="P28" s="19">
        <f>P5/L5-1</f>
        <v>0.15190953701728183</v>
      </c>
      <c r="Q28" s="19">
        <f>Q5/M5-1</f>
        <v>-0.1523978685612789</v>
      </c>
      <c r="R28" s="19">
        <f>R5/N5-1</f>
        <v>-8.8876362269823539E-2</v>
      </c>
      <c r="S28" s="19">
        <f>S5/O5-1</f>
        <v>-0.21987032799389772</v>
      </c>
      <c r="T28" s="19">
        <f>T5/P5-1</f>
        <v>-0.22226338210779772</v>
      </c>
      <c r="U28" s="19">
        <f>U5/Q5-1</f>
        <v>-5.0293378038558267E-2</v>
      </c>
      <c r="V28" s="19">
        <f>V5/R5-1</f>
        <v>6.1868426479687599E-3</v>
      </c>
      <c r="W28" s="19">
        <f>W5/S5-1</f>
        <v>0.1664629674896112</v>
      </c>
      <c r="X28" s="19">
        <f>X5/T5-1</f>
        <v>0.21314598713979516</v>
      </c>
      <c r="Y28" s="19">
        <f>Y5/U5-1</f>
        <v>0.14254192409532207</v>
      </c>
      <c r="Z28" s="19">
        <f>Z5/V5-1</f>
        <v>5.4314408690305349E-2</v>
      </c>
      <c r="AA28" s="19">
        <f>AA5/W5-1</f>
        <v>7.0620284995808857E-2</v>
      </c>
      <c r="AB28" s="19">
        <f>AB5/X5-1</f>
        <v>-2.748331370239443E-3</v>
      </c>
      <c r="AC28" s="19">
        <f>AC5/Y5-1</f>
        <v>-8.1884897643877963E-2</v>
      </c>
      <c r="AD28" s="19">
        <f>AD5/Z5-1</f>
        <v>-1.5940902021772896E-2</v>
      </c>
      <c r="AE28" s="19">
        <f>AE5/AA5-1</f>
        <v>-6.4396163632804759E-2</v>
      </c>
      <c r="AF28" s="19">
        <f>AF5/AB5-1</f>
        <v>-6.0000000000000053E-2</v>
      </c>
      <c r="AG28" s="19">
        <f>AG5/AC5-1</f>
        <v>-5.0000000000000044E-2</v>
      </c>
      <c r="AH28" s="19">
        <f>AH5/AD5-1</f>
        <v>-5.0000000000000044E-2</v>
      </c>
      <c r="AP28" s="19">
        <f t="shared" si="131"/>
        <v>-1.7219655606887097E-3</v>
      </c>
      <c r="AQ28" s="19">
        <f t="shared" si="131"/>
        <v>-0.12104001009718557</v>
      </c>
      <c r="AR28" s="19">
        <f t="shared" si="131"/>
        <v>-3.0059352862339517E-2</v>
      </c>
      <c r="AS28" s="19">
        <f t="shared" si="131"/>
        <v>-0.12648045795499419</v>
      </c>
      <c r="AT28" s="19">
        <f t="shared" si="131"/>
        <v>0.14050053669284202</v>
      </c>
      <c r="AU28" s="19">
        <f t="shared" si="131"/>
        <v>-9.0647909649295144E-3</v>
      </c>
      <c r="AV28" s="19">
        <f t="shared" si="131"/>
        <v>-5.6215946013496665E-2</v>
      </c>
      <c r="AW28" s="19">
        <f t="shared" si="131"/>
        <v>9.000000000000008E-2</v>
      </c>
      <c r="AX28" s="19">
        <f t="shared" si="131"/>
        <v>9.000000000000008E-2</v>
      </c>
      <c r="AY28" s="19">
        <f t="shared" si="131"/>
        <v>9.000000000000008E-2</v>
      </c>
      <c r="AZ28" s="19">
        <f t="shared" si="131"/>
        <v>9.000000000000008E-2</v>
      </c>
    </row>
    <row r="29" spans="1:393" s="17" customFormat="1" x14ac:dyDescent="0.25">
      <c r="A29" s="16"/>
      <c r="B29" s="16" t="s">
        <v>55</v>
      </c>
      <c r="G29" s="27">
        <f>G6/C6-1</f>
        <v>5.9446353503462612E-2</v>
      </c>
      <c r="H29" s="27">
        <f>H6/D6-1</f>
        <v>0.1393653192293165</v>
      </c>
      <c r="I29" s="27">
        <f>I6/E6-1</f>
        <v>0.11459860461008575</v>
      </c>
      <c r="J29" s="27">
        <f>J6/F6-1</f>
        <v>0.10622466349613036</v>
      </c>
      <c r="K29" s="27">
        <f>K6/G6-1</f>
        <v>9.203615588521008E-2</v>
      </c>
      <c r="L29" s="27">
        <f>L6/H6-1</f>
        <v>4.5442488146158588E-2</v>
      </c>
      <c r="M29" s="27">
        <f>M6/I6-1</f>
        <v>8.1248118156030502E-2</v>
      </c>
      <c r="N29" s="27">
        <f>N6/J6-1</f>
        <v>7.0340757662288089E-2</v>
      </c>
      <c r="O29" s="27">
        <f>O6/K6-1</f>
        <v>7.0016735266180907E-2</v>
      </c>
      <c r="P29" s="27">
        <f>P6/L6-1</f>
        <v>-4.9192026514851106E-2</v>
      </c>
      <c r="Q29" s="27">
        <f>Q6/M6-1</f>
        <v>-0.38119595485856661</v>
      </c>
      <c r="R29" s="27">
        <f>R6/N6-1</f>
        <v>-8.0613606047131969E-2</v>
      </c>
      <c r="S29" s="27">
        <f>S6/O6-1</f>
        <v>-4.8991841738174613E-2</v>
      </c>
      <c r="T29" s="27">
        <f>T6/P6-1</f>
        <v>0.11213036009139876</v>
      </c>
      <c r="U29" s="27">
        <f>U6/Q6-1</f>
        <v>0.77553823926482068</v>
      </c>
      <c r="V29" s="27">
        <f>V6/R6-1</f>
        <v>0.31332720736405983</v>
      </c>
      <c r="W29" s="27">
        <f>W6/S6-1</f>
        <v>0.19275787477405393</v>
      </c>
      <c r="X29" s="27">
        <f>X6/T6-1</f>
        <v>0.14511097780443905</v>
      </c>
      <c r="Y29" s="27">
        <f>Y6/U6-1</f>
        <v>8.7187354098579473E-2</v>
      </c>
      <c r="Z29" s="27">
        <f>Z6/V6-1</f>
        <v>3.2835381197294566E-2</v>
      </c>
      <c r="AA29" s="27">
        <f>AA6/W6-1</f>
        <v>8.241826493093507E-2</v>
      </c>
      <c r="AB29" s="27">
        <f>AB6/X6-1</f>
        <v>0.14199277070564187</v>
      </c>
      <c r="AC29" s="27">
        <f>AC6/Y6-1</f>
        <v>0.12493098244193312</v>
      </c>
      <c r="AD29" s="27">
        <f>AD6/Z6-1</f>
        <v>0.11402153502412604</v>
      </c>
      <c r="AE29" s="27">
        <f>AE6/AA6-1</f>
        <v>8.1639679133338694E-2</v>
      </c>
      <c r="AF29" s="27">
        <f>AF6/AB6-1</f>
        <v>6.6937773802151712E-2</v>
      </c>
      <c r="AG29" s="27">
        <f>AG6/AC6-1</f>
        <v>7.7783558565928335E-2</v>
      </c>
      <c r="AH29" s="27">
        <f>AH6/AD6-1</f>
        <v>7.7372194247674164E-2</v>
      </c>
      <c r="AI29" s="27"/>
      <c r="AJ29" s="27"/>
      <c r="AK29" s="27"/>
      <c r="AL29" s="27"/>
      <c r="AP29" s="27">
        <f>AP6/AO6-1</f>
        <v>0.10420026176256436</v>
      </c>
      <c r="AQ29" s="27">
        <f>AQ6/AP6-1</f>
        <v>7.2380397582465728E-2</v>
      </c>
      <c r="AR29" s="27">
        <f>AR6/AQ6-1</f>
        <v>-0.11281621813298315</v>
      </c>
      <c r="AS29" s="27">
        <f>AS6/AR6-1</f>
        <v>0.23567480227910509</v>
      </c>
      <c r="AT29" s="27">
        <f>AT6/AS6-1</f>
        <v>0.10976029400631782</v>
      </c>
      <c r="AU29" s="27">
        <f>AU6/AT6-1</f>
        <v>0.11551210376337573</v>
      </c>
      <c r="AV29" s="27">
        <f>AV6/AU6-1</f>
        <v>7.5981581961107159E-2</v>
      </c>
      <c r="AW29" s="27">
        <f>AW6/AV6-1</f>
        <v>9.000000000000008E-2</v>
      </c>
      <c r="AX29" s="27">
        <f>AX6/AW6-1</f>
        <v>8.9999999999999858E-2</v>
      </c>
      <c r="AY29" s="27">
        <f>AY6/AX6-1</f>
        <v>9.000000000000008E-2</v>
      </c>
      <c r="AZ29" s="27">
        <f>AZ6/AY6-1</f>
        <v>9.000000000000008E-2</v>
      </c>
      <c r="BF29" s="16" t="s">
        <v>64</v>
      </c>
      <c r="BG29" s="27">
        <v>-0.01</v>
      </c>
    </row>
    <row r="30" spans="1:393" x14ac:dyDescent="0.25">
      <c r="B30" s="4" t="s">
        <v>56</v>
      </c>
      <c r="G30" s="19">
        <f>G7/C7-1</f>
        <v>9.0588235294117636E-2</v>
      </c>
      <c r="H30" s="19">
        <f>H7/D7-1</f>
        <v>0.17504203250513739</v>
      </c>
      <c r="I30" s="19">
        <f>I7/E7-1</f>
        <v>0.13596549731003527</v>
      </c>
      <c r="J30" s="19">
        <f>J7/F7-1</f>
        <v>-0.14174567407848304</v>
      </c>
      <c r="K30" s="19">
        <f>K7/G7-1</f>
        <v>-0.13068840145431293</v>
      </c>
      <c r="L30" s="19">
        <f>L7/H7-1</f>
        <v>-0.20031796502384736</v>
      </c>
      <c r="M30" s="19">
        <f>M7/I7-1</f>
        <v>-0.13906610826255439</v>
      </c>
      <c r="N30" s="19">
        <f>N7/J7-1</f>
        <v>5.989002823599332E-2</v>
      </c>
      <c r="O30" s="19">
        <f>O7/K7-1</f>
        <v>2.7851824616233145E-2</v>
      </c>
      <c r="P30" s="19">
        <f>P7/L7-1</f>
        <v>-7.107355864811149E-3</v>
      </c>
      <c r="Q30" s="19">
        <f>Q7/M7-1</f>
        <v>-0.32533187852336787</v>
      </c>
      <c r="R30" s="19">
        <f>R7/N7-1</f>
        <v>-7.6088988595999218E-2</v>
      </c>
      <c r="S30" s="19">
        <f>S7/O7-1</f>
        <v>-8.3750670720801335E-2</v>
      </c>
      <c r="T30" s="19">
        <f>T7/P7-1</f>
        <v>-2.653051008659979E-3</v>
      </c>
      <c r="U30" s="19">
        <f>U7/Q7-1</f>
        <v>0.48652291105121304</v>
      </c>
      <c r="V30" s="19">
        <f>V7/R7-1</f>
        <v>0.26016794819910971</v>
      </c>
      <c r="W30" s="19">
        <f>W7/S7-1</f>
        <v>0.23317554048118705</v>
      </c>
      <c r="X30" s="19">
        <f>X7/T7-1</f>
        <v>0.23760289098574594</v>
      </c>
      <c r="Y30" s="19">
        <f>Y7/U7-1</f>
        <v>0.18476881233000908</v>
      </c>
      <c r="Z30" s="19">
        <f>Z7/V7-1</f>
        <v>8.8274256352615321E-2</v>
      </c>
      <c r="AA30" s="19">
        <f>AA7/W7-1</f>
        <v>0.11211365705014043</v>
      </c>
      <c r="AB30" s="19">
        <f>AB7/X7-1</f>
        <v>0.13622353799983755</v>
      </c>
      <c r="AC30" s="19">
        <f>AC7/Y7-1</f>
        <v>9.5883073155800469E-2</v>
      </c>
      <c r="AD30" s="19">
        <f>AD7/Z7-1</f>
        <v>8.1925488749538866E-2</v>
      </c>
      <c r="AE30" s="19">
        <f>AE7/AA7-1</f>
        <v>6.0636253647427196E-2</v>
      </c>
      <c r="AF30" s="19">
        <f>AF7/AB7-1</f>
        <v>0.10000000000000009</v>
      </c>
      <c r="AG30" s="19">
        <f>AG7/AC7-1</f>
        <v>0.10000000000000009</v>
      </c>
      <c r="AH30" s="19">
        <f>AH7/AD7-1</f>
        <v>0.10000000000000009</v>
      </c>
      <c r="AI30" s="19"/>
      <c r="AJ30" s="19"/>
      <c r="AK30" s="19"/>
      <c r="AL30" s="19"/>
      <c r="AP30" s="19">
        <f>AP7/AO7-1</f>
        <v>6.1422533029411142E-2</v>
      </c>
      <c r="AQ30" s="19">
        <f>AQ7/AP7-1</f>
        <v>-0.11107636174094349</v>
      </c>
      <c r="AR30" s="19">
        <f>AR7/AQ7-1</f>
        <v>-9.7584144482232849E-2</v>
      </c>
      <c r="AS30" s="19">
        <f>AS7/AR7-1</f>
        <v>0.13563529090696425</v>
      </c>
      <c r="AT30" s="19">
        <f>AT7/AS7-1</f>
        <v>0.18065822900693473</v>
      </c>
      <c r="AU30" s="19">
        <f>AU7/AT7-1</f>
        <v>0.10583195215802554</v>
      </c>
      <c r="AV30" s="19">
        <f>AV7/AU7-1</f>
        <v>9.0304315815306957E-2</v>
      </c>
      <c r="AW30" s="19">
        <f>AW7/AV7-1</f>
        <v>9.000000000000008E-2</v>
      </c>
      <c r="AX30" s="19">
        <f>AX7/AW7-1</f>
        <v>9.000000000000008E-2</v>
      </c>
      <c r="AY30" s="19">
        <f>AY7/AX7-1</f>
        <v>9.000000000000008E-2</v>
      </c>
      <c r="AZ30" s="19">
        <f>AZ7/AY7-1</f>
        <v>9.000000000000008E-2</v>
      </c>
      <c r="BF30" s="4" t="s">
        <v>65</v>
      </c>
      <c r="BG30" s="19">
        <f>WACC!C18</f>
        <v>7.3566822435085402E-2</v>
      </c>
    </row>
    <row r="31" spans="1:393" x14ac:dyDescent="0.25">
      <c r="B31" s="4" t="s">
        <v>57</v>
      </c>
      <c r="G31" s="19">
        <f>G12/C12-1</f>
        <v>5.4999999999999938E-2</v>
      </c>
      <c r="H31" s="19">
        <f>H12/D12-1</f>
        <v>0.13760437521363333</v>
      </c>
      <c r="I31" s="19">
        <f>I12/E12-1</f>
        <v>0.16471093302804785</v>
      </c>
      <c r="J31" s="19">
        <f>J12/F12-1</f>
        <v>0.4113774398442207</v>
      </c>
      <c r="K31" s="19">
        <f>K12/G12-1</f>
        <v>0.38742968507773412</v>
      </c>
      <c r="L31" s="19">
        <f>L12/H12-1</f>
        <v>0.33047173455809764</v>
      </c>
      <c r="M31" s="19">
        <f>M12/I12-1</f>
        <v>0.30945652619076869</v>
      </c>
      <c r="N31" s="19">
        <f>N12/J12-1</f>
        <v>7.0724656724262536E-2</v>
      </c>
      <c r="O31" s="19">
        <f>O12/K12-1</f>
        <v>7.1861831183756886E-2</v>
      </c>
      <c r="P31" s="19">
        <f>P12/L12-1</f>
        <v>3.9779326364692169E-2</v>
      </c>
      <c r="Q31" s="19">
        <f>Q12/M12-1</f>
        <v>-3.9408250711537751E-2</v>
      </c>
      <c r="R31" s="19">
        <f>R12/N12-1</f>
        <v>-1.1412793373216656E-2</v>
      </c>
      <c r="S31" s="19">
        <f>S12/O12-1</f>
        <v>2.195085629188398E-2</v>
      </c>
      <c r="T31" s="19">
        <f>T12/P12-1</f>
        <v>4.731763318750204E-2</v>
      </c>
      <c r="U31" s="19">
        <f>U12/Q12-1</f>
        <v>0.15039234200501417</v>
      </c>
      <c r="V31" s="19">
        <f>V12/R12-1</f>
        <v>0.20510194581510088</v>
      </c>
      <c r="W31" s="19">
        <f>W12/S12-1</f>
        <v>0.17378759617626471</v>
      </c>
      <c r="X31" s="19">
        <f>X12/T12-1</f>
        <v>0.15479646856668827</v>
      </c>
      <c r="Y31" s="19">
        <f>Y12/U12-1</f>
        <v>0.11069285633420112</v>
      </c>
      <c r="Z31" s="19">
        <f>Z12/V12-1</f>
        <v>8.3075813761845696E-2</v>
      </c>
      <c r="AA31" s="19">
        <f>AA12/W12-1</f>
        <v>8.6405959031657265E-2</v>
      </c>
      <c r="AB31" s="19">
        <f>AB12/X12-1</f>
        <v>0.12434900844044217</v>
      </c>
      <c r="AC31" s="19">
        <f>AC12/Y12-1</f>
        <v>0.13156486507147758</v>
      </c>
      <c r="AD31" s="19">
        <f>AD12/Z12-1</f>
        <v>7.0497883874649503E-2</v>
      </c>
      <c r="AE31" s="19">
        <f>AE12/AA12-1</f>
        <v>6.2712832819106223E-2</v>
      </c>
      <c r="AF31" s="19">
        <f>AF12/AB12-1</f>
        <v>6.0000000000000275E-2</v>
      </c>
      <c r="AG31" s="19">
        <f>AG12/AC12-1</f>
        <v>6.0000000000000053E-2</v>
      </c>
      <c r="AH31" s="19">
        <f>AH12/AD12-1</f>
        <v>6.0000000000000275E-2</v>
      </c>
      <c r="AI31" s="19"/>
      <c r="AJ31" s="19"/>
      <c r="AK31" s="19"/>
      <c r="AL31" s="19"/>
      <c r="AP31" s="19">
        <f>AP12/AO12-1</f>
        <v>0.1933492868312563</v>
      </c>
      <c r="AQ31" s="19">
        <f>AQ12/AP12-1</f>
        <v>0.25964678903636318</v>
      </c>
      <c r="AR31" s="19">
        <f>AR12/AQ12-1</f>
        <v>1.4595548830464766E-2</v>
      </c>
      <c r="AS31" s="19">
        <f>AS12/AR12-1</f>
        <v>0.10478483765729374</v>
      </c>
      <c r="AT31" s="19">
        <f>AT12/AS12-1</f>
        <v>0.12884061027912552</v>
      </c>
      <c r="AU31" s="19">
        <f>AU12/AT12-1</f>
        <v>0.10248824390395805</v>
      </c>
      <c r="AV31" s="19">
        <f>AV12/AU12-1</f>
        <v>6.0670583582848492E-2</v>
      </c>
      <c r="AW31" s="19">
        <f>AW12/AV12-1</f>
        <v>8.9999999999999858E-2</v>
      </c>
      <c r="AX31" s="19">
        <f>AX12/AW12-1</f>
        <v>9.000000000000008E-2</v>
      </c>
      <c r="AY31" s="19">
        <f>AY12/AX12-1</f>
        <v>9.000000000000008E-2</v>
      </c>
      <c r="AZ31" s="19">
        <f>AZ12/AY12-1</f>
        <v>9.0000000000000302E-2</v>
      </c>
      <c r="BF31" s="4" t="s">
        <v>66</v>
      </c>
      <c r="BG31" s="15">
        <f>NPV(BG30,AU19:OC19)</f>
        <v>98842.085560524079</v>
      </c>
    </row>
    <row r="32" spans="1:393" x14ac:dyDescent="0.25">
      <c r="B32" s="4" t="s">
        <v>58</v>
      </c>
      <c r="G32" s="19">
        <f>G19/C19-1</f>
        <v>1.533459848182182</v>
      </c>
      <c r="H32" s="19">
        <f t="shared" ref="H32:S32" si="132">H19/D19-1</f>
        <v>0.24238746690203183</v>
      </c>
      <c r="I32" s="19">
        <f t="shared" si="132"/>
        <v>0.12667982332487582</v>
      </c>
      <c r="J32" s="19">
        <f t="shared" si="132"/>
        <v>4.6567717996289781E-2</v>
      </c>
      <c r="K32" s="19">
        <f t="shared" si="132"/>
        <v>-0.55174452986398559</v>
      </c>
      <c r="L32" s="19">
        <f t="shared" si="132"/>
        <v>-6.0740609182133865E-2</v>
      </c>
      <c r="M32" s="19">
        <f t="shared" si="132"/>
        <v>0.46300775711068431</v>
      </c>
      <c r="N32" s="19">
        <f t="shared" si="132"/>
        <v>2.7300124091472311E-2</v>
      </c>
      <c r="O32" s="19">
        <f t="shared" si="132"/>
        <v>9.2875989445909024E-2</v>
      </c>
      <c r="P32" s="19">
        <f t="shared" si="132"/>
        <v>-0.35671740569159482</v>
      </c>
      <c r="Q32" s="19">
        <f t="shared" si="132"/>
        <v>-1.1362599771949828</v>
      </c>
      <c r="R32" s="19">
        <f t="shared" si="132"/>
        <v>-0.17981018119068159</v>
      </c>
      <c r="S32" s="19">
        <f t="shared" si="132"/>
        <v>-0.14654756156446025</v>
      </c>
      <c r="T32" s="19">
        <f t="shared" ref="T32:T34" si="133">T19/P19-1</f>
        <v>0.54188712522045912</v>
      </c>
      <c r="U32" s="19">
        <f t="shared" ref="U32:U34" si="134">U19/Q19-1</f>
        <v>-7.3945606694560695</v>
      </c>
      <c r="V32" s="19">
        <f t="shared" ref="V32:V34" si="135">V19/R19-1</f>
        <v>1.2878182200715345</v>
      </c>
      <c r="W32" s="19">
        <f t="shared" ref="W32:W34" si="136">W19/S19-1</f>
        <v>0.10759075907590687</v>
      </c>
      <c r="X32" s="19">
        <f t="shared" ref="X32:X34" si="137">X19/T19-1</f>
        <v>-1.9063959584409984E-3</v>
      </c>
      <c r="Y32" s="19">
        <f t="shared" ref="Y32:Y34" si="138">Y19/U19-1</f>
        <v>-0.15952365373290556</v>
      </c>
      <c r="Z32" s="19">
        <f t="shared" ref="Z32:Z34" si="139">Z19/V19-1</f>
        <v>-0.41557844399485044</v>
      </c>
      <c r="AA32" s="19">
        <f t="shared" ref="AA32:AA34" si="140">AA19/W19-1</f>
        <v>1.1493274306146439E-2</v>
      </c>
      <c r="AB32" s="19">
        <f t="shared" ref="AB32:AB34" si="141">AB19/X19-1</f>
        <v>0.11517524591729589</v>
      </c>
      <c r="AC32" s="19">
        <f t="shared" ref="AC32:AC34" si="142">AC19/Y19-1</f>
        <v>0.16091864538730993</v>
      </c>
      <c r="AD32" s="19">
        <f t="shared" ref="AD32:AD34" si="143">AD19/Z19-1</f>
        <v>0.2357985837922898</v>
      </c>
      <c r="AE32" s="19">
        <f t="shared" ref="AE32:AE34" si="144">AE19/AA19-1</f>
        <v>0.16968268664253827</v>
      </c>
      <c r="AF32" s="19">
        <f t="shared" ref="AF32:AF34" si="145">AF19/AB19-1</f>
        <v>1.8284764922498198E-2</v>
      </c>
      <c r="AG32" s="19">
        <f t="shared" ref="AG32:AG34" si="146">AG19/AC19-1</f>
        <v>4.3892925160943896E-2</v>
      </c>
      <c r="AH32" s="19">
        <f t="shared" ref="AH32:AH34" si="147">AH19/AD19-1</f>
        <v>5.975680906602121E-2</v>
      </c>
      <c r="AI32" s="19"/>
      <c r="AJ32" s="19"/>
      <c r="AK32" s="19"/>
      <c r="AL32" s="19"/>
      <c r="AP32" s="19">
        <f>AP19/AO19-1</f>
        <v>0.47904783070350909</v>
      </c>
      <c r="AQ32" s="19">
        <f t="shared" ref="AQ32:AW32" si="148">AQ19/AP19-1</f>
        <v>-0.14725278394577324</v>
      </c>
      <c r="AR32" s="19">
        <f t="shared" si="148"/>
        <v>-0.4841905358576265</v>
      </c>
      <c r="AS32" s="19">
        <f t="shared" si="148"/>
        <v>1.2062931754345994</v>
      </c>
      <c r="AT32" s="19">
        <f t="shared" si="148"/>
        <v>-0.17814440793435093</v>
      </c>
      <c r="AU32" s="19">
        <f t="shared" si="148"/>
        <v>0.13407435317759409</v>
      </c>
      <c r="AV32" s="19">
        <f t="shared" si="148"/>
        <v>7.0558404858150903E-2</v>
      </c>
      <c r="AW32" s="19">
        <f t="shared" si="148"/>
        <v>0.14350382511461146</v>
      </c>
      <c r="AX32" s="19">
        <f t="shared" ref="AX32:AX34" si="149">AX19/AW19-1</f>
        <v>9.1830377535838226E-2</v>
      </c>
      <c r="AY32" s="19">
        <f t="shared" ref="AY32:AY34" si="150">AY19/AX19-1</f>
        <v>9.1693194610841688E-2</v>
      </c>
      <c r="AZ32" s="19">
        <f t="shared" ref="AZ32:AZ34" si="151">AZ19/AY19-1</f>
        <v>9.1566490077425344E-2</v>
      </c>
      <c r="BF32" s="4" t="s">
        <v>67</v>
      </c>
      <c r="BG32" s="15">
        <f>Main!C7-Main!C8</f>
        <v>-10530.9</v>
      </c>
    </row>
    <row r="33" spans="2:59" x14ac:dyDescent="0.25">
      <c r="B33" s="4" t="s">
        <v>59</v>
      </c>
      <c r="G33" s="19">
        <f>G20/C20-1</f>
        <v>-2.441346480788853E-2</v>
      </c>
      <c r="H33" s="19">
        <f t="shared" ref="H33:S33" si="152">H20/D20-1</f>
        <v>-3.9732386673948739E-2</v>
      </c>
      <c r="I33" s="19">
        <f t="shared" si="152"/>
        <v>-4.8581608880361893E-2</v>
      </c>
      <c r="J33" s="19">
        <f t="shared" si="152"/>
        <v>-7.063120176405735E-2</v>
      </c>
      <c r="K33" s="19">
        <f t="shared" si="152"/>
        <v>-0.12630698452530309</v>
      </c>
      <c r="L33" s="19">
        <f t="shared" si="152"/>
        <v>-0.11083463671264027</v>
      </c>
      <c r="M33" s="19">
        <f t="shared" si="152"/>
        <v>-0.1191933741447605</v>
      </c>
      <c r="N33" s="19">
        <f t="shared" si="152"/>
        <v>-0.1061021724623713</v>
      </c>
      <c r="O33" s="19">
        <f t="shared" si="152"/>
        <v>-4.9784585926280545E-2</v>
      </c>
      <c r="P33" s="19">
        <f t="shared" si="152"/>
        <v>-5.5968657551771051E-2</v>
      </c>
      <c r="Q33" s="19">
        <f t="shared" si="152"/>
        <v>-4.4562551103842996E-2</v>
      </c>
      <c r="R33" s="19">
        <f t="shared" si="152"/>
        <v>-2.2063702720636957E-2</v>
      </c>
      <c r="S33" s="19">
        <f t="shared" si="152"/>
        <v>-6.7170445004197665E-3</v>
      </c>
      <c r="T33" s="19">
        <f t="shared" si="133"/>
        <v>3.4725163038873408E-3</v>
      </c>
      <c r="U33" s="19">
        <f t="shared" si="134"/>
        <v>1.5147625160462086E-2</v>
      </c>
      <c r="V33" s="19">
        <f t="shared" si="135"/>
        <v>7.5487701441900867E-3</v>
      </c>
      <c r="W33" s="19">
        <f t="shared" si="136"/>
        <v>-5.4099746407439975E-3</v>
      </c>
      <c r="X33" s="19">
        <f t="shared" si="137"/>
        <v>-2.6080351114111999E-2</v>
      </c>
      <c r="Y33" s="19">
        <f t="shared" si="138"/>
        <v>-2.9674591131343853E-2</v>
      </c>
      <c r="Z33" s="19">
        <f t="shared" si="139"/>
        <v>-2.9800488256587321E-2</v>
      </c>
      <c r="AA33" s="19">
        <f t="shared" si="140"/>
        <v>-2.0142784293727511E-2</v>
      </c>
      <c r="AB33" s="19">
        <f t="shared" si="141"/>
        <v>-1.0399514689315437E-3</v>
      </c>
      <c r="AC33" s="19">
        <f t="shared" si="142"/>
        <v>-4.344048653345256E-4</v>
      </c>
      <c r="AD33" s="19">
        <f t="shared" si="143"/>
        <v>-2.6898047722342389E-3</v>
      </c>
      <c r="AE33" s="19">
        <f t="shared" si="144"/>
        <v>-1.0668748373666603E-2</v>
      </c>
      <c r="AF33" s="19">
        <f t="shared" si="145"/>
        <v>-1.0000000000000009E-2</v>
      </c>
      <c r="AG33" s="19">
        <f t="shared" si="146"/>
        <v>-1.000000000000012E-2</v>
      </c>
      <c r="AH33" s="19">
        <f t="shared" si="147"/>
        <v>-9.9999999999998979E-3</v>
      </c>
      <c r="AI33" s="19"/>
      <c r="AJ33" s="19"/>
      <c r="AK33" s="19"/>
      <c r="AL33" s="19"/>
      <c r="AP33" s="19">
        <f>AP20/AO20-1</f>
        <v>-7.063120176405735E-2</v>
      </c>
      <c r="AQ33" s="19">
        <f t="shared" ref="AQ33:AW33" si="153">AQ20/AP20-1</f>
        <v>-0.1061021724623713</v>
      </c>
      <c r="AR33" s="19">
        <f t="shared" si="153"/>
        <v>-2.2063702720636957E-2</v>
      </c>
      <c r="AS33" s="19">
        <f t="shared" si="153"/>
        <v>7.5487701441900867E-3</v>
      </c>
      <c r="AT33" s="19">
        <f t="shared" si="153"/>
        <v>-2.9800488256587321E-2</v>
      </c>
      <c r="AU33" s="19">
        <f t="shared" si="153"/>
        <v>-2.6898047722342389E-3</v>
      </c>
      <c r="AV33" s="19">
        <f t="shared" si="153"/>
        <v>-9.9999999999998979E-3</v>
      </c>
      <c r="AW33" s="19">
        <f t="shared" si="153"/>
        <v>-1.0000000000000009E-2</v>
      </c>
      <c r="AX33" s="19">
        <f t="shared" si="149"/>
        <v>-1.000000000000012E-2</v>
      </c>
      <c r="AY33" s="19">
        <f t="shared" si="150"/>
        <v>-1.000000000000012E-2</v>
      </c>
      <c r="AZ33" s="19">
        <f t="shared" si="151"/>
        <v>-9.9999999999998979E-3</v>
      </c>
      <c r="BF33" s="4" t="s">
        <v>68</v>
      </c>
      <c r="BG33" s="15">
        <f>BG31+BG32</f>
        <v>88311.185560524085</v>
      </c>
    </row>
    <row r="34" spans="2:59" x14ac:dyDescent="0.25">
      <c r="B34" s="4" t="s">
        <v>60</v>
      </c>
      <c r="G34" s="19">
        <f>G21/C21-1</f>
        <v>1.5968581533193218</v>
      </c>
      <c r="H34" s="19">
        <f t="shared" ref="H34:S34" si="154">H21/D21-1</f>
        <v>0.29379294861232497</v>
      </c>
      <c r="I34" s="19">
        <f t="shared" si="154"/>
        <v>0.18421068358683756</v>
      </c>
      <c r="J34" s="19">
        <f t="shared" si="154"/>
        <v>0.12610593338490084</v>
      </c>
      <c r="K34" s="19">
        <f t="shared" si="154"/>
        <v>-0.486941680662896</v>
      </c>
      <c r="L34" s="19">
        <f t="shared" si="154"/>
        <v>5.6338257875118147E-2</v>
      </c>
      <c r="M34" s="19">
        <f t="shared" si="154"/>
        <v>0.66098632113506528</v>
      </c>
      <c r="N34" s="19">
        <f t="shared" si="154"/>
        <v>0.14923662687638428</v>
      </c>
      <c r="O34" s="19">
        <f t="shared" si="154"/>
        <v>0.15013498335138742</v>
      </c>
      <c r="P34" s="19">
        <f t="shared" si="154"/>
        <v>-0.31857919818622649</v>
      </c>
      <c r="Q34" s="19">
        <f t="shared" si="154"/>
        <v>-1.1426152778001404</v>
      </c>
      <c r="R34" s="19">
        <f t="shared" si="154"/>
        <v>-0.16130547450677335</v>
      </c>
      <c r="S34" s="19">
        <f t="shared" si="154"/>
        <v>-0.14077611650318844</v>
      </c>
      <c r="T34" s="19">
        <f t="shared" si="133"/>
        <v>0.53655142534418987</v>
      </c>
      <c r="U34" s="19">
        <f t="shared" si="134"/>
        <v>-7.2991436033210393</v>
      </c>
      <c r="V34" s="19">
        <f t="shared" si="135"/>
        <v>1.2706773983200095</v>
      </c>
      <c r="W34" s="19">
        <f t="shared" si="136"/>
        <v>0.11361539009586763</v>
      </c>
      <c r="X34" s="19">
        <f t="shared" si="137"/>
        <v>2.48213034651521E-2</v>
      </c>
      <c r="Y34" s="19">
        <f t="shared" si="138"/>
        <v>-0.13382011994610987</v>
      </c>
      <c r="Z34" s="19">
        <f t="shared" si="139"/>
        <v>-0.39762744782775084</v>
      </c>
      <c r="AA34" s="19">
        <f t="shared" si="140"/>
        <v>3.2286396520610161E-2</v>
      </c>
      <c r="AB34" s="19">
        <f t="shared" si="141"/>
        <v>0.11633618136893187</v>
      </c>
      <c r="AC34" s="19">
        <f t="shared" si="142"/>
        <v>0.16142317326448796</v>
      </c>
      <c r="AD34" s="19">
        <f t="shared" si="143"/>
        <v>0.23913160589926385</v>
      </c>
      <c r="AE34" s="19">
        <f t="shared" si="144"/>
        <v>0.18229630846061973</v>
      </c>
      <c r="AF34" s="19">
        <f t="shared" si="145"/>
        <v>2.8570469618685257E-2</v>
      </c>
      <c r="AG34" s="19">
        <f t="shared" si="146"/>
        <v>5.443729814236753E-2</v>
      </c>
      <c r="AH34" s="19">
        <f t="shared" si="147"/>
        <v>7.0461423299011283E-2</v>
      </c>
      <c r="AI34" s="19"/>
      <c r="AJ34" s="19"/>
      <c r="AK34" s="19"/>
      <c r="AL34" s="19"/>
      <c r="AP34" s="19">
        <f>AP21/AO21-1</f>
        <v>0.59145414986055611</v>
      </c>
      <c r="AQ34" s="19">
        <f t="shared" ref="AQ34:AW34" si="155">AQ21/AP21-1</f>
        <v>-4.6035027959243746E-2</v>
      </c>
      <c r="AR34" s="19">
        <f t="shared" si="155"/>
        <v>-0.47255310435110653</v>
      </c>
      <c r="AS34" s="19">
        <f t="shared" si="155"/>
        <v>1.1897631566944966</v>
      </c>
      <c r="AT34" s="19">
        <f t="shared" si="155"/>
        <v>-0.15290042705875528</v>
      </c>
      <c r="AU34" s="19">
        <f t="shared" si="155"/>
        <v>0.13713301899876229</v>
      </c>
      <c r="AV34" s="19">
        <f t="shared" si="155"/>
        <v>8.1372126119344301E-2</v>
      </c>
      <c r="AW34" s="19">
        <f t="shared" si="155"/>
        <v>0.15505436880263757</v>
      </c>
      <c r="AX34" s="19">
        <f t="shared" si="149"/>
        <v>0.10285896720791765</v>
      </c>
      <c r="AY34" s="19">
        <f t="shared" si="150"/>
        <v>0.10272039859680993</v>
      </c>
      <c r="AZ34" s="19">
        <f t="shared" si="151"/>
        <v>0.10259241421962129</v>
      </c>
      <c r="BF34" s="4" t="s">
        <v>69</v>
      </c>
      <c r="BG34" s="8">
        <f>BG33/Main!C5</f>
        <v>77.425202139684458</v>
      </c>
    </row>
    <row r="35" spans="2:59" x14ac:dyDescent="0.25">
      <c r="B35" s="4" t="s">
        <v>61</v>
      </c>
      <c r="C35" s="19">
        <f t="shared" ref="C35:S35" si="156">C8/C6</f>
        <v>0.59967904550925355</v>
      </c>
      <c r="D35" s="19">
        <f t="shared" si="156"/>
        <v>0.59554212315829236</v>
      </c>
      <c r="E35" s="19">
        <f t="shared" si="156"/>
        <v>0.60273779033824959</v>
      </c>
      <c r="F35" s="19">
        <f t="shared" si="156"/>
        <v>0.58722776968569579</v>
      </c>
      <c r="G35" s="19">
        <f t="shared" si="156"/>
        <v>0.58791181652040758</v>
      </c>
      <c r="H35" s="19">
        <f t="shared" si="156"/>
        <v>0.58287741635995893</v>
      </c>
      <c r="I35" s="19">
        <f t="shared" si="156"/>
        <v>0.5951222604313583</v>
      </c>
      <c r="J35" s="19">
        <f t="shared" si="156"/>
        <v>0.67975442604226166</v>
      </c>
      <c r="K35" s="19">
        <f t="shared" si="156"/>
        <v>0.67195862921585481</v>
      </c>
      <c r="L35" s="19">
        <f t="shared" si="156"/>
        <v>0.68093372873023672</v>
      </c>
      <c r="M35" s="19">
        <f t="shared" si="156"/>
        <v>0.67761981533049975</v>
      </c>
      <c r="N35" s="19">
        <f t="shared" si="156"/>
        <v>0.68288128056914177</v>
      </c>
      <c r="O35" s="19">
        <f t="shared" si="156"/>
        <v>0.68488537571684194</v>
      </c>
      <c r="P35" s="19">
        <f t="shared" si="156"/>
        <v>0.66681121470387117</v>
      </c>
      <c r="Q35" s="19">
        <f t="shared" si="156"/>
        <v>0.64851614125672064</v>
      </c>
      <c r="R35" s="19">
        <f t="shared" si="156"/>
        <v>0.68132063000757681</v>
      </c>
      <c r="S35" s="19">
        <f t="shared" si="156"/>
        <v>0.69640264319791401</v>
      </c>
      <c r="T35" s="19">
        <f t="shared" ref="T35:Z35" si="157">T8/T6</f>
        <v>0.70119976004799045</v>
      </c>
      <c r="U35" s="19">
        <f t="shared" si="157"/>
        <v>0.70572934035883417</v>
      </c>
      <c r="V35" s="19">
        <f t="shared" si="157"/>
        <v>0.69421974541839038</v>
      </c>
      <c r="W35" s="19">
        <f t="shared" si="157"/>
        <v>0.68611497565338375</v>
      </c>
      <c r="X35" s="19">
        <f t="shared" si="157"/>
        <v>0.67706532558017707</v>
      </c>
      <c r="Y35" s="19">
        <f t="shared" si="157"/>
        <v>0.67931681819854972</v>
      </c>
      <c r="Z35" s="19">
        <f t="shared" si="157"/>
        <v>0.67780656509234383</v>
      </c>
      <c r="AA35" s="19">
        <f t="shared" ref="AA35:AD35" si="158">AA8/AA6</f>
        <v>0.67750375836307508</v>
      </c>
      <c r="AB35" s="19">
        <f t="shared" si="158"/>
        <v>0.6786967590999794</v>
      </c>
      <c r="AC35" s="19">
        <f t="shared" ref="AC35:AH35" si="159">AC8/AC6</f>
        <v>0.68759748263036768</v>
      </c>
      <c r="AD35" s="19">
        <f t="shared" si="159"/>
        <v>0.68708927199795167</v>
      </c>
      <c r="AE35" s="19">
        <f t="shared" si="159"/>
        <v>0.68376603397239344</v>
      </c>
      <c r="AF35" s="19">
        <f t="shared" si="159"/>
        <v>0.66874022677955924</v>
      </c>
      <c r="AG35" s="19">
        <f t="shared" si="159"/>
        <v>0.68115790375960272</v>
      </c>
      <c r="AH35" s="19">
        <f t="shared" si="159"/>
        <v>0.68051727839272091</v>
      </c>
      <c r="AI35" s="19"/>
      <c r="AJ35" s="19"/>
      <c r="AK35" s="19"/>
      <c r="AL35" s="19"/>
      <c r="AO35" s="19">
        <f t="shared" ref="AO35:AW35" si="160">AO8/AO6</f>
        <v>0.59630494892056451</v>
      </c>
      <c r="AP35" s="19">
        <f t="shared" si="160"/>
        <v>0.61194446467147268</v>
      </c>
      <c r="AQ35" s="19">
        <f t="shared" si="160"/>
        <v>0.67833080585168593</v>
      </c>
      <c r="AR35" s="19">
        <f t="shared" si="160"/>
        <v>0.6728080619100264</v>
      </c>
      <c r="AS35" s="19">
        <f t="shared" si="160"/>
        <v>0.69929733040611686</v>
      </c>
      <c r="AT35" s="19">
        <f t="shared" si="160"/>
        <v>0.6800866968679361</v>
      </c>
      <c r="AU35" s="19">
        <f t="shared" si="160"/>
        <v>0.68286282925093678</v>
      </c>
      <c r="AV35" s="19">
        <f t="shared" si="160"/>
        <v>0.67864131526959715</v>
      </c>
      <c r="AW35" s="19">
        <f t="shared" si="160"/>
        <v>0.67864131526959715</v>
      </c>
      <c r="AX35" s="19">
        <f t="shared" ref="AX35:AZ35" si="161">AX8/AX6</f>
        <v>0.67864131526959715</v>
      </c>
      <c r="AY35" s="19">
        <f t="shared" si="161"/>
        <v>0.67864131526959703</v>
      </c>
      <c r="AZ35" s="19">
        <f t="shared" si="161"/>
        <v>0.67864131526959703</v>
      </c>
      <c r="BF35" s="4" t="s">
        <v>70</v>
      </c>
      <c r="BG35" s="8">
        <f>Main!C4</f>
        <v>93.16</v>
      </c>
    </row>
    <row r="36" spans="2:59" x14ac:dyDescent="0.25">
      <c r="B36" s="4" t="s">
        <v>62</v>
      </c>
      <c r="C36" s="19">
        <f t="shared" ref="C36:S36" si="162">C14/C6</f>
        <v>0.24111706117322818</v>
      </c>
      <c r="D36" s="19">
        <f t="shared" si="162"/>
        <v>0.22459387986399684</v>
      </c>
      <c r="E36" s="19">
        <f t="shared" si="162"/>
        <v>0.25028702640642941</v>
      </c>
      <c r="F36" s="19">
        <f t="shared" si="162"/>
        <v>0.2301037151431129</v>
      </c>
      <c r="G36" s="19">
        <f t="shared" si="162"/>
        <v>0.23091361114312528</v>
      </c>
      <c r="H36" s="19">
        <f t="shared" si="162"/>
        <v>0.20537816240591539</v>
      </c>
      <c r="I36" s="19">
        <f t="shared" si="162"/>
        <v>0.21949828058887855</v>
      </c>
      <c r="J36" s="19">
        <f t="shared" si="162"/>
        <v>0.2107367218732154</v>
      </c>
      <c r="K36" s="19">
        <f t="shared" si="162"/>
        <v>0.20991451445112855</v>
      </c>
      <c r="L36" s="19">
        <f t="shared" si="162"/>
        <v>0.19927369606241771</v>
      </c>
      <c r="M36" s="19">
        <f t="shared" si="162"/>
        <v>0.22015242561922907</v>
      </c>
      <c r="N36" s="19">
        <f t="shared" si="162"/>
        <v>0.21339854750259371</v>
      </c>
      <c r="O36" s="19">
        <f t="shared" si="162"/>
        <v>0.22221752546814885</v>
      </c>
      <c r="P36" s="19">
        <f t="shared" si="162"/>
        <v>0.14060076388078122</v>
      </c>
      <c r="Q36" s="19">
        <f t="shared" si="162"/>
        <v>-6.2717604983302103E-2</v>
      </c>
      <c r="R36" s="19">
        <f t="shared" si="162"/>
        <v>0.1799422869210556</v>
      </c>
      <c r="S36" s="19">
        <f t="shared" si="162"/>
        <v>0.20028446973064284</v>
      </c>
      <c r="T36" s="19">
        <f t="shared" ref="T36:Z36" si="163">T14/T6</f>
        <v>0.20655368926214759</v>
      </c>
      <c r="U36" s="19">
        <f t="shared" si="163"/>
        <v>0.24848929500433531</v>
      </c>
      <c r="V36" s="19">
        <f t="shared" si="163"/>
        <v>0.2322903752439639</v>
      </c>
      <c r="W36" s="19">
        <f t="shared" si="163"/>
        <v>0.19083523800059624</v>
      </c>
      <c r="X36" s="19">
        <f t="shared" si="163"/>
        <v>0.17300539577767296</v>
      </c>
      <c r="Y36" s="19">
        <f t="shared" si="163"/>
        <v>0.20445147912295555</v>
      </c>
      <c r="Z36" s="19">
        <f t="shared" si="163"/>
        <v>0.18872857788025002</v>
      </c>
      <c r="AA36" s="19">
        <f t="shared" ref="AA36:AD36" si="164">AA14/AA6</f>
        <v>0.18200805609428614</v>
      </c>
      <c r="AB36" s="19">
        <f t="shared" si="164"/>
        <v>0.18198811899355494</v>
      </c>
      <c r="AC36" s="19">
        <f t="shared" ref="AC36:AH36" si="165">AC14/AC6</f>
        <v>0.21085697457543931</v>
      </c>
      <c r="AD36" s="19">
        <f t="shared" si="165"/>
        <v>0.21951011351028418</v>
      </c>
      <c r="AE36" s="19">
        <f t="shared" si="165"/>
        <v>0.19635449269519267</v>
      </c>
      <c r="AF36" s="19">
        <f t="shared" si="165"/>
        <v>0.17492995097320546</v>
      </c>
      <c r="AG36" s="19">
        <f t="shared" si="165"/>
        <v>0.21186045398430162</v>
      </c>
      <c r="AH36" s="19">
        <f t="shared" si="165"/>
        <v>0.21976825889981985</v>
      </c>
      <c r="AI36" s="19"/>
      <c r="AJ36" s="19"/>
      <c r="AK36" s="19"/>
      <c r="AL36" s="19"/>
      <c r="AO36" s="19">
        <f t="shared" ref="AO36:AW36" si="166">AO14/AO6</f>
        <v>0.23672537712123715</v>
      </c>
      <c r="AP36" s="19">
        <f t="shared" si="166"/>
        <v>0.21662338082639546</v>
      </c>
      <c r="AQ36" s="19">
        <f t="shared" si="166"/>
        <v>0.21090514021864612</v>
      </c>
      <c r="AR36" s="19">
        <f t="shared" si="166"/>
        <v>0.13910621651500985</v>
      </c>
      <c r="AS36" s="19">
        <f t="shared" si="166"/>
        <v>0.22313028636710874</v>
      </c>
      <c r="AT36" s="19">
        <f t="shared" si="166"/>
        <v>0.1895052139049869</v>
      </c>
      <c r="AU36" s="19">
        <f t="shared" si="166"/>
        <v>0.19912663027162861</v>
      </c>
      <c r="AV36" s="19">
        <f t="shared" si="166"/>
        <v>0.20127195986533714</v>
      </c>
      <c r="AW36" s="19">
        <f t="shared" si="166"/>
        <v>0.20127195986533722</v>
      </c>
      <c r="AX36" s="19">
        <f t="shared" ref="AX36:AZ36" si="167">AX14/AX6</f>
        <v>0.20070996958413184</v>
      </c>
      <c r="AY36" s="19">
        <f t="shared" si="167"/>
        <v>0.20018922629604255</v>
      </c>
      <c r="AZ36" s="19">
        <f t="shared" si="167"/>
        <v>0.19970670269882218</v>
      </c>
      <c r="BF36" s="4" t="s">
        <v>71</v>
      </c>
      <c r="BG36" s="21">
        <f>BG34/BG35-1</f>
        <v>-0.16890079283292769</v>
      </c>
    </row>
    <row r="37" spans="2:59" x14ac:dyDescent="0.25">
      <c r="B37" s="4" t="s">
        <v>35</v>
      </c>
      <c r="C37" s="19">
        <f t="shared" ref="C37:R37" si="168">C18/C17</f>
        <v>0.27585708086214383</v>
      </c>
      <c r="D37" s="19">
        <f t="shared" si="168"/>
        <v>0.2654781199351704</v>
      </c>
      <c r="E37" s="19">
        <f t="shared" si="168"/>
        <v>0.25336794835812521</v>
      </c>
      <c r="F37" s="19">
        <f t="shared" si="168"/>
        <v>0.25164873307879204</v>
      </c>
      <c r="G37" s="19">
        <f t="shared" si="168"/>
        <v>0.22956595692980591</v>
      </c>
      <c r="H37" s="19">
        <f t="shared" si="168"/>
        <v>0.12153834152429982</v>
      </c>
      <c r="I37" s="19">
        <f t="shared" si="168"/>
        <v>0.1272475795297372</v>
      </c>
      <c r="J37" s="19">
        <f t="shared" si="168"/>
        <v>0.13461685970698772</v>
      </c>
      <c r="K37" s="19">
        <f t="shared" si="168"/>
        <v>0.15282020713806715</v>
      </c>
      <c r="L37" s="19">
        <f t="shared" si="168"/>
        <v>0.13225038969562725</v>
      </c>
      <c r="M37" s="19">
        <f t="shared" si="168"/>
        <v>0.1475919716187977</v>
      </c>
      <c r="N37" s="19">
        <f t="shared" si="168"/>
        <v>0.14810731348768838</v>
      </c>
      <c r="O37" s="19">
        <f t="shared" si="168"/>
        <v>0.17220704816467935</v>
      </c>
      <c r="P37" s="19">
        <f t="shared" si="168"/>
        <v>8.7691069991954973E-2</v>
      </c>
      <c r="Q37" s="19">
        <f t="shared" si="168"/>
        <v>0.35907750067042116</v>
      </c>
      <c r="R37" s="19">
        <f t="shared" si="168"/>
        <v>4.968509447165851E-2</v>
      </c>
      <c r="S37" s="19">
        <f t="shared" ref="S37" si="169">S18/S17</f>
        <v>0.14928605807797199</v>
      </c>
      <c r="T37" s="19">
        <f t="shared" ref="T37:Z37" si="170">T18/T17</f>
        <v>0.18013441700531413</v>
      </c>
      <c r="U37" s="19">
        <f t="shared" si="170"/>
        <v>0.14400134423658567</v>
      </c>
      <c r="V37" s="19">
        <f t="shared" si="170"/>
        <v>0.18172924975543678</v>
      </c>
      <c r="W37" s="19">
        <f t="shared" si="170"/>
        <v>0.17334084031247801</v>
      </c>
      <c r="X37" s="19">
        <f t="shared" si="170"/>
        <v>0.16111200128184591</v>
      </c>
      <c r="Y37" s="19">
        <f t="shared" si="170"/>
        <v>0.17818298144593728</v>
      </c>
      <c r="Z37" s="19">
        <f t="shared" si="170"/>
        <v>0.14909285666465827</v>
      </c>
      <c r="AA37" s="19">
        <f t="shared" ref="AA37:AD37" si="171">AA18/AA17</f>
        <v>0.19061243953947823</v>
      </c>
      <c r="AB37" s="19">
        <f t="shared" si="171"/>
        <v>0.20510551395507146</v>
      </c>
      <c r="AC37" s="19">
        <f t="shared" ref="AC37:AH37" si="172">AC18/AC17</f>
        <v>0.17776797529775032</v>
      </c>
      <c r="AD37" s="19">
        <f t="shared" si="172"/>
        <v>0.19223450758549759</v>
      </c>
      <c r="AE37" s="19">
        <f t="shared" si="172"/>
        <v>0.20333639073606977</v>
      </c>
      <c r="AF37" s="19">
        <f t="shared" si="172"/>
        <v>0.21</v>
      </c>
      <c r="AG37" s="19">
        <f t="shared" si="172"/>
        <v>0.20999999999999996</v>
      </c>
      <c r="AH37" s="19">
        <f t="shared" si="172"/>
        <v>0.21</v>
      </c>
      <c r="AI37" s="19"/>
      <c r="AJ37" s="19"/>
      <c r="AK37" s="19"/>
      <c r="AL37" s="19"/>
      <c r="AO37" s="19">
        <f t="shared" ref="AO37:AW37" si="173">AO18/AO17</f>
        <v>0.26131368221366941</v>
      </c>
      <c r="AP37" s="19">
        <f t="shared" si="173"/>
        <v>0.17401676871311156</v>
      </c>
      <c r="AQ37" s="19">
        <f t="shared" si="173"/>
        <v>0.1457552849879582</v>
      </c>
      <c r="AR37" s="19">
        <f t="shared" si="173"/>
        <v>8.3394217722575867E-2</v>
      </c>
      <c r="AS37" s="19">
        <f t="shared" si="173"/>
        <v>0.16596837604384881</v>
      </c>
      <c r="AT37" s="19">
        <f t="shared" si="173"/>
        <v>0.16567117258723674</v>
      </c>
      <c r="AU37" s="19">
        <f t="shared" si="173"/>
        <v>0.19078416728902159</v>
      </c>
      <c r="AV37" s="19">
        <f t="shared" si="173"/>
        <v>0.20841354178025873</v>
      </c>
      <c r="AW37" s="19">
        <f t="shared" si="173"/>
        <v>0.16955766707963174</v>
      </c>
      <c r="AX37" s="19">
        <f t="shared" ref="AX37:AZ37" si="174">AX18/AX17</f>
        <v>0.16955766707963174</v>
      </c>
      <c r="AY37" s="19">
        <f t="shared" si="174"/>
        <v>0.16955766707963174</v>
      </c>
      <c r="AZ37" s="19">
        <f t="shared" si="174"/>
        <v>0.16955766707963174</v>
      </c>
    </row>
  </sheetData>
  <phoneticPr fontId="5" type="noConversion"/>
  <conditionalFormatting sqref="BG36">
    <cfRule type="cellIs" dxfId="1" priority="1" operator="lessThan">
      <formula>0</formula>
    </cfRule>
    <cfRule type="cellIs" dxfId="0" priority="2" operator="greaterThan">
      <formula>0</formula>
    </cfRule>
  </conditionalFormatting>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453E58-2C69-482B-B11F-ECB1CFFD7E6C}">
  <dimension ref="B3:D18"/>
  <sheetViews>
    <sheetView workbookViewId="0">
      <selection activeCell="C18" sqref="C18"/>
    </sheetView>
  </sheetViews>
  <sheetFormatPr defaultColWidth="9.21875" defaultRowHeight="13.8" x14ac:dyDescent="0.25"/>
  <cols>
    <col min="1" max="1" width="9.21875" style="4"/>
    <col min="2" max="2" width="16.21875" style="4" bestFit="1" customWidth="1"/>
    <col min="3" max="3" width="9.21875" style="4"/>
    <col min="4" max="4" width="18.5546875" style="4" bestFit="1" customWidth="1"/>
    <col min="5" max="16384" width="9.21875" style="4"/>
  </cols>
  <sheetData>
    <row r="3" spans="2:4" x14ac:dyDescent="0.25">
      <c r="B3" s="4" t="s">
        <v>7</v>
      </c>
      <c r="C3" s="15">
        <f>Main!C8</f>
        <v>13914.3</v>
      </c>
    </row>
    <row r="4" spans="2:4" x14ac:dyDescent="0.25">
      <c r="B4" s="4" t="s">
        <v>10</v>
      </c>
      <c r="C4" s="15">
        <f>Main!C6</f>
        <v>106258.29599999999</v>
      </c>
    </row>
    <row r="5" spans="2:4" x14ac:dyDescent="0.25">
      <c r="B5" s="4" t="s">
        <v>11</v>
      </c>
      <c r="C5" s="15">
        <f>+C3+C4</f>
        <v>120172.59599999999</v>
      </c>
    </row>
    <row r="6" spans="2:4" x14ac:dyDescent="0.25">
      <c r="B6" s="16" t="s">
        <v>12</v>
      </c>
      <c r="C6" s="27">
        <f>C3/C5</f>
        <v>0.11578596504647366</v>
      </c>
    </row>
    <row r="7" spans="2:4" x14ac:dyDescent="0.25">
      <c r="B7" s="16" t="s">
        <v>13</v>
      </c>
      <c r="C7" s="27">
        <f>C4/C5</f>
        <v>0.88421403495352635</v>
      </c>
    </row>
    <row r="9" spans="2:4" x14ac:dyDescent="0.25">
      <c r="B9" s="4" t="s">
        <v>14</v>
      </c>
      <c r="C9" s="19">
        <f>AVERAGE(DCF!AO37:AU37)</f>
        <v>0.16955766707963174</v>
      </c>
      <c r="D9" s="24" t="s">
        <v>90</v>
      </c>
    </row>
    <row r="10" spans="2:4" x14ac:dyDescent="0.25">
      <c r="B10" s="4" t="s">
        <v>15</v>
      </c>
      <c r="C10" s="15">
        <f>DCF!AU16</f>
        <v>550.09999999999991</v>
      </c>
      <c r="D10" s="24" t="s">
        <v>91</v>
      </c>
    </row>
    <row r="11" spans="2:4" x14ac:dyDescent="0.25">
      <c r="B11" s="16" t="s">
        <v>16</v>
      </c>
      <c r="C11" s="27">
        <f>(C10*(1-C9))/C3</f>
        <v>3.283142718925814E-2</v>
      </c>
    </row>
    <row r="13" spans="2:4" x14ac:dyDescent="0.25">
      <c r="B13" s="4" t="s">
        <v>17</v>
      </c>
      <c r="C13" s="22">
        <f>'[1]T-Bond Yields'!$C$12</f>
        <v>4.2999999999999997E-2</v>
      </c>
    </row>
    <row r="14" spans="2:4" x14ac:dyDescent="0.25">
      <c r="B14" s="4" t="s">
        <v>18</v>
      </c>
      <c r="C14" s="4">
        <v>0.99</v>
      </c>
      <c r="D14" s="24" t="s">
        <v>92</v>
      </c>
    </row>
    <row r="15" spans="2:4" x14ac:dyDescent="0.25">
      <c r="B15" s="4" t="s">
        <v>19</v>
      </c>
      <c r="C15" s="19">
        <v>0.08</v>
      </c>
      <c r="D15" s="4" t="s">
        <v>20</v>
      </c>
    </row>
    <row r="16" spans="2:4" x14ac:dyDescent="0.25">
      <c r="B16" s="16" t="s">
        <v>21</v>
      </c>
      <c r="C16" s="27">
        <f>(C13+C14*(C15-C13))</f>
        <v>7.9630000000000006E-2</v>
      </c>
    </row>
    <row r="18" spans="2:3" x14ac:dyDescent="0.25">
      <c r="B18" s="28" t="s">
        <v>22</v>
      </c>
      <c r="C18" s="29">
        <f>(C7*C16)+(C6*C11)*(1-C9)</f>
        <v>7.3566822435085402E-2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vt:lpstr>
      <vt:lpstr>DCF</vt:lpstr>
      <vt:lpstr>WACC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S</dc:creator>
  <cp:lastModifiedBy>Bill Sheldon</cp:lastModifiedBy>
  <dcterms:created xsi:type="dcterms:W3CDTF">2020-12-06T18:12:57Z</dcterms:created>
  <dcterms:modified xsi:type="dcterms:W3CDTF">2024-03-03T23:29:48Z</dcterms:modified>
</cp:coreProperties>
</file>