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he\Documents\Models\"/>
    </mc:Choice>
  </mc:AlternateContent>
  <xr:revisionPtr revIDLastSave="0" documentId="13_ncr:1_{05CFBF91-C803-4E3B-8318-CA2092FB60B2}" xr6:coauthVersionLast="47" xr6:coauthVersionMax="47" xr10:uidLastSave="{00000000-0000-0000-0000-000000000000}"/>
  <bookViews>
    <workbookView xWindow="-28920" yWindow="-120" windowWidth="29040" windowHeight="15720" tabRatio="597" xr2:uid="{E111F6CE-28DF-433D-BE5C-B517463893F7}"/>
  </bookViews>
  <sheets>
    <sheet name="Main" sheetId="1" r:id="rId1"/>
    <sheet name="Model" sheetId="3" r:id="rId2"/>
    <sheet name="WACC" sheetId="2" r:id="rId3"/>
    <sheet name="Ratio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2" i="3" l="1"/>
  <c r="Y52" i="3"/>
  <c r="X52" i="3"/>
  <c r="AR46" i="3"/>
  <c r="AQ46" i="3"/>
  <c r="AP46" i="3"/>
  <c r="AO46" i="3"/>
  <c r="AN34" i="3"/>
  <c r="AN36" i="3" s="1"/>
  <c r="AN33" i="3"/>
  <c r="AN32" i="3"/>
  <c r="AN27" i="3"/>
  <c r="AN26" i="3"/>
  <c r="AN25" i="3"/>
  <c r="AN24" i="3"/>
  <c r="AN23" i="3"/>
  <c r="AN22" i="3"/>
  <c r="AN17" i="3"/>
  <c r="AN16" i="3"/>
  <c r="AN15" i="3"/>
  <c r="AN14" i="3"/>
  <c r="AN13" i="3"/>
  <c r="AN12" i="3"/>
  <c r="AN7" i="3"/>
  <c r="AN6" i="3"/>
  <c r="AN5" i="3"/>
  <c r="AN4" i="3"/>
  <c r="AN3" i="3"/>
  <c r="AD7" i="3"/>
  <c r="AD9" i="3" s="1"/>
  <c r="AB7" i="3"/>
  <c r="AB10" i="3" s="1"/>
  <c r="AC7" i="3"/>
  <c r="AD6" i="3"/>
  <c r="AC6" i="3"/>
  <c r="AB6" i="3"/>
  <c r="AD5" i="3"/>
  <c r="AC5" i="3"/>
  <c r="AB5" i="3"/>
  <c r="AD4" i="3"/>
  <c r="AC4" i="3"/>
  <c r="AB4" i="3"/>
  <c r="AD3" i="3"/>
  <c r="AC3" i="3"/>
  <c r="AB3" i="3"/>
  <c r="AD37" i="3"/>
  <c r="AD38" i="3" s="1"/>
  <c r="AC37" i="3"/>
  <c r="AC38" i="3" s="1"/>
  <c r="AB37" i="3"/>
  <c r="AB38" i="3" s="1"/>
  <c r="AN35" i="3"/>
  <c r="AH39" i="3"/>
  <c r="AM38" i="3"/>
  <c r="AM39" i="3" s="1"/>
  <c r="AL38" i="3"/>
  <c r="AL39" i="3" s="1"/>
  <c r="AK38" i="3"/>
  <c r="AK39" i="3" s="1"/>
  <c r="AJ38" i="3"/>
  <c r="AJ39" i="3" s="1"/>
  <c r="AI38" i="3"/>
  <c r="AI39" i="3" s="1"/>
  <c r="AH38" i="3"/>
  <c r="AN49" i="3"/>
  <c r="AN47" i="3"/>
  <c r="AN44" i="3"/>
  <c r="AN43" i="3"/>
  <c r="AN42" i="3"/>
  <c r="AN41" i="3"/>
  <c r="AN40" i="3"/>
  <c r="AD49" i="3"/>
  <c r="AC49" i="3"/>
  <c r="AB49" i="3"/>
  <c r="AD47" i="3"/>
  <c r="AC47" i="3"/>
  <c r="AB47" i="3"/>
  <c r="AD44" i="3"/>
  <c r="AC44" i="3"/>
  <c r="AB44" i="3"/>
  <c r="AD43" i="3"/>
  <c r="AC43" i="3"/>
  <c r="AB43" i="3"/>
  <c r="AD42" i="3"/>
  <c r="AC42" i="3"/>
  <c r="AB42" i="3"/>
  <c r="AD41" i="3"/>
  <c r="AC41" i="3"/>
  <c r="AB41" i="3"/>
  <c r="AD40" i="3"/>
  <c r="AC40" i="3"/>
  <c r="AB40" i="3"/>
  <c r="AD35" i="3"/>
  <c r="AC35" i="3"/>
  <c r="AB35" i="3"/>
  <c r="AD33" i="3"/>
  <c r="AC33" i="3"/>
  <c r="AB33" i="3"/>
  <c r="AC32" i="3"/>
  <c r="AC34" i="3" s="1"/>
  <c r="AB32" i="3"/>
  <c r="AD27" i="3"/>
  <c r="AD30" i="3" s="1"/>
  <c r="AC27" i="3"/>
  <c r="AC29" i="3" s="1"/>
  <c r="AB27" i="3"/>
  <c r="AB30" i="3" s="1"/>
  <c r="AD26" i="3"/>
  <c r="AC26" i="3"/>
  <c r="AB26" i="3"/>
  <c r="AD25" i="3"/>
  <c r="AC25" i="3"/>
  <c r="AB25" i="3"/>
  <c r="AD24" i="3"/>
  <c r="AC24" i="3"/>
  <c r="AB24" i="3"/>
  <c r="AD23" i="3"/>
  <c r="AC23" i="3"/>
  <c r="AB23" i="3"/>
  <c r="AD22" i="3"/>
  <c r="AC22" i="3"/>
  <c r="AB22" i="3"/>
  <c r="AD16" i="3"/>
  <c r="AC16" i="3"/>
  <c r="AB16" i="3"/>
  <c r="AD15" i="3"/>
  <c r="AC15" i="3"/>
  <c r="AB15" i="3"/>
  <c r="AD14" i="3"/>
  <c r="AC14" i="3"/>
  <c r="AB14" i="3"/>
  <c r="AD13" i="3"/>
  <c r="AC13" i="3"/>
  <c r="AB13" i="3"/>
  <c r="AD12" i="3"/>
  <c r="AC12" i="3"/>
  <c r="AB12" i="3"/>
  <c r="AD17" i="3"/>
  <c r="AD19" i="3" s="1"/>
  <c r="AC17" i="3"/>
  <c r="AB17" i="3"/>
  <c r="AB20" i="3" s="1"/>
  <c r="AC9" i="3"/>
  <c r="AB9" i="3"/>
  <c r="AA138" i="3"/>
  <c r="Z138" i="3"/>
  <c r="Y138" i="3"/>
  <c r="X138" i="3"/>
  <c r="AA137" i="3"/>
  <c r="Z137" i="3"/>
  <c r="Y137" i="3"/>
  <c r="X137" i="3"/>
  <c r="AA136" i="3"/>
  <c r="Z136" i="3"/>
  <c r="Y136" i="3"/>
  <c r="X136" i="3"/>
  <c r="AA126" i="3"/>
  <c r="Z126" i="3"/>
  <c r="Y126" i="3"/>
  <c r="X126" i="3"/>
  <c r="AA120" i="3"/>
  <c r="Z120" i="3"/>
  <c r="Y120" i="3"/>
  <c r="X120" i="3"/>
  <c r="Z106" i="3"/>
  <c r="Y106" i="3"/>
  <c r="X106" i="3"/>
  <c r="AA103" i="3"/>
  <c r="AA101" i="3"/>
  <c r="W52" i="3"/>
  <c r="AA52" i="3"/>
  <c r="C13" i="2"/>
  <c r="AD32" i="3" l="1"/>
  <c r="AD34" i="3" s="1"/>
  <c r="AD36" i="3" s="1"/>
  <c r="AD39" i="3" s="1"/>
  <c r="AD45" i="3" s="1"/>
  <c r="AD10" i="3"/>
  <c r="AC10" i="3"/>
  <c r="AB34" i="3"/>
  <c r="AB36" i="3"/>
  <c r="AC36" i="3"/>
  <c r="AN37" i="3"/>
  <c r="AN38" i="3" s="1"/>
  <c r="AN39" i="3" s="1"/>
  <c r="AC39" i="3"/>
  <c r="AC45" i="3" s="1"/>
  <c r="AB39" i="3"/>
  <c r="AB45" i="3" s="1"/>
  <c r="AB29" i="3"/>
  <c r="AD29" i="3"/>
  <c r="AC30" i="3"/>
  <c r="AD20" i="3"/>
  <c r="AC20" i="3"/>
  <c r="AB19" i="3"/>
  <c r="AC19" i="3"/>
  <c r="AD46" i="3" l="1"/>
  <c r="AD48" i="3" s="1"/>
  <c r="AD50" i="3" s="1"/>
  <c r="AC46" i="3"/>
  <c r="AC48" i="3" s="1"/>
  <c r="AC50" i="3" s="1"/>
  <c r="AB46" i="3"/>
  <c r="AN46" i="3" l="1"/>
  <c r="AB48" i="3"/>
  <c r="AB50" i="3" s="1"/>
  <c r="C10" i="2" l="1"/>
  <c r="C8" i="1"/>
  <c r="G8" i="1" s="1"/>
  <c r="AD93" i="3"/>
  <c r="AD101" i="3" s="1"/>
  <c r="AD103" i="3" s="1"/>
  <c r="AC93" i="3"/>
  <c r="AC101" i="3" s="1"/>
  <c r="AC103" i="3" s="1"/>
  <c r="AB93" i="3"/>
  <c r="AB101" i="3" s="1"/>
  <c r="AB103" i="3" s="1"/>
  <c r="AA93" i="3"/>
  <c r="AD76" i="3"/>
  <c r="AD83" i="3" s="1"/>
  <c r="AC76" i="3"/>
  <c r="AC83" i="3" s="1"/>
  <c r="AB76" i="3"/>
  <c r="AB83" i="3" s="1"/>
  <c r="AA76" i="3"/>
  <c r="AA83" i="3" s="1"/>
  <c r="AD71" i="3"/>
  <c r="AC71" i="3"/>
  <c r="AB71" i="3"/>
  <c r="AA71" i="3"/>
  <c r="AD68" i="3"/>
  <c r="AC68" i="3"/>
  <c r="AB68" i="3"/>
  <c r="AD67" i="3"/>
  <c r="AC67" i="3"/>
  <c r="AB67" i="3"/>
  <c r="AD66" i="3"/>
  <c r="AC66" i="3"/>
  <c r="AB66" i="3"/>
  <c r="AD65" i="3"/>
  <c r="AC65" i="3"/>
  <c r="AB65" i="3"/>
  <c r="AD64" i="3"/>
  <c r="AC64" i="3"/>
  <c r="AB64" i="3"/>
  <c r="AA64" i="3"/>
  <c r="AD63" i="3"/>
  <c r="AC63" i="3"/>
  <c r="AB63" i="3"/>
  <c r="AD62" i="3"/>
  <c r="AC62" i="3"/>
  <c r="AB62" i="3"/>
  <c r="AD61" i="3"/>
  <c r="AC61" i="3"/>
  <c r="AB61" i="3"/>
  <c r="AA61" i="3"/>
  <c r="AD60" i="3"/>
  <c r="AC60" i="3"/>
  <c r="AB60" i="3"/>
  <c r="AA60" i="3"/>
  <c r="AD59" i="3"/>
  <c r="AC59" i="3"/>
  <c r="AB59" i="3"/>
  <c r="AA59" i="3"/>
  <c r="AD58" i="3"/>
  <c r="AC58" i="3"/>
  <c r="AB58" i="3"/>
  <c r="AM52" i="3"/>
  <c r="AM29" i="3"/>
  <c r="AM27" i="3"/>
  <c r="AR27" i="3"/>
  <c r="AR29" i="3" s="1"/>
  <c r="AQ27" i="3"/>
  <c r="AQ29" i="3" s="1"/>
  <c r="AP27" i="3"/>
  <c r="AP29" i="3" s="1"/>
  <c r="AO27" i="3"/>
  <c r="AN29" i="3"/>
  <c r="AP19" i="3"/>
  <c r="AR17" i="3"/>
  <c r="AR19" i="3" s="1"/>
  <c r="AQ17" i="3"/>
  <c r="AQ19" i="3" s="1"/>
  <c r="AP17" i="3"/>
  <c r="AO17" i="3"/>
  <c r="AR9" i="3"/>
  <c r="AQ9" i="3"/>
  <c r="AP9" i="3"/>
  <c r="AR7" i="3"/>
  <c r="AQ7" i="3"/>
  <c r="AP7" i="3"/>
  <c r="AO7" i="3"/>
  <c r="AM15" i="3"/>
  <c r="AM17" i="3"/>
  <c r="AM33" i="3"/>
  <c r="AM26" i="3"/>
  <c r="AM25" i="3"/>
  <c r="AM24" i="3"/>
  <c r="AM23" i="3"/>
  <c r="AM22" i="3"/>
  <c r="AM16" i="3"/>
  <c r="AM14" i="3"/>
  <c r="AM13" i="3"/>
  <c r="AM12" i="3"/>
  <c r="AM6" i="3"/>
  <c r="AM5" i="3"/>
  <c r="AM4" i="3"/>
  <c r="AM3" i="3"/>
  <c r="AL29" i="3"/>
  <c r="AL27" i="3"/>
  <c r="AM19" i="3"/>
  <c r="Z26" i="3"/>
  <c r="Z25" i="3"/>
  <c r="Z24" i="3"/>
  <c r="Z23" i="3"/>
  <c r="Z22" i="3"/>
  <c r="Z16" i="3"/>
  <c r="Z14" i="3"/>
  <c r="Z13" i="3"/>
  <c r="Z12" i="3"/>
  <c r="Z6" i="3"/>
  <c r="Z5" i="3"/>
  <c r="Z4" i="3"/>
  <c r="Z3" i="3"/>
  <c r="AA38" i="3"/>
  <c r="Z38" i="3"/>
  <c r="Y38" i="3"/>
  <c r="AA27" i="3"/>
  <c r="AA29" i="3" s="1"/>
  <c r="Y27" i="3"/>
  <c r="X27" i="3"/>
  <c r="Y30" i="3" s="1"/>
  <c r="AA17" i="3"/>
  <c r="Y17" i="3"/>
  <c r="X17" i="3"/>
  <c r="X19" i="3" s="1"/>
  <c r="AA7" i="3"/>
  <c r="AA9" i="3" s="1"/>
  <c r="Y7" i="3"/>
  <c r="Y9" i="3" s="1"/>
  <c r="X7" i="3"/>
  <c r="C12" i="4"/>
  <c r="C11" i="4"/>
  <c r="Z93" i="3"/>
  <c r="Z101" i="3" s="1"/>
  <c r="Z103" i="3" s="1"/>
  <c r="Y93" i="3"/>
  <c r="Y101" i="3" s="1"/>
  <c r="Y103" i="3" s="1"/>
  <c r="X93" i="3"/>
  <c r="X101" i="3" s="1"/>
  <c r="X103" i="3" s="1"/>
  <c r="Z76" i="3"/>
  <c r="Z83" i="3" s="1"/>
  <c r="Y76" i="3"/>
  <c r="Y83" i="3" s="1"/>
  <c r="X76" i="3"/>
  <c r="X83" i="3" s="1"/>
  <c r="Z71" i="3"/>
  <c r="Y71" i="3"/>
  <c r="X71" i="3"/>
  <c r="J6" i="1"/>
  <c r="G6" i="1"/>
  <c r="AL3" i="3"/>
  <c r="AL26" i="3"/>
  <c r="AK26" i="3"/>
  <c r="AJ26" i="3"/>
  <c r="AI26" i="3"/>
  <c r="AL25" i="3"/>
  <c r="AK25" i="3"/>
  <c r="AJ25" i="3"/>
  <c r="AI25" i="3"/>
  <c r="AL24" i="3"/>
  <c r="AK24" i="3"/>
  <c r="AL23" i="3"/>
  <c r="AK23" i="3"/>
  <c r="AL22" i="3"/>
  <c r="AK22" i="3"/>
  <c r="AK27" i="3" s="1"/>
  <c r="AH27" i="3"/>
  <c r="AH32" i="3" s="1"/>
  <c r="AL16" i="3"/>
  <c r="AK16" i="3"/>
  <c r="AL15" i="3"/>
  <c r="AK15" i="3"/>
  <c r="AK17" i="3" s="1"/>
  <c r="AJ15" i="3"/>
  <c r="AL14" i="3"/>
  <c r="AK14" i="3"/>
  <c r="AL13" i="3"/>
  <c r="AK13" i="3"/>
  <c r="AL12" i="3"/>
  <c r="AL17" i="3" s="1"/>
  <c r="AL19" i="3" s="1"/>
  <c r="AK12" i="3"/>
  <c r="AJ12" i="3"/>
  <c r="AI13" i="3"/>
  <c r="AI12" i="3"/>
  <c r="AH17" i="3"/>
  <c r="AL6" i="3"/>
  <c r="AK6" i="3"/>
  <c r="AL5" i="3"/>
  <c r="AK5" i="3"/>
  <c r="AL4" i="3"/>
  <c r="AK4" i="3"/>
  <c r="AK3" i="3"/>
  <c r="AJ6" i="3"/>
  <c r="AJ5" i="3"/>
  <c r="AJ4" i="3"/>
  <c r="AJ3" i="3"/>
  <c r="AI6" i="3"/>
  <c r="AI5" i="3"/>
  <c r="AI4" i="3"/>
  <c r="AI3" i="3"/>
  <c r="AI7" i="3" s="1"/>
  <c r="AI9" i="3" s="1"/>
  <c r="AH7" i="3"/>
  <c r="T32" i="3"/>
  <c r="S32" i="3"/>
  <c r="R32" i="3"/>
  <c r="F32" i="3"/>
  <c r="E32" i="3"/>
  <c r="D32" i="3"/>
  <c r="C32" i="3"/>
  <c r="W30" i="3"/>
  <c r="V30" i="3"/>
  <c r="U30" i="3"/>
  <c r="T30" i="3"/>
  <c r="P30" i="3"/>
  <c r="M30" i="3"/>
  <c r="L30" i="3"/>
  <c r="I30" i="3"/>
  <c r="H30" i="3"/>
  <c r="P29" i="3"/>
  <c r="L29" i="3"/>
  <c r="H29" i="3"/>
  <c r="F30" i="3"/>
  <c r="E30" i="3"/>
  <c r="D30" i="3"/>
  <c r="G29" i="3"/>
  <c r="W27" i="3"/>
  <c r="V27" i="3"/>
  <c r="V29" i="3" s="1"/>
  <c r="U27" i="3"/>
  <c r="U29" i="3" s="1"/>
  <c r="T27" i="3"/>
  <c r="T29" i="3" s="1"/>
  <c r="S27" i="3"/>
  <c r="S30" i="3" s="1"/>
  <c r="R27" i="3"/>
  <c r="R30" i="3" s="1"/>
  <c r="Q27" i="3"/>
  <c r="Q32" i="3" s="1"/>
  <c r="P27" i="3"/>
  <c r="P32" i="3" s="1"/>
  <c r="O27" i="3"/>
  <c r="O29" i="3" s="1"/>
  <c r="M27" i="3"/>
  <c r="M29" i="3" s="1"/>
  <c r="L27" i="3"/>
  <c r="L32" i="3" s="1"/>
  <c r="K27" i="3"/>
  <c r="K29" i="3" s="1"/>
  <c r="I27" i="3"/>
  <c r="I29" i="3" s="1"/>
  <c r="H27" i="3"/>
  <c r="G27" i="3"/>
  <c r="G30" i="3" s="1"/>
  <c r="N26" i="3"/>
  <c r="J26" i="3"/>
  <c r="N25" i="3"/>
  <c r="J25" i="3"/>
  <c r="N24" i="3"/>
  <c r="AJ24" i="3" s="1"/>
  <c r="J24" i="3"/>
  <c r="AI24" i="3" s="1"/>
  <c r="N23" i="3"/>
  <c r="AJ23" i="3" s="1"/>
  <c r="J23" i="3"/>
  <c r="AI23" i="3" s="1"/>
  <c r="N22" i="3"/>
  <c r="N27" i="3" s="1"/>
  <c r="J22" i="3"/>
  <c r="J27" i="3" s="1"/>
  <c r="T20" i="3"/>
  <c r="S20" i="3"/>
  <c r="Q20" i="3"/>
  <c r="P20" i="3"/>
  <c r="M20" i="3"/>
  <c r="L20" i="3"/>
  <c r="I20" i="3"/>
  <c r="H20" i="3"/>
  <c r="T19" i="3"/>
  <c r="F20" i="3"/>
  <c r="E20" i="3"/>
  <c r="D20" i="3"/>
  <c r="W17" i="3"/>
  <c r="W20" i="3" s="1"/>
  <c r="V17" i="3"/>
  <c r="V20" i="3" s="1"/>
  <c r="U17" i="3"/>
  <c r="U32" i="3" s="1"/>
  <c r="T17" i="3"/>
  <c r="S17" i="3"/>
  <c r="S19" i="3" s="1"/>
  <c r="R17" i="3"/>
  <c r="R19" i="3" s="1"/>
  <c r="Q17" i="3"/>
  <c r="Q19" i="3" s="1"/>
  <c r="P17" i="3"/>
  <c r="O17" i="3"/>
  <c r="M17" i="3"/>
  <c r="M19" i="3" s="1"/>
  <c r="L17" i="3"/>
  <c r="P19" i="3" s="1"/>
  <c r="K17" i="3"/>
  <c r="O19" i="3" s="1"/>
  <c r="I17" i="3"/>
  <c r="I19" i="3" s="1"/>
  <c r="H17" i="3"/>
  <c r="L19" i="3" s="1"/>
  <c r="G17" i="3"/>
  <c r="G19" i="3" s="1"/>
  <c r="N16" i="3"/>
  <c r="J16" i="3"/>
  <c r="AI16" i="3" s="1"/>
  <c r="N15" i="3"/>
  <c r="J15" i="3"/>
  <c r="AJ14" i="3" s="1"/>
  <c r="N14" i="3"/>
  <c r="N17" i="3" s="1"/>
  <c r="J14" i="3"/>
  <c r="J17" i="3" s="1"/>
  <c r="N13" i="3"/>
  <c r="J13" i="3"/>
  <c r="N12" i="3"/>
  <c r="J12" i="3"/>
  <c r="V10" i="3"/>
  <c r="U10" i="3"/>
  <c r="T10" i="3"/>
  <c r="R10" i="3"/>
  <c r="Q10" i="3"/>
  <c r="P10" i="3"/>
  <c r="O10" i="3"/>
  <c r="N10" i="3"/>
  <c r="M10" i="3"/>
  <c r="L10" i="3"/>
  <c r="K10" i="3"/>
  <c r="J10" i="3"/>
  <c r="I10" i="3"/>
  <c r="H10" i="3"/>
  <c r="F10" i="3"/>
  <c r="E10" i="3"/>
  <c r="D10" i="3"/>
  <c r="S9" i="3"/>
  <c r="P9" i="3"/>
  <c r="J9" i="3"/>
  <c r="I9" i="3"/>
  <c r="H9" i="3"/>
  <c r="G9" i="3"/>
  <c r="V7" i="3"/>
  <c r="U7" i="3"/>
  <c r="T7" i="3"/>
  <c r="S7" i="3"/>
  <c r="S10" i="3" s="1"/>
  <c r="R7" i="3"/>
  <c r="V9" i="3" s="1"/>
  <c r="Q7" i="3"/>
  <c r="U9" i="3" s="1"/>
  <c r="P7" i="3"/>
  <c r="T9" i="3" s="1"/>
  <c r="O7" i="3"/>
  <c r="N7" i="3"/>
  <c r="R9" i="3" s="1"/>
  <c r="M7" i="3"/>
  <c r="Q9" i="3" s="1"/>
  <c r="L7" i="3"/>
  <c r="K7" i="3"/>
  <c r="O9" i="3" s="1"/>
  <c r="J7" i="3"/>
  <c r="N9" i="3" s="1"/>
  <c r="I7" i="3"/>
  <c r="M9" i="3" s="1"/>
  <c r="H7" i="3"/>
  <c r="L9" i="3" s="1"/>
  <c r="G7" i="3"/>
  <c r="G10" i="3" s="1"/>
  <c r="W7" i="3"/>
  <c r="W9" i="3" s="1"/>
  <c r="AN9" i="3" l="1"/>
  <c r="AO9" i="3"/>
  <c r="J8" i="1"/>
  <c r="AO29" i="3"/>
  <c r="AM7" i="3"/>
  <c r="AM9" i="3"/>
  <c r="AM32" i="3"/>
  <c r="X30" i="3"/>
  <c r="Z27" i="3"/>
  <c r="Z29" i="3" s="1"/>
  <c r="X32" i="3"/>
  <c r="X34" i="3" s="1"/>
  <c r="Z17" i="3"/>
  <c r="Z19" i="3" s="1"/>
  <c r="Z7" i="3"/>
  <c r="Z9" i="3" s="1"/>
  <c r="Y29" i="3"/>
  <c r="Y19" i="3"/>
  <c r="Y20" i="3"/>
  <c r="Y10" i="3"/>
  <c r="Y32" i="3"/>
  <c r="Y34" i="3" s="1"/>
  <c r="Y36" i="3" s="1"/>
  <c r="Y39" i="3" s="1"/>
  <c r="Y45" i="3" s="1"/>
  <c r="AA19" i="3"/>
  <c r="AA32" i="3"/>
  <c r="AA34" i="3" s="1"/>
  <c r="X9" i="3"/>
  <c r="J19" i="3"/>
  <c r="K20" i="3"/>
  <c r="J20" i="3"/>
  <c r="AJ16" i="3"/>
  <c r="J30" i="3"/>
  <c r="J32" i="3"/>
  <c r="J29" i="3"/>
  <c r="K30" i="3"/>
  <c r="N29" i="3"/>
  <c r="N32" i="3"/>
  <c r="O30" i="3"/>
  <c r="N30" i="3"/>
  <c r="AK29" i="3"/>
  <c r="AK32" i="3"/>
  <c r="N19" i="3"/>
  <c r="N20" i="3"/>
  <c r="O20" i="3"/>
  <c r="W32" i="3"/>
  <c r="W34" i="3" s="1"/>
  <c r="W29" i="3"/>
  <c r="X10" i="3"/>
  <c r="H19" i="3"/>
  <c r="AI15" i="3"/>
  <c r="X29" i="3"/>
  <c r="C6" i="4"/>
  <c r="K19" i="3"/>
  <c r="I32" i="3"/>
  <c r="AJ22" i="3"/>
  <c r="AJ27" i="3" s="1"/>
  <c r="C9" i="4"/>
  <c r="U19" i="3"/>
  <c r="R29" i="3"/>
  <c r="C5" i="4"/>
  <c r="AJ7" i="3"/>
  <c r="AJ9" i="3" s="1"/>
  <c r="C4" i="4"/>
  <c r="H32" i="3"/>
  <c r="K32" i="3"/>
  <c r="R20" i="3"/>
  <c r="V19" i="3"/>
  <c r="W19" i="3"/>
  <c r="G32" i="3"/>
  <c r="AI22" i="3"/>
  <c r="AI27" i="3" s="1"/>
  <c r="W10" i="3"/>
  <c r="M32" i="3"/>
  <c r="AK7" i="3"/>
  <c r="AJ13" i="3"/>
  <c r="AJ17" i="3" s="1"/>
  <c r="Q29" i="3"/>
  <c r="S29" i="3"/>
  <c r="AL7" i="3"/>
  <c r="AL32" i="3" s="1"/>
  <c r="V32" i="3"/>
  <c r="G20" i="3"/>
  <c r="U20" i="3"/>
  <c r="Q30" i="3"/>
  <c r="O32" i="3"/>
  <c r="AI14" i="3"/>
  <c r="AI17" i="3" s="1"/>
  <c r="AI19" i="3" s="1"/>
  <c r="K9" i="3"/>
  <c r="X20" i="3"/>
  <c r="C10" i="4"/>
  <c r="AX61" i="3"/>
  <c r="AH120" i="3"/>
  <c r="AH138" i="3" s="1"/>
  <c r="AK136" i="3"/>
  <c r="AJ136" i="3"/>
  <c r="AI136" i="3"/>
  <c r="AH136" i="3"/>
  <c r="AL136" i="3"/>
  <c r="W136" i="3"/>
  <c r="S136" i="3"/>
  <c r="C136" i="3"/>
  <c r="D136" i="3"/>
  <c r="AL126" i="3"/>
  <c r="AK126" i="3"/>
  <c r="AJ126" i="3"/>
  <c r="AI126" i="3"/>
  <c r="AH126" i="3"/>
  <c r="AL120" i="3"/>
  <c r="AL138" i="3" s="1"/>
  <c r="AK120" i="3"/>
  <c r="AK138" i="3" s="1"/>
  <c r="AJ120" i="3"/>
  <c r="AJ138" i="3" s="1"/>
  <c r="AI120" i="3"/>
  <c r="AI138" i="3" s="1"/>
  <c r="W120" i="3"/>
  <c r="S120" i="3"/>
  <c r="S138" i="3" s="1"/>
  <c r="C120" i="3"/>
  <c r="C138" i="3" s="1"/>
  <c r="AL102" i="3"/>
  <c r="AL100" i="3"/>
  <c r="AL99" i="3"/>
  <c r="AL98" i="3"/>
  <c r="AL97" i="3"/>
  <c r="AL96" i="3"/>
  <c r="AL95" i="3"/>
  <c r="AL94" i="3"/>
  <c r="AL92" i="3"/>
  <c r="AL91" i="3"/>
  <c r="AL90" i="3"/>
  <c r="AL89" i="3"/>
  <c r="AL88" i="3"/>
  <c r="AL87" i="3"/>
  <c r="AL86" i="3"/>
  <c r="AL85" i="3"/>
  <c r="AL84" i="3"/>
  <c r="AL82" i="3"/>
  <c r="AL81" i="3"/>
  <c r="AL80" i="3"/>
  <c r="AL79" i="3"/>
  <c r="AL78" i="3"/>
  <c r="AL77" i="3"/>
  <c r="AL75" i="3"/>
  <c r="AL74" i="3"/>
  <c r="AL73" i="3"/>
  <c r="AL72" i="3"/>
  <c r="AK102" i="3"/>
  <c r="AK100" i="3"/>
  <c r="AK99" i="3"/>
  <c r="AK98" i="3"/>
  <c r="AK97" i="3"/>
  <c r="AK96" i="3"/>
  <c r="AK95" i="3"/>
  <c r="AK94" i="3"/>
  <c r="AK92" i="3"/>
  <c r="AK91" i="3"/>
  <c r="AK90" i="3"/>
  <c r="AK89" i="3"/>
  <c r="AK88" i="3"/>
  <c r="AK87" i="3"/>
  <c r="AK86" i="3"/>
  <c r="AK85" i="3"/>
  <c r="AK84" i="3"/>
  <c r="AK82" i="3"/>
  <c r="AK81" i="3"/>
  <c r="AK80" i="3"/>
  <c r="AK79" i="3"/>
  <c r="AK78" i="3"/>
  <c r="AK77" i="3"/>
  <c r="AK75" i="3"/>
  <c r="AK74" i="3"/>
  <c r="AK73" i="3"/>
  <c r="AK72" i="3"/>
  <c r="AJ102" i="3"/>
  <c r="AJ100" i="3"/>
  <c r="AJ99" i="3"/>
  <c r="AJ98" i="3"/>
  <c r="AJ97" i="3"/>
  <c r="AJ96" i="3"/>
  <c r="AJ95" i="3"/>
  <c r="AJ94" i="3"/>
  <c r="AJ92" i="3"/>
  <c r="AJ91" i="3"/>
  <c r="AJ90" i="3"/>
  <c r="AJ89" i="3"/>
  <c r="AJ88" i="3"/>
  <c r="AJ87" i="3"/>
  <c r="AJ86" i="3"/>
  <c r="AJ85" i="3"/>
  <c r="AJ84" i="3"/>
  <c r="AJ82" i="3"/>
  <c r="AJ81" i="3"/>
  <c r="AJ80" i="3"/>
  <c r="AJ79" i="3"/>
  <c r="AJ78" i="3"/>
  <c r="AJ77" i="3"/>
  <c r="AJ75" i="3"/>
  <c r="AJ74" i="3"/>
  <c r="AJ73" i="3"/>
  <c r="AJ72" i="3"/>
  <c r="AI102" i="3"/>
  <c r="AI100" i="3"/>
  <c r="AI99" i="3"/>
  <c r="AI98" i="3"/>
  <c r="AI97" i="3"/>
  <c r="AI96" i="3"/>
  <c r="AI95" i="3"/>
  <c r="AI94" i="3"/>
  <c r="AI92" i="3"/>
  <c r="AI91" i="3"/>
  <c r="AI90" i="3"/>
  <c r="AI89" i="3"/>
  <c r="AI88" i="3"/>
  <c r="AI87" i="3"/>
  <c r="AI86" i="3"/>
  <c r="AI85" i="3"/>
  <c r="AI84" i="3"/>
  <c r="AI82" i="3"/>
  <c r="AI81" i="3"/>
  <c r="AI80" i="3"/>
  <c r="AI79" i="3"/>
  <c r="AI78" i="3"/>
  <c r="AI77" i="3"/>
  <c r="AI75" i="3"/>
  <c r="AI74" i="3"/>
  <c r="AI73" i="3"/>
  <c r="AI72" i="3"/>
  <c r="AH102" i="3"/>
  <c r="AH100" i="3"/>
  <c r="AH99" i="3"/>
  <c r="AH98" i="3"/>
  <c r="AH97" i="3"/>
  <c r="AH96" i="3"/>
  <c r="AH95" i="3"/>
  <c r="AH94" i="3"/>
  <c r="AH92" i="3"/>
  <c r="AH91" i="3"/>
  <c r="AH90" i="3"/>
  <c r="AH89" i="3"/>
  <c r="AH88" i="3"/>
  <c r="AH87" i="3"/>
  <c r="AH86" i="3"/>
  <c r="AH85" i="3"/>
  <c r="AH84" i="3"/>
  <c r="AH82" i="3"/>
  <c r="AH81" i="3"/>
  <c r="AH80" i="3"/>
  <c r="AH79" i="3"/>
  <c r="AH78" i="3"/>
  <c r="AH77" i="3"/>
  <c r="AH75" i="3"/>
  <c r="AH74" i="3"/>
  <c r="AH73" i="3"/>
  <c r="AH72" i="3"/>
  <c r="C52" i="3"/>
  <c r="D52" i="3"/>
  <c r="E52" i="3"/>
  <c r="F52" i="3"/>
  <c r="G52" i="3"/>
  <c r="H52" i="3"/>
  <c r="I52" i="3"/>
  <c r="J52" i="3"/>
  <c r="K52" i="3"/>
  <c r="L52" i="3"/>
  <c r="M52" i="3"/>
  <c r="N52" i="3"/>
  <c r="R52" i="3"/>
  <c r="Q52" i="3"/>
  <c r="P52" i="3"/>
  <c r="O52" i="3"/>
  <c r="V52" i="3"/>
  <c r="U52" i="3"/>
  <c r="T52" i="3"/>
  <c r="S52" i="3"/>
  <c r="S126" i="3"/>
  <c r="V120" i="3"/>
  <c r="U120" i="3"/>
  <c r="U138" i="3" s="1"/>
  <c r="T120" i="3"/>
  <c r="T138" i="3" s="1"/>
  <c r="R120" i="3"/>
  <c r="R138" i="3" s="1"/>
  <c r="Q120" i="3"/>
  <c r="P120" i="3"/>
  <c r="O120" i="3"/>
  <c r="O138" i="3" s="1"/>
  <c r="N120" i="3"/>
  <c r="N138" i="3" s="1"/>
  <c r="M120" i="3"/>
  <c r="L120" i="3"/>
  <c r="K120" i="3"/>
  <c r="J120" i="3"/>
  <c r="J138" i="3" s="1"/>
  <c r="I120" i="3"/>
  <c r="H120" i="3"/>
  <c r="G120" i="3"/>
  <c r="G138" i="3" s="1"/>
  <c r="F120" i="3"/>
  <c r="F138" i="3" s="1"/>
  <c r="E120" i="3"/>
  <c r="D120" i="3"/>
  <c r="D138" i="3" s="1"/>
  <c r="V126" i="3"/>
  <c r="U126" i="3"/>
  <c r="T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V136" i="3"/>
  <c r="U136" i="3"/>
  <c r="T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K138" i="3"/>
  <c r="AN19" i="3" l="1"/>
  <c r="AO19" i="3"/>
  <c r="AA36" i="3"/>
  <c r="AA58" i="3"/>
  <c r="Z30" i="3"/>
  <c r="AA30" i="3"/>
  <c r="AA20" i="3"/>
  <c r="Z20" i="3"/>
  <c r="Z10" i="3"/>
  <c r="Z32" i="3"/>
  <c r="Z34" i="3" s="1"/>
  <c r="Z36" i="3" s="1"/>
  <c r="Z39" i="3" s="1"/>
  <c r="Z45" i="3" s="1"/>
  <c r="AA10" i="3"/>
  <c r="AK9" i="3"/>
  <c r="AM138" i="3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CF138" i="3" s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  <c r="GZ138" i="3" s="1"/>
  <c r="HA138" i="3" s="1"/>
  <c r="HB138" i="3" s="1"/>
  <c r="HC138" i="3" s="1"/>
  <c r="HD138" i="3" s="1"/>
  <c r="HE138" i="3" s="1"/>
  <c r="HF138" i="3" s="1"/>
  <c r="HG138" i="3" s="1"/>
  <c r="HH138" i="3" s="1"/>
  <c r="HI138" i="3" s="1"/>
  <c r="HJ138" i="3" s="1"/>
  <c r="HK138" i="3" s="1"/>
  <c r="HL138" i="3" s="1"/>
  <c r="HM138" i="3" s="1"/>
  <c r="HN138" i="3" s="1"/>
  <c r="HO138" i="3" s="1"/>
  <c r="HP138" i="3" s="1"/>
  <c r="HQ138" i="3" s="1"/>
  <c r="HR138" i="3" s="1"/>
  <c r="HS138" i="3" s="1"/>
  <c r="HT138" i="3" s="1"/>
  <c r="HU138" i="3" s="1"/>
  <c r="HV138" i="3" s="1"/>
  <c r="HW138" i="3" s="1"/>
  <c r="HX138" i="3" s="1"/>
  <c r="HY138" i="3" s="1"/>
  <c r="HZ138" i="3" s="1"/>
  <c r="IA138" i="3" s="1"/>
  <c r="IB138" i="3" s="1"/>
  <c r="IC138" i="3" s="1"/>
  <c r="ID138" i="3" s="1"/>
  <c r="IE138" i="3" s="1"/>
  <c r="IF138" i="3" s="1"/>
  <c r="IG138" i="3" s="1"/>
  <c r="IH138" i="3" s="1"/>
  <c r="II138" i="3" s="1"/>
  <c r="IJ138" i="3" s="1"/>
  <c r="IK138" i="3" s="1"/>
  <c r="IL138" i="3" s="1"/>
  <c r="IM138" i="3" s="1"/>
  <c r="IN138" i="3" s="1"/>
  <c r="IO138" i="3" s="1"/>
  <c r="IP138" i="3" s="1"/>
  <c r="IQ138" i="3" s="1"/>
  <c r="IR138" i="3" s="1"/>
  <c r="IS138" i="3" s="1"/>
  <c r="IT138" i="3" s="1"/>
  <c r="IU138" i="3" s="1"/>
  <c r="IV138" i="3" s="1"/>
  <c r="IW138" i="3" s="1"/>
  <c r="IX138" i="3" s="1"/>
  <c r="IY138" i="3" s="1"/>
  <c r="IZ138" i="3" s="1"/>
  <c r="JA138" i="3" s="1"/>
  <c r="JB138" i="3" s="1"/>
  <c r="JC138" i="3" s="1"/>
  <c r="JD138" i="3" s="1"/>
  <c r="JE138" i="3" s="1"/>
  <c r="JF138" i="3" s="1"/>
  <c r="JG138" i="3" s="1"/>
  <c r="JH138" i="3" s="1"/>
  <c r="JI138" i="3" s="1"/>
  <c r="JJ138" i="3" s="1"/>
  <c r="JK138" i="3" s="1"/>
  <c r="JL138" i="3" s="1"/>
  <c r="JM138" i="3" s="1"/>
  <c r="JN138" i="3" s="1"/>
  <c r="JO138" i="3" s="1"/>
  <c r="JP138" i="3" s="1"/>
  <c r="JQ138" i="3" s="1"/>
  <c r="JR138" i="3" s="1"/>
  <c r="JS138" i="3" s="1"/>
  <c r="JT138" i="3" s="1"/>
  <c r="JU138" i="3" s="1"/>
  <c r="JV138" i="3" s="1"/>
  <c r="JW138" i="3" s="1"/>
  <c r="JX138" i="3" s="1"/>
  <c r="JY138" i="3" s="1"/>
  <c r="JZ138" i="3" s="1"/>
  <c r="KA138" i="3" s="1"/>
  <c r="KB138" i="3" s="1"/>
  <c r="KC138" i="3" s="1"/>
  <c r="KD138" i="3" s="1"/>
  <c r="KE138" i="3" s="1"/>
  <c r="KF138" i="3" s="1"/>
  <c r="KG138" i="3" s="1"/>
  <c r="KH138" i="3" s="1"/>
  <c r="KI138" i="3" s="1"/>
  <c r="KJ138" i="3" s="1"/>
  <c r="KK138" i="3" s="1"/>
  <c r="KL138" i="3" s="1"/>
  <c r="KM138" i="3" s="1"/>
  <c r="KN138" i="3" s="1"/>
  <c r="KO138" i="3" s="1"/>
  <c r="KP138" i="3" s="1"/>
  <c r="KQ138" i="3" s="1"/>
  <c r="KR138" i="3" s="1"/>
  <c r="KS138" i="3" s="1"/>
  <c r="KT138" i="3" s="1"/>
  <c r="KU138" i="3" s="1"/>
  <c r="KV138" i="3" s="1"/>
  <c r="KW138" i="3" s="1"/>
  <c r="KX138" i="3" s="1"/>
  <c r="KY138" i="3" s="1"/>
  <c r="KZ138" i="3" s="1"/>
  <c r="LA138" i="3" s="1"/>
  <c r="LB138" i="3" s="1"/>
  <c r="LC138" i="3" s="1"/>
  <c r="LD138" i="3" s="1"/>
  <c r="LE138" i="3" s="1"/>
  <c r="LF138" i="3" s="1"/>
  <c r="LG138" i="3" s="1"/>
  <c r="LH138" i="3" s="1"/>
  <c r="LI138" i="3" s="1"/>
  <c r="LJ138" i="3" s="1"/>
  <c r="LK138" i="3" s="1"/>
  <c r="LL138" i="3" s="1"/>
  <c r="LM138" i="3" s="1"/>
  <c r="LN138" i="3" s="1"/>
  <c r="LO138" i="3" s="1"/>
  <c r="LP138" i="3" s="1"/>
  <c r="LQ138" i="3" s="1"/>
  <c r="LR138" i="3" s="1"/>
  <c r="LS138" i="3" s="1"/>
  <c r="LT138" i="3" s="1"/>
  <c r="LU138" i="3" s="1"/>
  <c r="LV138" i="3" s="1"/>
  <c r="LW138" i="3" s="1"/>
  <c r="LX138" i="3" s="1"/>
  <c r="LY138" i="3" s="1"/>
  <c r="LZ138" i="3" s="1"/>
  <c r="MA138" i="3" s="1"/>
  <c r="MB138" i="3" s="1"/>
  <c r="MC138" i="3" s="1"/>
  <c r="MD138" i="3" s="1"/>
  <c r="ME138" i="3" s="1"/>
  <c r="MF138" i="3" s="1"/>
  <c r="MG138" i="3" s="1"/>
  <c r="MH138" i="3" s="1"/>
  <c r="MI138" i="3" s="1"/>
  <c r="MJ138" i="3" s="1"/>
  <c r="MK138" i="3" s="1"/>
  <c r="ML138" i="3" s="1"/>
  <c r="MM138" i="3" s="1"/>
  <c r="MN138" i="3" s="1"/>
  <c r="MO138" i="3" s="1"/>
  <c r="MP138" i="3" s="1"/>
  <c r="MQ138" i="3" s="1"/>
  <c r="MR138" i="3" s="1"/>
  <c r="MS138" i="3" s="1"/>
  <c r="MT138" i="3" s="1"/>
  <c r="MU138" i="3" s="1"/>
  <c r="MV138" i="3" s="1"/>
  <c r="MW138" i="3" s="1"/>
  <c r="MX138" i="3" s="1"/>
  <c r="MY138" i="3" s="1"/>
  <c r="MZ138" i="3" s="1"/>
  <c r="NA138" i="3" s="1"/>
  <c r="NB138" i="3" s="1"/>
  <c r="NC138" i="3" s="1"/>
  <c r="ND138" i="3" s="1"/>
  <c r="NE138" i="3" s="1"/>
  <c r="NF138" i="3" s="1"/>
  <c r="NG138" i="3" s="1"/>
  <c r="NH138" i="3" s="1"/>
  <c r="NI138" i="3" s="1"/>
  <c r="NJ138" i="3" s="1"/>
  <c r="NK138" i="3" s="1"/>
  <c r="NL138" i="3" s="1"/>
  <c r="NM138" i="3" s="1"/>
  <c r="NN138" i="3" s="1"/>
  <c r="NO138" i="3" s="1"/>
  <c r="NP138" i="3" s="1"/>
  <c r="NQ138" i="3" s="1"/>
  <c r="NR138" i="3" s="1"/>
  <c r="NS138" i="3" s="1"/>
  <c r="NT138" i="3" s="1"/>
  <c r="NU138" i="3" s="1"/>
  <c r="NV138" i="3" s="1"/>
  <c r="NW138" i="3" s="1"/>
  <c r="NX138" i="3" s="1"/>
  <c r="NY138" i="3" s="1"/>
  <c r="NZ138" i="3" s="1"/>
  <c r="OA138" i="3" s="1"/>
  <c r="OB138" i="3" s="1"/>
  <c r="OC138" i="3" s="1"/>
  <c r="OD138" i="3" s="1"/>
  <c r="OE138" i="3" s="1"/>
  <c r="OF138" i="3" s="1"/>
  <c r="OG138" i="3" s="1"/>
  <c r="OH138" i="3" s="1"/>
  <c r="OI138" i="3" s="1"/>
  <c r="OJ138" i="3" s="1"/>
  <c r="OK138" i="3" s="1"/>
  <c r="OL138" i="3" s="1"/>
  <c r="OM138" i="3" s="1"/>
  <c r="ON138" i="3" s="1"/>
  <c r="OO138" i="3" s="1"/>
  <c r="OP138" i="3" s="1"/>
  <c r="OQ138" i="3" s="1"/>
  <c r="OR138" i="3" s="1"/>
  <c r="OS138" i="3" s="1"/>
  <c r="OT138" i="3" s="1"/>
  <c r="OU138" i="3" s="1"/>
  <c r="OV138" i="3" s="1"/>
  <c r="OW138" i="3" s="1"/>
  <c r="OX138" i="3" s="1"/>
  <c r="OY138" i="3" s="1"/>
  <c r="OZ138" i="3" s="1"/>
  <c r="PA138" i="3" s="1"/>
  <c r="PB138" i="3" s="1"/>
  <c r="PC138" i="3" s="1"/>
  <c r="PD138" i="3" s="1"/>
  <c r="PE138" i="3" s="1"/>
  <c r="PF138" i="3" s="1"/>
  <c r="PG138" i="3" s="1"/>
  <c r="PH138" i="3" s="1"/>
  <c r="PI138" i="3" s="1"/>
  <c r="PJ138" i="3" s="1"/>
  <c r="PK138" i="3" s="1"/>
  <c r="PL138" i="3" s="1"/>
  <c r="PM138" i="3" s="1"/>
  <c r="PN138" i="3" s="1"/>
  <c r="PO138" i="3" s="1"/>
  <c r="PP138" i="3" s="1"/>
  <c r="PQ138" i="3" s="1"/>
  <c r="PR138" i="3" s="1"/>
  <c r="PS138" i="3" s="1"/>
  <c r="AJ19" i="3"/>
  <c r="AJ29" i="3"/>
  <c r="AJ32" i="3"/>
  <c r="AI29" i="3"/>
  <c r="AI32" i="3"/>
  <c r="AL9" i="3"/>
  <c r="AK19" i="3"/>
  <c r="AL137" i="3"/>
  <c r="AH137" i="3"/>
  <c r="AI137" i="3"/>
  <c r="AK137" i="3"/>
  <c r="AJ137" i="3"/>
  <c r="AI71" i="3"/>
  <c r="AH52" i="3"/>
  <c r="AI76" i="3"/>
  <c r="AI83" i="3" s="1"/>
  <c r="AH76" i="3"/>
  <c r="AH83" i="3" s="1"/>
  <c r="AL93" i="3"/>
  <c r="AI93" i="3"/>
  <c r="AI101" i="3" s="1"/>
  <c r="AI103" i="3" s="1"/>
  <c r="AK76" i="3"/>
  <c r="AK83" i="3" s="1"/>
  <c r="AK93" i="3"/>
  <c r="AK101" i="3" s="1"/>
  <c r="AK103" i="3" s="1"/>
  <c r="AK71" i="3"/>
  <c r="F137" i="3"/>
  <c r="R137" i="3"/>
  <c r="D137" i="3"/>
  <c r="H137" i="3"/>
  <c r="L137" i="3"/>
  <c r="P137" i="3"/>
  <c r="U137" i="3"/>
  <c r="S137" i="3"/>
  <c r="AJ93" i="3"/>
  <c r="AJ101" i="3" s="1"/>
  <c r="AJ103" i="3" s="1"/>
  <c r="AL76" i="3"/>
  <c r="AL83" i="3" s="1"/>
  <c r="E137" i="3"/>
  <c r="I137" i="3"/>
  <c r="M137" i="3"/>
  <c r="Q137" i="3"/>
  <c r="V137" i="3"/>
  <c r="AK52" i="3"/>
  <c r="AJ76" i="3"/>
  <c r="AJ83" i="3" s="1"/>
  <c r="J137" i="3"/>
  <c r="N137" i="3"/>
  <c r="AL52" i="3"/>
  <c r="AH93" i="3"/>
  <c r="AH101" i="3" s="1"/>
  <c r="AH103" i="3" s="1"/>
  <c r="AL71" i="3"/>
  <c r="AL101" i="3"/>
  <c r="AL103" i="3" s="1"/>
  <c r="AJ71" i="3"/>
  <c r="AH71" i="3"/>
  <c r="C137" i="3"/>
  <c r="K137" i="3"/>
  <c r="T137" i="3"/>
  <c r="L138" i="3"/>
  <c r="P138" i="3"/>
  <c r="G137" i="3"/>
  <c r="O137" i="3"/>
  <c r="H138" i="3"/>
  <c r="AJ52" i="3"/>
  <c r="AI52" i="3"/>
  <c r="E138" i="3"/>
  <c r="I138" i="3"/>
  <c r="M138" i="3"/>
  <c r="Q138" i="3"/>
  <c r="V138" i="3"/>
  <c r="W126" i="3"/>
  <c r="W93" i="3"/>
  <c r="W101" i="3" s="1"/>
  <c r="V93" i="3"/>
  <c r="U93" i="3"/>
  <c r="U101" i="3" s="1"/>
  <c r="U103" i="3" s="1"/>
  <c r="T93" i="3"/>
  <c r="T101" i="3" s="1"/>
  <c r="T103" i="3" s="1"/>
  <c r="S93" i="3"/>
  <c r="S101" i="3" s="1"/>
  <c r="S103" i="3" s="1"/>
  <c r="R93" i="3"/>
  <c r="R101" i="3" s="1"/>
  <c r="R103" i="3" s="1"/>
  <c r="Q93" i="3"/>
  <c r="Q101" i="3" s="1"/>
  <c r="Q103" i="3" s="1"/>
  <c r="P93" i="3"/>
  <c r="P101" i="3" s="1"/>
  <c r="P103" i="3" s="1"/>
  <c r="O93" i="3"/>
  <c r="O101" i="3" s="1"/>
  <c r="O103" i="3" s="1"/>
  <c r="N93" i="3"/>
  <c r="N101" i="3" s="1"/>
  <c r="N103" i="3" s="1"/>
  <c r="M93" i="3"/>
  <c r="M101" i="3" s="1"/>
  <c r="M103" i="3" s="1"/>
  <c r="L93" i="3"/>
  <c r="L101" i="3" s="1"/>
  <c r="L103" i="3" s="1"/>
  <c r="K93" i="3"/>
  <c r="J93" i="3"/>
  <c r="J101" i="3" s="1"/>
  <c r="J103" i="3" s="1"/>
  <c r="I93" i="3"/>
  <c r="I101" i="3" s="1"/>
  <c r="I103" i="3" s="1"/>
  <c r="H93" i="3"/>
  <c r="H101" i="3" s="1"/>
  <c r="H103" i="3" s="1"/>
  <c r="G93" i="3"/>
  <c r="G101" i="3" s="1"/>
  <c r="G103" i="3" s="1"/>
  <c r="F93" i="3"/>
  <c r="F101" i="3" s="1"/>
  <c r="F103" i="3" s="1"/>
  <c r="E93" i="3"/>
  <c r="E101" i="3" s="1"/>
  <c r="E103" i="3" s="1"/>
  <c r="D93" i="3"/>
  <c r="D101" i="3" s="1"/>
  <c r="D103" i="3" s="1"/>
  <c r="C93" i="3"/>
  <c r="C101" i="3" s="1"/>
  <c r="C103" i="3" s="1"/>
  <c r="C76" i="3"/>
  <c r="C83" i="3" s="1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D76" i="3"/>
  <c r="D83" i="3" s="1"/>
  <c r="E76" i="3"/>
  <c r="E83" i="3" s="1"/>
  <c r="F76" i="3"/>
  <c r="F83" i="3" s="1"/>
  <c r="G76" i="3"/>
  <c r="G83" i="3" s="1"/>
  <c r="H76" i="3"/>
  <c r="H83" i="3" s="1"/>
  <c r="I76" i="3"/>
  <c r="I83" i="3" s="1"/>
  <c r="J76" i="3"/>
  <c r="J83" i="3" s="1"/>
  <c r="K76" i="3"/>
  <c r="K83" i="3" s="1"/>
  <c r="L76" i="3"/>
  <c r="L83" i="3" s="1"/>
  <c r="M76" i="3"/>
  <c r="M83" i="3" s="1"/>
  <c r="N76" i="3"/>
  <c r="N83" i="3" s="1"/>
  <c r="O76" i="3"/>
  <c r="O83" i="3" s="1"/>
  <c r="P76" i="3"/>
  <c r="P83" i="3" s="1"/>
  <c r="Q76" i="3"/>
  <c r="Q83" i="3" s="1"/>
  <c r="R76" i="3"/>
  <c r="R83" i="3" s="1"/>
  <c r="S76" i="3"/>
  <c r="S83" i="3" s="1"/>
  <c r="T76" i="3"/>
  <c r="T83" i="3" s="1"/>
  <c r="U76" i="3"/>
  <c r="U83" i="3" s="1"/>
  <c r="V76" i="3"/>
  <c r="V83" i="3" s="1"/>
  <c r="W76" i="3"/>
  <c r="W83" i="3" s="1"/>
  <c r="K101" i="3"/>
  <c r="K103" i="3" s="1"/>
  <c r="V101" i="3"/>
  <c r="V103" i="3" s="1"/>
  <c r="AA39" i="3" l="1"/>
  <c r="AA66" i="3"/>
  <c r="J7" i="1"/>
  <c r="J9" i="1" s="1"/>
  <c r="J10" i="1" s="1"/>
  <c r="W103" i="3"/>
  <c r="W138" i="3"/>
  <c r="W137" i="3"/>
  <c r="AX63" i="3"/>
  <c r="AL42" i="3"/>
  <c r="AL41" i="3"/>
  <c r="AK42" i="3"/>
  <c r="AK41" i="3"/>
  <c r="AJ42" i="3"/>
  <c r="AJ41" i="3"/>
  <c r="AI42" i="3"/>
  <c r="AI41" i="3"/>
  <c r="AH42" i="3"/>
  <c r="AH41" i="3"/>
  <c r="Z59" i="3"/>
  <c r="Y59" i="3"/>
  <c r="Z60" i="3"/>
  <c r="X38" i="3"/>
  <c r="X5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T40" i="3"/>
  <c r="U40" i="3"/>
  <c r="V40" i="3"/>
  <c r="S40" i="3"/>
  <c r="AM49" i="3"/>
  <c r="X43" i="3"/>
  <c r="W43" i="3"/>
  <c r="W38" i="3"/>
  <c r="Y64" i="3"/>
  <c r="X64" i="3"/>
  <c r="W64" i="3"/>
  <c r="W60" i="3"/>
  <c r="W59" i="3"/>
  <c r="AL49" i="3"/>
  <c r="AL47" i="3"/>
  <c r="AL46" i="3"/>
  <c r="AL44" i="3"/>
  <c r="AL43" i="3"/>
  <c r="AL37" i="3"/>
  <c r="AL35" i="3"/>
  <c r="AL33" i="3"/>
  <c r="AL34" i="3" s="1"/>
  <c r="AH43" i="3"/>
  <c r="AI43" i="3"/>
  <c r="AJ43" i="3"/>
  <c r="AK43" i="3"/>
  <c r="AK37" i="3"/>
  <c r="AK35" i="3"/>
  <c r="AK33" i="3"/>
  <c r="AJ33" i="3"/>
  <c r="S59" i="3"/>
  <c r="T59" i="3"/>
  <c r="U59" i="3"/>
  <c r="V59" i="3"/>
  <c r="S60" i="3"/>
  <c r="T60" i="3"/>
  <c r="U60" i="3"/>
  <c r="V60" i="3"/>
  <c r="S64" i="3"/>
  <c r="T64" i="3"/>
  <c r="U64" i="3"/>
  <c r="V64" i="3"/>
  <c r="V34" i="3"/>
  <c r="V36" i="3" s="1"/>
  <c r="V38" i="3"/>
  <c r="U38" i="3"/>
  <c r="T38" i="3"/>
  <c r="S38" i="3"/>
  <c r="R38" i="3"/>
  <c r="U34" i="3"/>
  <c r="T34" i="3"/>
  <c r="S34" i="3"/>
  <c r="S36" i="3" s="1"/>
  <c r="S39" i="3" s="1"/>
  <c r="S67" i="3" s="1"/>
  <c r="R34" i="3"/>
  <c r="Q34" i="3"/>
  <c r="AA45" i="3" l="1"/>
  <c r="AA67" i="3"/>
  <c r="AA62" i="3"/>
  <c r="U36" i="3"/>
  <c r="T36" i="3"/>
  <c r="X58" i="3"/>
  <c r="W36" i="3"/>
  <c r="W66" i="3" s="1"/>
  <c r="W58" i="3"/>
  <c r="U39" i="3"/>
  <c r="U45" i="3" s="1"/>
  <c r="U68" i="3" s="1"/>
  <c r="Z61" i="3"/>
  <c r="Z64" i="3"/>
  <c r="AM41" i="3"/>
  <c r="AO41" i="3" s="1"/>
  <c r="AP41" i="3" s="1"/>
  <c r="AQ41" i="3" s="1"/>
  <c r="AR41" i="3" s="1"/>
  <c r="Y60" i="3"/>
  <c r="AM42" i="3"/>
  <c r="AO42" i="3" s="1"/>
  <c r="AP42" i="3" s="1"/>
  <c r="AQ42" i="3" s="1"/>
  <c r="AR42" i="3" s="1"/>
  <c r="AH40" i="3"/>
  <c r="AM44" i="3"/>
  <c r="AO44" i="3" s="1"/>
  <c r="AP44" i="3" s="1"/>
  <c r="AQ44" i="3" s="1"/>
  <c r="AR44" i="3" s="1"/>
  <c r="AM43" i="3"/>
  <c r="AO43" i="3" s="1"/>
  <c r="AP43" i="3" s="1"/>
  <c r="AQ43" i="3" s="1"/>
  <c r="AR43" i="3" s="1"/>
  <c r="AI40" i="3"/>
  <c r="AM40" i="3"/>
  <c r="AO40" i="3" s="1"/>
  <c r="AP40" i="3" s="1"/>
  <c r="AQ40" i="3" s="1"/>
  <c r="AR40" i="3" s="1"/>
  <c r="AL36" i="3"/>
  <c r="X60" i="3"/>
  <c r="S45" i="3"/>
  <c r="AM35" i="3"/>
  <c r="AM47" i="3"/>
  <c r="X61" i="3"/>
  <c r="AL40" i="3"/>
  <c r="AM37" i="3"/>
  <c r="W61" i="3"/>
  <c r="Y61" i="3"/>
  <c r="AK34" i="3"/>
  <c r="AK36" i="3" s="1"/>
  <c r="V61" i="3"/>
  <c r="V39" i="3"/>
  <c r="U66" i="3"/>
  <c r="T39" i="3"/>
  <c r="U58" i="3"/>
  <c r="V66" i="3"/>
  <c r="T66" i="3"/>
  <c r="V58" i="3"/>
  <c r="S66" i="3"/>
  <c r="Q38" i="3"/>
  <c r="U61" i="3" s="1"/>
  <c r="Q36" i="3"/>
  <c r="AA48" i="3" l="1"/>
  <c r="AA68" i="3"/>
  <c r="AM34" i="3"/>
  <c r="AM36" i="3" s="1"/>
  <c r="W39" i="3"/>
  <c r="W45" i="3" s="1"/>
  <c r="U67" i="3"/>
  <c r="W62" i="3"/>
  <c r="V67" i="3"/>
  <c r="V45" i="3"/>
  <c r="V48" i="3" s="1"/>
  <c r="V106" i="3" s="1"/>
  <c r="T67" i="3"/>
  <c r="T45" i="3"/>
  <c r="T48" i="3" s="1"/>
  <c r="T106" i="3" s="1"/>
  <c r="U48" i="3"/>
  <c r="X36" i="3"/>
  <c r="Z58" i="3"/>
  <c r="Y58" i="3"/>
  <c r="AL58" i="3"/>
  <c r="W67" i="3"/>
  <c r="S48" i="3"/>
  <c r="S106" i="3" s="1"/>
  <c r="S68" i="3"/>
  <c r="AU63" i="3"/>
  <c r="AU61" i="3"/>
  <c r="AA50" i="3" l="1"/>
  <c r="AA65" i="3" s="1"/>
  <c r="AA106" i="3"/>
  <c r="AA63" i="3"/>
  <c r="V68" i="3"/>
  <c r="U50" i="3"/>
  <c r="U106" i="3"/>
  <c r="T68" i="3"/>
  <c r="AM45" i="3"/>
  <c r="Y66" i="3"/>
  <c r="Z66" i="3"/>
  <c r="X66" i="3"/>
  <c r="C15" i="4" s="1"/>
  <c r="X39" i="3"/>
  <c r="W68" i="3"/>
  <c r="W48" i="3"/>
  <c r="W106" i="3" s="1"/>
  <c r="S50" i="3"/>
  <c r="V50" i="3"/>
  <c r="T50" i="3"/>
  <c r="Q64" i="3"/>
  <c r="AK47" i="3"/>
  <c r="G64" i="3"/>
  <c r="R64" i="3"/>
  <c r="P64" i="3"/>
  <c r="O64" i="3"/>
  <c r="N64" i="3"/>
  <c r="M64" i="3"/>
  <c r="L64" i="3"/>
  <c r="K64" i="3"/>
  <c r="J64" i="3"/>
  <c r="I64" i="3"/>
  <c r="H64" i="3"/>
  <c r="P60" i="3"/>
  <c r="O60" i="3"/>
  <c r="N60" i="3"/>
  <c r="M60" i="3"/>
  <c r="L60" i="3"/>
  <c r="K60" i="3"/>
  <c r="J60" i="3"/>
  <c r="I60" i="3"/>
  <c r="H60" i="3"/>
  <c r="G60" i="3"/>
  <c r="G59" i="3"/>
  <c r="P59" i="3"/>
  <c r="O59" i="3"/>
  <c r="N59" i="3"/>
  <c r="M59" i="3"/>
  <c r="L59" i="3"/>
  <c r="K59" i="3"/>
  <c r="J59" i="3"/>
  <c r="I59" i="3"/>
  <c r="H59" i="3"/>
  <c r="C3" i="2"/>
  <c r="AK49" i="3"/>
  <c r="AK44" i="3"/>
  <c r="AJ46" i="3"/>
  <c r="AJ49" i="3"/>
  <c r="AJ47" i="3"/>
  <c r="AJ44" i="3"/>
  <c r="AJ37" i="3"/>
  <c r="AJ35" i="3"/>
  <c r="AJ34" i="3"/>
  <c r="AI49" i="3"/>
  <c r="AI47" i="3"/>
  <c r="AI46" i="3"/>
  <c r="AI44" i="3"/>
  <c r="AI37" i="3"/>
  <c r="AI35" i="3"/>
  <c r="AI33" i="3"/>
  <c r="AH44" i="3"/>
  <c r="AH37" i="3"/>
  <c r="AH35" i="3"/>
  <c r="AH49" i="3"/>
  <c r="AH47" i="3"/>
  <c r="AH46" i="3"/>
  <c r="AH33" i="3"/>
  <c r="M34" i="3"/>
  <c r="M36" i="3" s="1"/>
  <c r="M66" i="3" s="1"/>
  <c r="M38" i="3"/>
  <c r="N34" i="3"/>
  <c r="N38" i="3"/>
  <c r="AK40" i="3"/>
  <c r="O34" i="3"/>
  <c r="S58" i="3" s="1"/>
  <c r="O38" i="3"/>
  <c r="S61" i="3" s="1"/>
  <c r="K34" i="3"/>
  <c r="K36" i="3" s="1"/>
  <c r="K66" i="3" s="1"/>
  <c r="K38" i="3"/>
  <c r="P38" i="3"/>
  <c r="T61" i="3" s="1"/>
  <c r="P34" i="3"/>
  <c r="L38" i="3"/>
  <c r="L34" i="3"/>
  <c r="L36" i="3" s="1"/>
  <c r="L66" i="3" s="1"/>
  <c r="F38" i="3"/>
  <c r="F34" i="3"/>
  <c r="F36" i="3" s="1"/>
  <c r="F66" i="3" s="1"/>
  <c r="J38" i="3"/>
  <c r="J34" i="3"/>
  <c r="J36" i="3" s="1"/>
  <c r="I38" i="3"/>
  <c r="I34" i="3"/>
  <c r="I36" i="3" s="1"/>
  <c r="I66" i="3" s="1"/>
  <c r="E38" i="3"/>
  <c r="E34" i="3"/>
  <c r="E36" i="3" s="1"/>
  <c r="E66" i="3" s="1"/>
  <c r="H34" i="3"/>
  <c r="H38" i="3"/>
  <c r="D34" i="3"/>
  <c r="D36" i="3" s="1"/>
  <c r="D66" i="3" s="1"/>
  <c r="D38" i="3"/>
  <c r="C38" i="3"/>
  <c r="C34" i="3"/>
  <c r="C36" i="3" s="1"/>
  <c r="G38" i="3"/>
  <c r="G34" i="3"/>
  <c r="C16" i="2"/>
  <c r="C4" i="1" a="1"/>
  <c r="C4" i="1" s="1"/>
  <c r="M4" i="1" l="1"/>
  <c r="J11" i="1"/>
  <c r="J12" i="1" s="1"/>
  <c r="G11" i="1"/>
  <c r="AU66" i="3"/>
  <c r="AX66" i="3"/>
  <c r="AK45" i="3"/>
  <c r="Y62" i="3"/>
  <c r="Z62" i="3"/>
  <c r="X45" i="3"/>
  <c r="X48" i="3" s="1"/>
  <c r="X50" i="3" s="1"/>
  <c r="X62" i="3"/>
  <c r="X67" i="3"/>
  <c r="C16" i="4" s="1"/>
  <c r="Y67" i="3"/>
  <c r="Z67" i="3"/>
  <c r="W63" i="3"/>
  <c r="W50" i="3"/>
  <c r="W65" i="3" s="1"/>
  <c r="G58" i="3"/>
  <c r="H58" i="3"/>
  <c r="AH34" i="3"/>
  <c r="AH36" i="3" s="1"/>
  <c r="AH66" i="3" s="1"/>
  <c r="AJ61" i="3"/>
  <c r="G61" i="3"/>
  <c r="P36" i="3"/>
  <c r="P66" i="3" s="1"/>
  <c r="T58" i="3"/>
  <c r="AI60" i="3"/>
  <c r="I58" i="3"/>
  <c r="K61" i="3"/>
  <c r="AI64" i="3"/>
  <c r="AJ64" i="3"/>
  <c r="M58" i="3"/>
  <c r="I61" i="3"/>
  <c r="J61" i="3"/>
  <c r="G36" i="3"/>
  <c r="G66" i="3" s="1"/>
  <c r="O61" i="3"/>
  <c r="M61" i="3"/>
  <c r="H61" i="3"/>
  <c r="H36" i="3"/>
  <c r="H66" i="3" s="1"/>
  <c r="F39" i="3"/>
  <c r="F45" i="3" s="1"/>
  <c r="P61" i="3"/>
  <c r="AI61" i="3"/>
  <c r="N61" i="3"/>
  <c r="AJ60" i="3"/>
  <c r="C39" i="3"/>
  <c r="C45" i="3" s="1"/>
  <c r="J39" i="3"/>
  <c r="AJ40" i="3"/>
  <c r="N36" i="3"/>
  <c r="N66" i="3" s="1"/>
  <c r="AJ59" i="3"/>
  <c r="AJ36" i="3"/>
  <c r="Q58" i="3"/>
  <c r="O36" i="3"/>
  <c r="O66" i="3" s="1"/>
  <c r="AK58" i="3"/>
  <c r="J66" i="3"/>
  <c r="L61" i="3"/>
  <c r="AI59" i="3"/>
  <c r="C66" i="3"/>
  <c r="K58" i="3"/>
  <c r="O58" i="3"/>
  <c r="J58" i="3"/>
  <c r="N58" i="3"/>
  <c r="E39" i="3"/>
  <c r="E45" i="3" s="1"/>
  <c r="L58" i="3"/>
  <c r="P58" i="3"/>
  <c r="C6" i="1"/>
  <c r="C9" i="1" s="1"/>
  <c r="AL64" i="3"/>
  <c r="AK64" i="3"/>
  <c r="Q39" i="3"/>
  <c r="Q66" i="3"/>
  <c r="R58" i="3"/>
  <c r="Q61" i="3"/>
  <c r="AI34" i="3"/>
  <c r="M39" i="3"/>
  <c r="K39" i="3"/>
  <c r="L39" i="3"/>
  <c r="I39" i="3"/>
  <c r="D39" i="3"/>
  <c r="D45" i="3" s="1"/>
  <c r="C11" i="2"/>
  <c r="G39" i="3" l="1"/>
  <c r="G62" i="3" s="1"/>
  <c r="J45" i="3"/>
  <c r="J68" i="3" s="1"/>
  <c r="J62" i="3"/>
  <c r="I45" i="3"/>
  <c r="I62" i="3"/>
  <c r="Q45" i="3"/>
  <c r="Q48" i="3" s="1"/>
  <c r="Q62" i="3"/>
  <c r="U62" i="3"/>
  <c r="G45" i="3"/>
  <c r="L45" i="3"/>
  <c r="K45" i="3"/>
  <c r="K62" i="3"/>
  <c r="M45" i="3"/>
  <c r="M62" i="3"/>
  <c r="P39" i="3"/>
  <c r="F67" i="3"/>
  <c r="F68" i="3"/>
  <c r="E67" i="3"/>
  <c r="E48" i="3"/>
  <c r="J67" i="3"/>
  <c r="N39" i="3"/>
  <c r="C4" i="2"/>
  <c r="C5" i="2" s="1"/>
  <c r="C6" i="2" s="1"/>
  <c r="O39" i="3"/>
  <c r="O67" i="3" s="1"/>
  <c r="C67" i="3"/>
  <c r="H39" i="3"/>
  <c r="AJ66" i="3"/>
  <c r="I67" i="3"/>
  <c r="L67" i="3"/>
  <c r="M67" i="3"/>
  <c r="D68" i="3"/>
  <c r="D67" i="3"/>
  <c r="F48" i="3"/>
  <c r="K67" i="3"/>
  <c r="AI36" i="3"/>
  <c r="AI58" i="3"/>
  <c r="AJ58" i="3"/>
  <c r="AM64" i="3"/>
  <c r="R61" i="3"/>
  <c r="R60" i="3"/>
  <c r="Q59" i="3"/>
  <c r="Q60" i="3"/>
  <c r="Z68" i="3" l="1"/>
  <c r="Z48" i="3"/>
  <c r="Z50" i="3" s="1"/>
  <c r="Z65" i="3" s="1"/>
  <c r="Y68" i="3"/>
  <c r="Y48" i="3"/>
  <c r="Y50" i="3" s="1"/>
  <c r="G67" i="3"/>
  <c r="E50" i="3"/>
  <c r="E106" i="3"/>
  <c r="U63" i="3"/>
  <c r="Q106" i="3"/>
  <c r="F50" i="3"/>
  <c r="F106" i="3"/>
  <c r="H45" i="3"/>
  <c r="H48" i="3" s="1"/>
  <c r="H106" i="3" s="1"/>
  <c r="H62" i="3"/>
  <c r="AH67" i="3"/>
  <c r="AH45" i="3"/>
  <c r="AH68" i="3" s="1"/>
  <c r="P45" i="3"/>
  <c r="P68" i="3" s="1"/>
  <c r="P62" i="3"/>
  <c r="T62" i="3"/>
  <c r="P67" i="3"/>
  <c r="AM46" i="3"/>
  <c r="L62" i="3"/>
  <c r="N45" i="3"/>
  <c r="N68" i="3" s="1"/>
  <c r="N62" i="3"/>
  <c r="AJ45" i="3"/>
  <c r="AK62" i="3"/>
  <c r="O45" i="3"/>
  <c r="O68" i="3" s="1"/>
  <c r="O62" i="3"/>
  <c r="S62" i="3"/>
  <c r="X68" i="3"/>
  <c r="C7" i="2"/>
  <c r="J48" i="3"/>
  <c r="E68" i="3"/>
  <c r="N67" i="3"/>
  <c r="H67" i="3"/>
  <c r="AO34" i="3"/>
  <c r="C68" i="3"/>
  <c r="C48" i="3"/>
  <c r="D48" i="3"/>
  <c r="G48" i="3"/>
  <c r="G106" i="3" s="1"/>
  <c r="G68" i="3"/>
  <c r="K68" i="3"/>
  <c r="K48" i="3"/>
  <c r="K106" i="3" s="1"/>
  <c r="L68" i="3"/>
  <c r="L48" i="3"/>
  <c r="AJ67" i="3"/>
  <c r="AJ62" i="3"/>
  <c r="AI66" i="3"/>
  <c r="M48" i="3"/>
  <c r="M68" i="3"/>
  <c r="I48" i="3"/>
  <c r="I106" i="3" s="1"/>
  <c r="I68" i="3"/>
  <c r="AN64" i="3"/>
  <c r="AO49" i="3"/>
  <c r="Q50" i="3"/>
  <c r="U65" i="3" s="1"/>
  <c r="AK60" i="3"/>
  <c r="AK61" i="3"/>
  <c r="Q67" i="3"/>
  <c r="AP34" i="3" l="1"/>
  <c r="AP58" i="3" s="1"/>
  <c r="AO36" i="3"/>
  <c r="AO35" i="3" s="1"/>
  <c r="Y63" i="3"/>
  <c r="X63" i="3"/>
  <c r="C19" i="4"/>
  <c r="C18" i="4"/>
  <c r="C17" i="4"/>
  <c r="X65" i="3"/>
  <c r="P48" i="3"/>
  <c r="P106" i="3" s="1"/>
  <c r="Q63" i="3"/>
  <c r="M106" i="3"/>
  <c r="L50" i="3"/>
  <c r="L106" i="3"/>
  <c r="D50" i="3"/>
  <c r="D106" i="3"/>
  <c r="C50" i="3"/>
  <c r="C106" i="3"/>
  <c r="J50" i="3"/>
  <c r="J65" i="3" s="1"/>
  <c r="J106" i="3"/>
  <c r="H68" i="3"/>
  <c r="O48" i="3"/>
  <c r="O63" i="3" s="1"/>
  <c r="AO64" i="3"/>
  <c r="AP49" i="3"/>
  <c r="AI45" i="3"/>
  <c r="AI62" i="3"/>
  <c r="Z63" i="3"/>
  <c r="Y65" i="3"/>
  <c r="J63" i="3"/>
  <c r="AH48" i="3"/>
  <c r="N48" i="3"/>
  <c r="P50" i="3"/>
  <c r="T65" i="3" s="1"/>
  <c r="T63" i="3"/>
  <c r="K63" i="3"/>
  <c r="AL66" i="3"/>
  <c r="AM66" i="3"/>
  <c r="AM58" i="3"/>
  <c r="AJ48" i="3"/>
  <c r="AJ68" i="3"/>
  <c r="L63" i="3"/>
  <c r="P63" i="3"/>
  <c r="H50" i="3"/>
  <c r="H63" i="3"/>
  <c r="I50" i="3"/>
  <c r="I65" i="3" s="1"/>
  <c r="I63" i="3"/>
  <c r="M50" i="3"/>
  <c r="M63" i="3"/>
  <c r="AI67" i="3"/>
  <c r="K50" i="3"/>
  <c r="G63" i="3"/>
  <c r="G50" i="3"/>
  <c r="AL60" i="3"/>
  <c r="AN58" i="3"/>
  <c r="Q68" i="3"/>
  <c r="AP36" i="3" l="1"/>
  <c r="AP66" i="3" s="1"/>
  <c r="AQ34" i="3"/>
  <c r="AQ58" i="3" s="1"/>
  <c r="AR34" i="3"/>
  <c r="AH55" i="3"/>
  <c r="H65" i="3"/>
  <c r="AJ106" i="3"/>
  <c r="AJ55" i="3"/>
  <c r="AH50" i="3"/>
  <c r="AH53" i="3" s="1"/>
  <c r="AH106" i="3"/>
  <c r="N50" i="3"/>
  <c r="N65" i="3" s="1"/>
  <c r="N106" i="3"/>
  <c r="S63" i="3"/>
  <c r="O106" i="3"/>
  <c r="O50" i="3"/>
  <c r="S65" i="3" s="1"/>
  <c r="G65" i="3"/>
  <c r="AP64" i="3"/>
  <c r="AQ49" i="3"/>
  <c r="AQ64" i="3" s="1"/>
  <c r="M65" i="3"/>
  <c r="N63" i="3"/>
  <c r="P65" i="3"/>
  <c r="AM59" i="3"/>
  <c r="AI48" i="3"/>
  <c r="AI68" i="3"/>
  <c r="Q65" i="3"/>
  <c r="AJ50" i="3"/>
  <c r="AJ53" i="3" s="1"/>
  <c r="K65" i="3"/>
  <c r="L65" i="3"/>
  <c r="AO58" i="3"/>
  <c r="AO66" i="3"/>
  <c r="AN66" i="3"/>
  <c r="AL61" i="3"/>
  <c r="AM60" i="3"/>
  <c r="AP35" i="3" l="1"/>
  <c r="AQ36" i="3"/>
  <c r="AQ66" i="3" s="1"/>
  <c r="AR36" i="3"/>
  <c r="AR35" i="3" s="1"/>
  <c r="AI55" i="3"/>
  <c r="AJ56" i="3" s="1"/>
  <c r="AJ63" i="3"/>
  <c r="AI106" i="3"/>
  <c r="O65" i="3"/>
  <c r="AL45" i="3"/>
  <c r="AL62" i="3"/>
  <c r="AM62" i="3"/>
  <c r="AN59" i="3"/>
  <c r="AI63" i="3"/>
  <c r="AI50" i="3"/>
  <c r="AM61" i="3"/>
  <c r="AL67" i="3"/>
  <c r="AO37" i="3"/>
  <c r="AN60" i="3"/>
  <c r="AQ35" i="3" l="1"/>
  <c r="AQ59" i="3" s="1"/>
  <c r="AP37" i="3"/>
  <c r="AP38" i="3" s="1"/>
  <c r="AP39" i="3" s="1"/>
  <c r="AO38" i="3"/>
  <c r="AO39" i="3" s="1"/>
  <c r="AI56" i="3"/>
  <c r="AI65" i="3"/>
  <c r="AI53" i="3"/>
  <c r="AO59" i="3"/>
  <c r="AP59" i="3"/>
  <c r="AJ65" i="3"/>
  <c r="AL68" i="3"/>
  <c r="AN61" i="3"/>
  <c r="AM67" i="3"/>
  <c r="AO60" i="3"/>
  <c r="AP60" i="3" l="1"/>
  <c r="AQ37" i="3"/>
  <c r="AR37" i="3"/>
  <c r="AQ38" i="3"/>
  <c r="AQ39" i="3" s="1"/>
  <c r="AQ60" i="3"/>
  <c r="AP61" i="3"/>
  <c r="AN45" i="3"/>
  <c r="AN62" i="3"/>
  <c r="AN67" i="3"/>
  <c r="AO61" i="3"/>
  <c r="AL48" i="3"/>
  <c r="AL55" i="3" s="1"/>
  <c r="AR38" i="3" l="1"/>
  <c r="AR39" i="3" s="1"/>
  <c r="AR45" i="3" s="1"/>
  <c r="AR48" i="3" s="1"/>
  <c r="AL106" i="3"/>
  <c r="AP62" i="3"/>
  <c r="AP67" i="3"/>
  <c r="AP45" i="3"/>
  <c r="AQ61" i="3"/>
  <c r="AN48" i="3"/>
  <c r="AN55" i="3" s="1"/>
  <c r="AO45" i="3"/>
  <c r="AO62" i="3"/>
  <c r="AM68" i="3"/>
  <c r="AM48" i="3"/>
  <c r="AO67" i="3"/>
  <c r="AL50" i="3"/>
  <c r="AR50" i="3" l="1"/>
  <c r="AS48" i="3"/>
  <c r="AM50" i="3"/>
  <c r="AM53" i="3" s="1"/>
  <c r="AM55" i="3"/>
  <c r="AM56" i="3" s="1"/>
  <c r="AN56" i="3"/>
  <c r="AL53" i="3"/>
  <c r="C22" i="4"/>
  <c r="AQ67" i="3"/>
  <c r="AQ62" i="3"/>
  <c r="AQ45" i="3"/>
  <c r="AP68" i="3"/>
  <c r="AN68" i="3"/>
  <c r="AM63" i="3"/>
  <c r="AO68" i="3"/>
  <c r="AN50" i="3"/>
  <c r="AN63" i="3"/>
  <c r="AM65" i="3" l="1"/>
  <c r="AN65" i="3"/>
  <c r="AQ68" i="3"/>
  <c r="AP48" i="3"/>
  <c r="AP50" i="3" s="1"/>
  <c r="AO48" i="3"/>
  <c r="AQ48" i="3" l="1"/>
  <c r="AQ50" i="3" s="1"/>
  <c r="AQ65" i="3" s="1"/>
  <c r="AO50" i="3"/>
  <c r="AP63" i="3"/>
  <c r="AO63" i="3"/>
  <c r="AQ63" i="3" l="1"/>
  <c r="AT48" i="3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A48" i="3" s="1"/>
  <c r="DB48" i="3" s="1"/>
  <c r="DC48" i="3" s="1"/>
  <c r="DD48" i="3" s="1"/>
  <c r="DE48" i="3" s="1"/>
  <c r="DF48" i="3" s="1"/>
  <c r="DG48" i="3" s="1"/>
  <c r="DH48" i="3" s="1"/>
  <c r="DI48" i="3" s="1"/>
  <c r="DJ48" i="3" s="1"/>
  <c r="DK48" i="3" s="1"/>
  <c r="DL48" i="3" s="1"/>
  <c r="DM48" i="3" s="1"/>
  <c r="DN48" i="3" s="1"/>
  <c r="DO48" i="3" s="1"/>
  <c r="DP48" i="3" s="1"/>
  <c r="DQ48" i="3" s="1"/>
  <c r="DR48" i="3" s="1"/>
  <c r="DS48" i="3" s="1"/>
  <c r="DT48" i="3" s="1"/>
  <c r="DU48" i="3" s="1"/>
  <c r="DV48" i="3" s="1"/>
  <c r="DW48" i="3" s="1"/>
  <c r="DX48" i="3" s="1"/>
  <c r="DY48" i="3" s="1"/>
  <c r="DZ48" i="3" s="1"/>
  <c r="EA48" i="3" s="1"/>
  <c r="EB48" i="3" s="1"/>
  <c r="EC48" i="3" s="1"/>
  <c r="ED48" i="3" s="1"/>
  <c r="EE48" i="3" s="1"/>
  <c r="EF48" i="3" s="1"/>
  <c r="EG48" i="3" s="1"/>
  <c r="EH48" i="3" s="1"/>
  <c r="EI48" i="3" s="1"/>
  <c r="EJ48" i="3" s="1"/>
  <c r="EK48" i="3" s="1"/>
  <c r="EL48" i="3" s="1"/>
  <c r="EM48" i="3" s="1"/>
  <c r="EN48" i="3" s="1"/>
  <c r="EO48" i="3" s="1"/>
  <c r="EP48" i="3" s="1"/>
  <c r="EQ48" i="3" s="1"/>
  <c r="ER48" i="3" s="1"/>
  <c r="ES48" i="3" s="1"/>
  <c r="ET48" i="3" s="1"/>
  <c r="EU48" i="3" s="1"/>
  <c r="EV48" i="3" s="1"/>
  <c r="EW48" i="3" s="1"/>
  <c r="EX48" i="3" s="1"/>
  <c r="EY48" i="3" s="1"/>
  <c r="EZ48" i="3" s="1"/>
  <c r="FA48" i="3" s="1"/>
  <c r="FB48" i="3" s="1"/>
  <c r="FC48" i="3" s="1"/>
  <c r="FD48" i="3" s="1"/>
  <c r="FE48" i="3" s="1"/>
  <c r="FF48" i="3" s="1"/>
  <c r="FG48" i="3" s="1"/>
  <c r="FH48" i="3" s="1"/>
  <c r="FI48" i="3" s="1"/>
  <c r="FJ48" i="3" s="1"/>
  <c r="FK48" i="3" s="1"/>
  <c r="FL48" i="3" s="1"/>
  <c r="FM48" i="3" s="1"/>
  <c r="FN48" i="3" s="1"/>
  <c r="FO48" i="3" s="1"/>
  <c r="FP48" i="3" s="1"/>
  <c r="FQ48" i="3" s="1"/>
  <c r="FR48" i="3" s="1"/>
  <c r="FS48" i="3" s="1"/>
  <c r="FT48" i="3" s="1"/>
  <c r="FU48" i="3" s="1"/>
  <c r="FV48" i="3" s="1"/>
  <c r="FW48" i="3" s="1"/>
  <c r="FX48" i="3" s="1"/>
  <c r="FY48" i="3" s="1"/>
  <c r="FZ48" i="3" s="1"/>
  <c r="GA48" i="3" s="1"/>
  <c r="GB48" i="3" s="1"/>
  <c r="GC48" i="3" s="1"/>
  <c r="GD48" i="3" s="1"/>
  <c r="GE48" i="3" s="1"/>
  <c r="GF48" i="3" s="1"/>
  <c r="GG48" i="3" s="1"/>
  <c r="GH48" i="3" s="1"/>
  <c r="GI48" i="3" s="1"/>
  <c r="GJ48" i="3" s="1"/>
  <c r="GK48" i="3" s="1"/>
  <c r="GL48" i="3" s="1"/>
  <c r="GM48" i="3" s="1"/>
  <c r="GN48" i="3" s="1"/>
  <c r="GO48" i="3" s="1"/>
  <c r="GP48" i="3" s="1"/>
  <c r="GQ48" i="3" s="1"/>
  <c r="GR48" i="3" s="1"/>
  <c r="GS48" i="3" s="1"/>
  <c r="GT48" i="3" s="1"/>
  <c r="GU48" i="3" s="1"/>
  <c r="GV48" i="3" s="1"/>
  <c r="GW48" i="3" s="1"/>
  <c r="GX48" i="3" s="1"/>
  <c r="GY48" i="3" s="1"/>
  <c r="GZ48" i="3" s="1"/>
  <c r="HA48" i="3" s="1"/>
  <c r="HB48" i="3" s="1"/>
  <c r="HC48" i="3" s="1"/>
  <c r="HD48" i="3" s="1"/>
  <c r="HE48" i="3" s="1"/>
  <c r="HF48" i="3" s="1"/>
  <c r="HG48" i="3" s="1"/>
  <c r="HH48" i="3" s="1"/>
  <c r="HI48" i="3" s="1"/>
  <c r="HJ48" i="3" s="1"/>
  <c r="HK48" i="3" s="1"/>
  <c r="HL48" i="3" s="1"/>
  <c r="HM48" i="3" s="1"/>
  <c r="HN48" i="3" s="1"/>
  <c r="HO48" i="3" s="1"/>
  <c r="HP48" i="3" s="1"/>
  <c r="HQ48" i="3" s="1"/>
  <c r="HR48" i="3" s="1"/>
  <c r="HS48" i="3" s="1"/>
  <c r="HT48" i="3" s="1"/>
  <c r="HU48" i="3" s="1"/>
  <c r="HV48" i="3" s="1"/>
  <c r="HW48" i="3" s="1"/>
  <c r="HX48" i="3" s="1"/>
  <c r="HY48" i="3" s="1"/>
  <c r="HZ48" i="3" s="1"/>
  <c r="IA48" i="3" s="1"/>
  <c r="IB48" i="3" s="1"/>
  <c r="IC48" i="3" s="1"/>
  <c r="ID48" i="3" s="1"/>
  <c r="IE48" i="3" s="1"/>
  <c r="IF48" i="3" s="1"/>
  <c r="IG48" i="3" s="1"/>
  <c r="IH48" i="3" s="1"/>
  <c r="II48" i="3" s="1"/>
  <c r="IJ48" i="3" s="1"/>
  <c r="IK48" i="3" s="1"/>
  <c r="IL48" i="3" s="1"/>
  <c r="IM48" i="3" s="1"/>
  <c r="IN48" i="3" s="1"/>
  <c r="IO48" i="3" s="1"/>
  <c r="IP48" i="3" s="1"/>
  <c r="IQ48" i="3" s="1"/>
  <c r="IR48" i="3" s="1"/>
  <c r="IS48" i="3" s="1"/>
  <c r="IT48" i="3" s="1"/>
  <c r="IU48" i="3" s="1"/>
  <c r="IV48" i="3" s="1"/>
  <c r="IW48" i="3" s="1"/>
  <c r="IX48" i="3" s="1"/>
  <c r="IY48" i="3" s="1"/>
  <c r="IZ48" i="3" s="1"/>
  <c r="JA48" i="3" s="1"/>
  <c r="JB48" i="3" s="1"/>
  <c r="JC48" i="3" s="1"/>
  <c r="JD48" i="3" s="1"/>
  <c r="JE48" i="3" s="1"/>
  <c r="JF48" i="3" s="1"/>
  <c r="JG48" i="3" s="1"/>
  <c r="JH48" i="3" s="1"/>
  <c r="JI48" i="3" s="1"/>
  <c r="JJ48" i="3" s="1"/>
  <c r="JK48" i="3" s="1"/>
  <c r="JL48" i="3" s="1"/>
  <c r="JM48" i="3" s="1"/>
  <c r="JN48" i="3" s="1"/>
  <c r="JO48" i="3" s="1"/>
  <c r="JP48" i="3" s="1"/>
  <c r="JQ48" i="3" s="1"/>
  <c r="JR48" i="3" s="1"/>
  <c r="JS48" i="3" s="1"/>
  <c r="JT48" i="3" s="1"/>
  <c r="JU48" i="3" s="1"/>
  <c r="JV48" i="3" s="1"/>
  <c r="JW48" i="3" s="1"/>
  <c r="JX48" i="3" s="1"/>
  <c r="JY48" i="3" s="1"/>
  <c r="JZ48" i="3" s="1"/>
  <c r="KA48" i="3" s="1"/>
  <c r="KB48" i="3" s="1"/>
  <c r="KC48" i="3" s="1"/>
  <c r="KD48" i="3" s="1"/>
  <c r="KE48" i="3" s="1"/>
  <c r="KF48" i="3" s="1"/>
  <c r="KG48" i="3" s="1"/>
  <c r="KH48" i="3" s="1"/>
  <c r="KI48" i="3" s="1"/>
  <c r="KJ48" i="3" s="1"/>
  <c r="KK48" i="3" s="1"/>
  <c r="KL48" i="3" s="1"/>
  <c r="KM48" i="3" s="1"/>
  <c r="KN48" i="3" s="1"/>
  <c r="KO48" i="3" s="1"/>
  <c r="KP48" i="3" s="1"/>
  <c r="KQ48" i="3" s="1"/>
  <c r="KR48" i="3" s="1"/>
  <c r="KS48" i="3" s="1"/>
  <c r="KT48" i="3" s="1"/>
  <c r="KU48" i="3" s="1"/>
  <c r="KV48" i="3" s="1"/>
  <c r="KW48" i="3" s="1"/>
  <c r="KX48" i="3" s="1"/>
  <c r="KY48" i="3" s="1"/>
  <c r="KZ48" i="3" s="1"/>
  <c r="LA48" i="3" s="1"/>
  <c r="LB48" i="3" s="1"/>
  <c r="LC48" i="3" s="1"/>
  <c r="LD48" i="3" s="1"/>
  <c r="LE48" i="3" s="1"/>
  <c r="LF48" i="3" s="1"/>
  <c r="LG48" i="3" s="1"/>
  <c r="LH48" i="3" s="1"/>
  <c r="LI48" i="3" s="1"/>
  <c r="LJ48" i="3" s="1"/>
  <c r="LK48" i="3" s="1"/>
  <c r="LL48" i="3" s="1"/>
  <c r="LM48" i="3" s="1"/>
  <c r="LN48" i="3" s="1"/>
  <c r="LO48" i="3" s="1"/>
  <c r="LP48" i="3" s="1"/>
  <c r="LQ48" i="3" s="1"/>
  <c r="LR48" i="3" s="1"/>
  <c r="LS48" i="3" s="1"/>
  <c r="LT48" i="3" s="1"/>
  <c r="LU48" i="3" s="1"/>
  <c r="LV48" i="3" s="1"/>
  <c r="LW48" i="3" s="1"/>
  <c r="LX48" i="3" s="1"/>
  <c r="LY48" i="3" s="1"/>
  <c r="LZ48" i="3" s="1"/>
  <c r="MA48" i="3" s="1"/>
  <c r="MB48" i="3" s="1"/>
  <c r="MC48" i="3" s="1"/>
  <c r="MD48" i="3" s="1"/>
  <c r="ME48" i="3" s="1"/>
  <c r="MF48" i="3" s="1"/>
  <c r="MG48" i="3" s="1"/>
  <c r="MH48" i="3" s="1"/>
  <c r="MI48" i="3" s="1"/>
  <c r="MJ48" i="3" s="1"/>
  <c r="MK48" i="3" s="1"/>
  <c r="ML48" i="3" s="1"/>
  <c r="MM48" i="3" s="1"/>
  <c r="MN48" i="3" s="1"/>
  <c r="MO48" i="3" s="1"/>
  <c r="MP48" i="3" s="1"/>
  <c r="MQ48" i="3" s="1"/>
  <c r="MR48" i="3" s="1"/>
  <c r="MS48" i="3" s="1"/>
  <c r="MT48" i="3" s="1"/>
  <c r="MU48" i="3" s="1"/>
  <c r="MV48" i="3" s="1"/>
  <c r="MW48" i="3" s="1"/>
  <c r="MX48" i="3" s="1"/>
  <c r="MY48" i="3" s="1"/>
  <c r="MZ48" i="3" s="1"/>
  <c r="NA48" i="3" s="1"/>
  <c r="NB48" i="3" s="1"/>
  <c r="NC48" i="3" s="1"/>
  <c r="ND48" i="3" s="1"/>
  <c r="NE48" i="3" s="1"/>
  <c r="NF48" i="3" s="1"/>
  <c r="NG48" i="3" s="1"/>
  <c r="NH48" i="3" s="1"/>
  <c r="NI48" i="3" s="1"/>
  <c r="NJ48" i="3" s="1"/>
  <c r="NK48" i="3" s="1"/>
  <c r="NL48" i="3" s="1"/>
  <c r="NM48" i="3" s="1"/>
  <c r="NN48" i="3" s="1"/>
  <c r="NO48" i="3" s="1"/>
  <c r="NP48" i="3" s="1"/>
  <c r="NQ48" i="3" s="1"/>
  <c r="NR48" i="3" s="1"/>
  <c r="NS48" i="3" s="1"/>
  <c r="NT48" i="3" s="1"/>
  <c r="NU48" i="3" s="1"/>
  <c r="NV48" i="3" s="1"/>
  <c r="NW48" i="3" s="1"/>
  <c r="NX48" i="3" s="1"/>
  <c r="NY48" i="3" s="1"/>
  <c r="NZ48" i="3" s="1"/>
  <c r="OA48" i="3" s="1"/>
  <c r="OB48" i="3" s="1"/>
  <c r="OC48" i="3" s="1"/>
  <c r="OD48" i="3" s="1"/>
  <c r="OE48" i="3" s="1"/>
  <c r="OF48" i="3" s="1"/>
  <c r="OG48" i="3" s="1"/>
  <c r="OH48" i="3" s="1"/>
  <c r="OI48" i="3" s="1"/>
  <c r="OJ48" i="3" s="1"/>
  <c r="OK48" i="3" s="1"/>
  <c r="OL48" i="3" s="1"/>
  <c r="OM48" i="3" s="1"/>
  <c r="ON48" i="3" s="1"/>
  <c r="OO48" i="3" s="1"/>
  <c r="OP48" i="3" s="1"/>
  <c r="OQ48" i="3" s="1"/>
  <c r="OR48" i="3" s="1"/>
  <c r="OS48" i="3" s="1"/>
  <c r="OT48" i="3" s="1"/>
  <c r="OU48" i="3" s="1"/>
  <c r="OV48" i="3" s="1"/>
  <c r="OW48" i="3" s="1"/>
  <c r="OX48" i="3" s="1"/>
  <c r="OY48" i="3" s="1"/>
  <c r="OZ48" i="3" s="1"/>
  <c r="PA48" i="3" s="1"/>
  <c r="PB48" i="3" s="1"/>
  <c r="PC48" i="3" s="1"/>
  <c r="PD48" i="3" s="1"/>
  <c r="PE48" i="3" s="1"/>
  <c r="PF48" i="3" s="1"/>
  <c r="PG48" i="3" s="1"/>
  <c r="PH48" i="3" s="1"/>
  <c r="PI48" i="3" s="1"/>
  <c r="PJ48" i="3" s="1"/>
  <c r="PK48" i="3" s="1"/>
  <c r="PL48" i="3" s="1"/>
  <c r="PM48" i="3" s="1"/>
  <c r="PN48" i="3" s="1"/>
  <c r="PO48" i="3" s="1"/>
  <c r="PP48" i="3" s="1"/>
  <c r="PQ48" i="3" s="1"/>
  <c r="PR48" i="3" s="1"/>
  <c r="PS48" i="3" s="1"/>
  <c r="PT48" i="3" s="1"/>
  <c r="G7" i="1" s="1"/>
  <c r="G9" i="1" s="1"/>
  <c r="G10" i="1" s="1"/>
  <c r="AO65" i="3"/>
  <c r="AP65" i="3"/>
  <c r="R36" i="3"/>
  <c r="R39" i="3" s="1"/>
  <c r="R59" i="3"/>
  <c r="M3" i="1" l="1"/>
  <c r="G12" i="1"/>
  <c r="R45" i="3"/>
  <c r="R62" i="3"/>
  <c r="V62" i="3"/>
  <c r="AK66" i="3"/>
  <c r="R67" i="3"/>
  <c r="AL59" i="3"/>
  <c r="R66" i="3"/>
  <c r="AK59" i="3"/>
  <c r="M5" i="1" l="1"/>
  <c r="AK67" i="3"/>
  <c r="R48" i="3"/>
  <c r="R106" i="3" s="1"/>
  <c r="R50" i="3" l="1"/>
  <c r="V65" i="3" s="1"/>
  <c r="V63" i="3"/>
  <c r="R68" i="3"/>
  <c r="AK46" i="3"/>
  <c r="AK68" i="3" s="1"/>
  <c r="C9" i="2" l="1"/>
  <c r="C18" i="2" s="1"/>
  <c r="AK48" i="3"/>
  <c r="AK55" i="3" s="1"/>
  <c r="R65" i="3"/>
  <c r="R63" i="3"/>
  <c r="AU60" i="3" l="1"/>
  <c r="AU62" i="3" s="1"/>
  <c r="AU64" i="3" s="1"/>
  <c r="AU65" i="3" s="1"/>
  <c r="AX60" i="3"/>
  <c r="AX62" i="3" s="1"/>
  <c r="AX64" i="3" s="1"/>
  <c r="AX65" i="3" s="1"/>
  <c r="AX67" i="3" s="1"/>
  <c r="AK56" i="3"/>
  <c r="AL56" i="3"/>
  <c r="AL63" i="3"/>
  <c r="AK106" i="3"/>
  <c r="AK50" i="3"/>
  <c r="AK63" i="3"/>
  <c r="AL65" i="3" l="1"/>
  <c r="AK53" i="3"/>
  <c r="AK65" i="3"/>
  <c r="AU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tc={C8DF45A8-7DCB-4C7D-8E2F-0E1964E9D88F}</author>
  </authors>
  <commentList>
    <comment ref="B55" authorId="0" shapeId="0" xr:uid="{C8DF45A8-7DCB-4C7D-8E2F-0E1964E9D88F}">
      <text>
        <t>[Threaded comment]
Your version of Excel allows you to read this threaded comment; however, any edits to it will get removed if the file is opened in a newer version of Excel. Learn more: https://go.microsoft.com/fwlink/?linkid=870924
Comment:
    = NI + Taxes + Debt Interest Expense + D&amp;A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<sst xmlns="http://schemas.openxmlformats.org/spreadsheetml/2006/main" count="246" uniqueCount="197">
  <si>
    <t>Company</t>
  </si>
  <si>
    <t>Source</t>
  </si>
  <si>
    <t>Price</t>
  </si>
  <si>
    <t>Shares</t>
  </si>
  <si>
    <t>Market Cap</t>
  </si>
  <si>
    <t>Cash</t>
  </si>
  <si>
    <t>Debt</t>
  </si>
  <si>
    <t>EV</t>
  </si>
  <si>
    <t>Equity</t>
  </si>
  <si>
    <t>D+E</t>
  </si>
  <si>
    <t>Wdebt</t>
  </si>
  <si>
    <t>Wequity</t>
  </si>
  <si>
    <t>Tax rate</t>
  </si>
  <si>
    <t>Interest expense</t>
  </si>
  <si>
    <t>Cost of debt</t>
  </si>
  <si>
    <t>Risk-free rate</t>
  </si>
  <si>
    <t>Beta</t>
  </si>
  <si>
    <t>Market return</t>
  </si>
  <si>
    <t>Cost of equity</t>
  </si>
  <si>
    <t>WACC</t>
  </si>
  <si>
    <t>Membership &amp; other</t>
  </si>
  <si>
    <t>Total Revenue</t>
  </si>
  <si>
    <t>Cost of Sales</t>
  </si>
  <si>
    <t xml:space="preserve">Gross Profit </t>
  </si>
  <si>
    <t>OSG&amp;A</t>
  </si>
  <si>
    <t>Opex</t>
  </si>
  <si>
    <t>Operating Income</t>
  </si>
  <si>
    <t>Pretax Income</t>
  </si>
  <si>
    <t>Taxes</t>
  </si>
  <si>
    <t>Net Income</t>
  </si>
  <si>
    <t>EPS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</si>
  <si>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</si>
  <si>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</si>
  <si>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</si>
  <si>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</si>
  <si>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</si>
  <si>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</si>
  <si>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</si>
  <si>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</si>
  <si>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</si>
  <si>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</si>
  <si>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</si>
  <si>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</si>
  <si>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</si>
  <si>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Minority Interest</t>
  </si>
  <si>
    <t>2Q21</t>
  </si>
  <si>
    <t>3Q21</t>
  </si>
  <si>
    <t>4Q21</t>
  </si>
  <si>
    <t>Gross Margin</t>
  </si>
  <si>
    <t>Operating Margin</t>
  </si>
  <si>
    <t>Revenue Y/Y</t>
  </si>
  <si>
    <t>COGS Y/Y</t>
  </si>
  <si>
    <t>OSG&amp;A Y/Y</t>
  </si>
  <si>
    <t>Opex Y/Y</t>
  </si>
  <si>
    <t>NI Y/Y</t>
  </si>
  <si>
    <t>Shares Y/Y</t>
  </si>
  <si>
    <t>EPS Y/Y</t>
  </si>
  <si>
    <t>Maturity</t>
  </si>
  <si>
    <t>NPV</t>
  </si>
  <si>
    <t>Value</t>
  </si>
  <si>
    <t>Model Price</t>
  </si>
  <si>
    <t>Market Price</t>
  </si>
  <si>
    <t>Difference</t>
  </si>
  <si>
    <t>Net Cash</t>
  </si>
  <si>
    <t>Dividends</t>
  </si>
  <si>
    <t>1Q22</t>
  </si>
  <si>
    <t>2Q22</t>
  </si>
  <si>
    <t>3Q22</t>
  </si>
  <si>
    <t>4Q22</t>
  </si>
  <si>
    <t>Loss on Extinguishment of Debt</t>
  </si>
  <si>
    <t>1Q23</t>
  </si>
  <si>
    <t>2Q23</t>
  </si>
  <si>
    <t>3Q23</t>
  </si>
  <si>
    <t>4Q23</t>
  </si>
  <si>
    <t>Interest Income</t>
  </si>
  <si>
    <t>Debt Interest Expense</t>
  </si>
  <si>
    <t>Finance Lease Obligatons Expense</t>
  </si>
  <si>
    <t>Other Losses/(Gains)</t>
  </si>
  <si>
    <t>OI Y/Y</t>
  </si>
  <si>
    <t>Notes</t>
  </si>
  <si>
    <t>conservative est. vs average historical return of 10%</t>
  </si>
  <si>
    <t>5yr t-bond per dashboard</t>
  </si>
  <si>
    <t>Cash &amp; Equivalents</t>
  </si>
  <si>
    <t>A/R</t>
  </si>
  <si>
    <t>Inventories</t>
  </si>
  <si>
    <t>Prepaid Expenses &amp; Other</t>
  </si>
  <si>
    <t>Total Current Assets</t>
  </si>
  <si>
    <t>PP&amp;E</t>
  </si>
  <si>
    <t>Operating Lease ROUs</t>
  </si>
  <si>
    <t>Finance Lease ROUs</t>
  </si>
  <si>
    <t>Goodwill</t>
  </si>
  <si>
    <t>Other</t>
  </si>
  <si>
    <t>Total Assets</t>
  </si>
  <si>
    <t>ST Debt</t>
  </si>
  <si>
    <t>A/P</t>
  </si>
  <si>
    <t>Accrued Liabilities</t>
  </si>
  <si>
    <t>Accrued Taxes</t>
  </si>
  <si>
    <t>Current Portion of LT Debt</t>
  </si>
  <si>
    <t>Current Operating Lease Obligations</t>
  </si>
  <si>
    <t>Current Finance Lease Obligations</t>
  </si>
  <si>
    <t>Total Current Liabilities</t>
  </si>
  <si>
    <t>LT Debt</t>
  </si>
  <si>
    <t>LT Operating Lease Obligations</t>
  </si>
  <si>
    <t>LT Finance Lease Obligations</t>
  </si>
  <si>
    <t>Deferred Taxes &amp; Other</t>
  </si>
  <si>
    <t>Commitments &amp; Contingencies</t>
  </si>
  <si>
    <t>Redeemable Non-Controlling Interest</t>
  </si>
  <si>
    <t>Total Liabilities</t>
  </si>
  <si>
    <t>S/E</t>
  </si>
  <si>
    <t>L + S/E</t>
  </si>
  <si>
    <t>Property Lease &amp; Financing Obligations</t>
  </si>
  <si>
    <t>Current Capital Leases &amp; Financing Obligations</t>
  </si>
  <si>
    <t>LT Capital Lease &amp; Financing Obligations</t>
  </si>
  <si>
    <t>Model Net Income</t>
  </si>
  <si>
    <t>Reported Net Income</t>
  </si>
  <si>
    <t>D&amp;A</t>
  </si>
  <si>
    <t>Net Unrealized &amp; Realized Losses/(Gains)</t>
  </si>
  <si>
    <t>Losses on Disposal of Business Operations</t>
  </si>
  <si>
    <t>Deferred Taxes</t>
  </si>
  <si>
    <t>Other Operating Activities</t>
  </si>
  <si>
    <t>CFFO</t>
  </si>
  <si>
    <t>Capex</t>
  </si>
  <si>
    <t>Proceeds from Disposal of PP&amp;E</t>
  </si>
  <si>
    <t>Proceeds from Disposal of Certain Operations</t>
  </si>
  <si>
    <t>Payment for Business Acquisitions</t>
  </si>
  <si>
    <t>Other Investing Activities</t>
  </si>
  <si>
    <t>CFFI</t>
  </si>
  <si>
    <t>Change in ST Debt</t>
  </si>
  <si>
    <t>Repayments of LT Debt</t>
  </si>
  <si>
    <t>Purchase of Company Stock</t>
  </si>
  <si>
    <t>Sale of Subsidiary Stock</t>
  </si>
  <si>
    <t>Other Financing Activities</t>
  </si>
  <si>
    <t>CFFF</t>
  </si>
  <si>
    <t>Cash Flow</t>
  </si>
  <si>
    <t>FCF</t>
  </si>
  <si>
    <t>Dividend per Share</t>
  </si>
  <si>
    <t>Payout Ratio</t>
  </si>
  <si>
    <t>Asda Pension Contribution</t>
  </si>
  <si>
    <t>Proceeds from Issuance of LT Debt</t>
  </si>
  <si>
    <t>Premiums Paid to Extinguish Debt</t>
  </si>
  <si>
    <t>Dividends Paid to Noncontrolling Interest</t>
  </si>
  <si>
    <t>Using Net Income</t>
  </si>
  <si>
    <t>Using FCF</t>
  </si>
  <si>
    <t>Average DCF Price</t>
  </si>
  <si>
    <t>EBITDA</t>
  </si>
  <si>
    <t>EBITDA Y/Y</t>
  </si>
  <si>
    <t>Quarter/Year End End</t>
  </si>
  <si>
    <t>Grocery</t>
  </si>
  <si>
    <t>General Merchandise</t>
  </si>
  <si>
    <t>Health &amp; Wellness</t>
  </si>
  <si>
    <t>WMT U.S. Sales</t>
  </si>
  <si>
    <t>WMT U.S. Sales Y/Y</t>
  </si>
  <si>
    <t>WMT U.S. Sales Q/Q</t>
  </si>
  <si>
    <t>Mexico &amp; Central America</t>
  </si>
  <si>
    <t>Canada</t>
  </si>
  <si>
    <t>China</t>
  </si>
  <si>
    <t>U.K.</t>
  </si>
  <si>
    <t>WMT International Sales</t>
  </si>
  <si>
    <t>WMT International Sales Y/Y</t>
  </si>
  <si>
    <t>WMT International Sales Q/Q</t>
  </si>
  <si>
    <t>Grocery &amp; Consumables</t>
  </si>
  <si>
    <t>Fuel, Tobacco, &amp; Other</t>
  </si>
  <si>
    <t>Home &amp; Apparel</t>
  </si>
  <si>
    <t>Tech, Office, &amp; Entertainment</t>
  </si>
  <si>
    <t>Sam's Club Sales</t>
  </si>
  <si>
    <t>Sam's Club Sales Y/Y</t>
  </si>
  <si>
    <t>Sam's Club Sales Q/Q</t>
  </si>
  <si>
    <t>WMT U.S., WMT International, Sam's Club Sales</t>
  </si>
  <si>
    <t>Current Price</t>
  </si>
  <si>
    <t>Liquidity</t>
  </si>
  <si>
    <t>Current Ratio</t>
  </si>
  <si>
    <t>Cash Ratio</t>
  </si>
  <si>
    <t>Leverage</t>
  </si>
  <si>
    <t>D/E (Total Liabilities / SE)</t>
  </si>
  <si>
    <t>D/A</t>
  </si>
  <si>
    <t>D/E (LT + ST debt / SE)</t>
  </si>
  <si>
    <t>LT D/E</t>
  </si>
  <si>
    <t>Profitability</t>
  </si>
  <si>
    <t>Gross Margin Ratio</t>
  </si>
  <si>
    <t>Operating Margin Ratio</t>
  </si>
  <si>
    <t>NI Margin Ratio</t>
  </si>
  <si>
    <t>ROA</t>
  </si>
  <si>
    <t>ROE</t>
  </si>
  <si>
    <t>Valuation</t>
  </si>
  <si>
    <t>P/E</t>
  </si>
  <si>
    <t>P/CFFO</t>
  </si>
  <si>
    <t>EV/EBITDA</t>
  </si>
  <si>
    <t>EV/Revenue</t>
  </si>
  <si>
    <t>WMT</t>
  </si>
  <si>
    <t>Quick Ratio</t>
  </si>
  <si>
    <t>1Q24</t>
  </si>
  <si>
    <t>2Q24</t>
  </si>
  <si>
    <t>3Q24</t>
  </si>
  <si>
    <t>4Q24</t>
  </si>
  <si>
    <t>average FY18-FY23</t>
  </si>
  <si>
    <t>model FY23</t>
  </si>
  <si>
    <t>koyfin 6/14/23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</si>
</sst>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\x"/>
    <numFmt numFmtId="166" formatCode="0.00\x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2">
    <xf numFmtId="0" fontId="0" fillId="0" borderId="0" xfId="0"/>
    <xf numFmtId="0" fontId="10" fillId="0" borderId="0" xfId="0" applyFont="1"/>
    <xf numFmtId="3" fontId="10" fillId="0" borderId="0" xfId="0" applyNumberFormat="1" applyFont="1"/>
    <xf numFmtId="0" fontId="13" fillId="0" borderId="0" xfId="0" applyFont="1"/>
    <xf numFmtId="10" fontId="13" fillId="0" borderId="0" xfId="0" applyNumberFormat="1" applyFont="1"/>
    <xf numFmtId="10" fontId="13" fillId="0" borderId="0" xfId="1" applyNumberFormat="1" applyFont="1"/>
    <xf numFmtId="9" fontId="10" fillId="0" borderId="0" xfId="0" applyNumberFormat="1" applyFont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3" fontId="13" fillId="0" borderId="0" xfId="0" applyNumberFormat="1" applyFont="1"/>
    <xf numFmtId="4" fontId="10" fillId="0" borderId="0" xfId="0" applyNumberFormat="1" applyFont="1"/>
    <xf numFmtId="0" fontId="10" fillId="0" borderId="0" xfId="0" applyFont="1" applyAlignment="1">
      <alignment horizontal="right" vertical="center"/>
    </xf>
    <xf numFmtId="9" fontId="10" fillId="0" borderId="0" xfId="1" applyFont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0" fontId="14" fillId="0" borderId="0" xfId="0" applyFont="1"/>
    <xf numFmtId="3" fontId="14" fillId="0" borderId="0" xfId="0" applyNumberFormat="1" applyFont="1"/>
    <xf numFmtId="4" fontId="10" fillId="0" borderId="0" xfId="0" applyNumberFormat="1" applyFont="1" applyAlignment="1">
      <alignment horizontal="right" vertical="center"/>
    </xf>
    <xf numFmtId="3" fontId="10" fillId="0" borderId="0" xfId="0" applyNumberFormat="1" applyFont="1" applyAlignment="1">
      <alignment horizontal="right"/>
    </xf>
    <xf numFmtId="3" fontId="10" fillId="0" borderId="1" xfId="0" applyNumberFormat="1" applyFont="1" applyBorder="1" applyAlignment="1">
      <alignment horizontal="right"/>
    </xf>
    <xf numFmtId="3" fontId="9" fillId="0" borderId="0" xfId="0" applyNumberFormat="1" applyFont="1"/>
    <xf numFmtId="0" fontId="7" fillId="0" borderId="0" xfId="0" applyFont="1"/>
    <xf numFmtId="0" fontId="15" fillId="0" borderId="0" xfId="0" applyFont="1" applyAlignment="1">
      <alignment horizontal="center"/>
    </xf>
    <xf numFmtId="2" fontId="10" fillId="0" borderId="0" xfId="0" applyNumberFormat="1" applyFont="1" applyAlignment="1">
      <alignment horizontal="right" vertical="center"/>
    </xf>
    <xf numFmtId="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3" fontId="6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15" fillId="0" borderId="0" xfId="0" applyNumberFormat="1" applyFont="1"/>
    <xf numFmtId="9" fontId="5" fillId="0" borderId="0" xfId="1" applyFont="1" applyAlignment="1">
      <alignment horizontal="right" vertical="center"/>
    </xf>
    <xf numFmtId="4" fontId="5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9" fontId="14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3" fontId="3" fillId="0" borderId="0" xfId="0" applyNumberFormat="1" applyFont="1"/>
    <xf numFmtId="9" fontId="3" fillId="0" borderId="0" xfId="0" applyNumberFormat="1" applyFont="1"/>
    <xf numFmtId="4" fontId="13" fillId="0" borderId="0" xfId="0" applyNumberFormat="1" applyFont="1"/>
    <xf numFmtId="9" fontId="13" fillId="0" borderId="0" xfId="0" applyNumberFormat="1" applyFont="1"/>
    <xf numFmtId="9" fontId="0" fillId="0" borderId="0" xfId="0" applyNumberFormat="1"/>
    <xf numFmtId="164" fontId="10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 applyAlignment="1">
      <alignment horizontal="right"/>
    </xf>
    <xf numFmtId="0" fontId="10" fillId="0" borderId="7" xfId="0" applyFont="1" applyBorder="1"/>
    <xf numFmtId="0" fontId="10" fillId="0" borderId="8" xfId="0" applyFont="1" applyBorder="1" applyAlignment="1">
      <alignment horizontal="right"/>
    </xf>
    <xf numFmtId="3" fontId="15" fillId="0" borderId="2" xfId="0" applyNumberFormat="1" applyFont="1" applyBorder="1"/>
    <xf numFmtId="3" fontId="15" fillId="0" borderId="4" xfId="0" applyNumberFormat="1" applyFont="1" applyBorder="1"/>
    <xf numFmtId="3" fontId="3" fillId="0" borderId="5" xfId="0" applyNumberFormat="1" applyFont="1" applyBorder="1"/>
    <xf numFmtId="9" fontId="3" fillId="0" borderId="6" xfId="0" applyNumberFormat="1" applyFont="1" applyBorder="1"/>
    <xf numFmtId="3" fontId="3" fillId="0" borderId="6" xfId="0" applyNumberFormat="1" applyFont="1" applyBorder="1"/>
    <xf numFmtId="3" fontId="13" fillId="0" borderId="5" xfId="0" applyNumberFormat="1" applyFont="1" applyBorder="1"/>
    <xf numFmtId="4" fontId="13" fillId="0" borderId="6" xfId="0" applyNumberFormat="1" applyFont="1" applyBorder="1"/>
    <xf numFmtId="3" fontId="13" fillId="0" borderId="7" xfId="0" applyNumberFormat="1" applyFont="1" applyBorder="1"/>
    <xf numFmtId="9" fontId="13" fillId="0" borderId="8" xfId="0" applyNumberFormat="1" applyFont="1" applyBorder="1"/>
    <xf numFmtId="3" fontId="3" fillId="0" borderId="4" xfId="0" applyNumberFormat="1" applyFont="1" applyBorder="1"/>
    <xf numFmtId="0" fontId="3" fillId="0" borderId="2" xfId="0" applyFont="1" applyBorder="1"/>
    <xf numFmtId="4" fontId="3" fillId="0" borderId="4" xfId="0" applyNumberFormat="1" applyFont="1" applyBorder="1"/>
    <xf numFmtId="4" fontId="3" fillId="0" borderId="6" xfId="0" applyNumberFormat="1" applyFont="1" applyBorder="1"/>
    <xf numFmtId="3" fontId="2" fillId="0" borderId="0" xfId="0" applyNumberFormat="1" applyFont="1"/>
    <xf numFmtId="3" fontId="16" fillId="0" borderId="0" xfId="0" applyNumberFormat="1" applyFont="1"/>
    <xf numFmtId="4" fontId="2" fillId="0" borderId="0" xfId="0" applyNumberFormat="1" applyFont="1"/>
    <xf numFmtId="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6" xfId="0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</cellXfs>
  <cellStyles count="2">
    <cellStyle name="Normal" xfId="0" builtinId="0"/>
    <cellStyle name="Percent" xfId="1" builtinId="5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externalLink" Target="externalLinks/externalLink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101600</xdr:colOff>
      <xdr:row>0</xdr:row>
      <xdr:rowOff>111125</xdr:rowOff>
    </xdr:from>
    <xdr:to>
      <xdr:col>27</xdr:col>
      <xdr:colOff>101600</xdr:colOff>
      <xdr:row>138</xdr:row>
      <xdr:rowOff>168275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CDB099-D265-454F-9218-A2F4C1CF35D4}"/>
            </a:ext>
          </a:extLst>
        </xdr:cNvPr>
        <xdr:cNvCxnSpPr/>
      </xdr:nvCxnSpPr>
      <xdr:spPr>
        <a:xfrm>
          <a:off x="22380575" y="111125"/>
          <a:ext cx="0" cy="2503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111125</xdr:colOff>
      <xdr:row>0</xdr:row>
      <xdr:rowOff>53975</xdr:rowOff>
    </xdr:from>
    <xdr:to>
      <xdr:col>39</xdr:col>
      <xdr:colOff>111125</xdr:colOff>
      <xdr:row>139</xdr:row>
      <xdr:rowOff>34925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3502195-907B-4CF3-BC66-9FD924E32A01}"/>
            </a:ext>
          </a:extLst>
        </xdr:cNvPr>
        <xdr:cNvCxnSpPr/>
      </xdr:nvCxnSpPr>
      <xdr:spPr>
        <a:xfrm>
          <a:off x="30591125" y="53975"/>
          <a:ext cx="0" cy="25136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lshe\Documents\Models\00%20Dashboard.xlsx" TargetMode="External"/><Relationship Id="rId1" Type="http://schemas.openxmlformats.org/officeDocument/2006/relationships/externalLinkPath" Target="00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-Bond Yields"/>
      <sheetName val="Companies"/>
    </sheetNames>
    <sheetDataSet>
      <sheetData sheetId="0">
        <row r="12">
          <cell r="C12">
            <v>3.8899999999999997E-2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William Sheldon" id="{EA4BE7B3-87DC-4D60-BCAD-B4CF5123B2C6}" userId="667679d5bb2810d2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https://www.bing.com/financeapi/forcetrigger?t=a25ya2&amp;q=XNYS%3aWMT&amp;form=skydnc</v>
    <v>Learn more on Bing</v>
  </rv>
  <rv s="1">
    <v>en-US</v>
    <v>a25ya2</v>
    <v>268435456</v>
    <v>1</v>
    <v>Powered by Refinitiv</v>
    <v>0</v>
    <v>WALMART INC. (XNYS:WMT)</v>
    <v>2</v>
    <v>3</v>
    <v>Finance</v>
    <v>4</v>
    <v>158.11000000000001</v>
    <v>117.9029</v>
    <v>0.50560000000000005</v>
    <v>0.92</v>
    <v>5.8650000000000004E-3</v>
    <v>USD</v>
    <v>Walmart Inc. is a technology-powered omni-channel retailer. The Company provides the opportunity to shop in both retail stores and through e-commerce and to access its other service offerings. It offers an assortment of merchandise and services at everyday low prices (EDLP). It operates through three segments: Walmart U.S., Walmart International and Sam's Club. The Walmart U.S. segment is a mass merchandiser of consumer products, operating under the Walmart and Walmart Neighborhood Market brands, as well as walmart.com and other e-commerce brands. Walmart International segment includes various formats divided into two categories: retail and wholesale. These categories consist of many formats, including supercenters, supermarkets, hypermarkets, warehouse clubs (including Sam's Clubs) and cash &amp; carry, as well as e-commerce through walmart.com.mx, walmart.ca, flipkart.com, walmart.cn and other sites. Sam's Club segment is a membership-only warehouse club that also operates samsclub.com.</v>
    <v>2100000</v>
    <v>New York Stock Exchange</v>
    <v>XNYS</v>
    <v>XNYS</v>
    <v>702 SW 8th St, BENTONVILLE, AR, 72716-6209 US</v>
    <v>158.11000000000001</v>
    <v>Food &amp; Drug Retailing</v>
    <v>Stock</v>
    <v>45092.687732615625</v>
    <v>0</v>
    <v>156.97999999999999</v>
    <v>424902434650</v>
    <v>WALMART INC.</v>
    <v>WALMART INC.</v>
    <v>157.06</v>
    <v>37.806199999999997</v>
    <v>156.87</v>
    <v>157.79</v>
    <v>2692835000</v>
    <v>WMT</v>
    <v>WALMART INC. (XNYS:WMT)</v>
    <v>1971528</v>
    <v>6593198</v>
    <v>1969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yy\ h:mm"/>
    </x:dxf>
    <x:dxf>
      <x:numFmt numFmtId="1" formatCode="0"/>
    </x:dxf>
    <x:dxf>
      <x:numFmt numFmtId="2" formatCode="0.00"/>
    </x:dxf>
    <x:dxf>
      <x:numFmt numFmtId="0" formatCode="General"/>
    </x:dxf>
  </dxfs>
  <richProperties>
    <rPr n="NumberFormat" t="s"/>
    <rPr n="IsTitleField" t="b"/>
  </richProperties>
  <richStyles>
    <rSty dxfid="6">
      <rpv i="0">_([$$-en-US]* #,##0.00_);_([$$-en-US]* (#,##0.00);_([$$-en-US]* "-"??_);_(@_)</rpv>
    </rSty>
    <rSty dxfid="0">
      <rpv i="0">#,##0.00</rpv>
    </rSty>
    <rSty>
      <rpv i="1">1</rpv>
    </rSty>
    <rSty dxfid="1">
      <rpv i="0">#,##0</rpv>
    </rSty>
    <rSty dxfid="2"/>
    <rSty dxfid="6">
      <rpv i="0">_([$$-en-US]* #,##0_);_([$$-en-US]* (#,##0);_([$$-en-US]* "-"_);_(@_)</rpv>
    </rSty>
    <rSty dxfid="3"/>
    <rSty dxfid="4">
      <rpv i="0">0</rpv>
    </rSty>
    <rSty dxfid="5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5" dT="2022-07-27T03:40:51.23" personId="{EA4BE7B3-87DC-4D60-BCAD-B4CF5123B2C6}" id="{C8DF45A8-7DCB-4C7D-8E2F-0E1964E9D88F}">
    <text>= NI + Taxes + Debt Interest Expense + D&amp;A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77D-CC52-4A64-A701-CE083F18EB38}">
  <dimension ref="B3:M12"/>
  <sheetViews>
    <sheetView tabSelected="1" workbookViewId="0">
      <selection activeCell="D5" sqref="D5"/>
    </sheetView>
  </sheetViews>
  <sheetFormatPr defaultRowHeight="14.4" x14ac:dyDescent="0.3"/>
  <cols>
    <col min="2" max="2" width="11.5546875" bestFit="1" customWidth="1"/>
    <col min="3" max="3" width="31.77734375" bestFit="1" customWidth="1"/>
    <col min="4" max="5" width="8.77734375" customWidth="1"/>
    <col min="6" max="6" width="17.77734375" bestFit="1" customWidth="1"/>
    <col min="8" max="8" width="8.77734375" customWidth="1"/>
    <col min="9" max="9" width="14" bestFit="1" customWidth="1"/>
    <col min="11" max="11" width="9.21875"/>
    <col min="12" max="12" width="20.5546875" bestFit="1" customWidth="1"/>
  </cols>
  <sheetData>
    <row r="3" spans="2:13" x14ac:dyDescent="0.3">
      <c r="B3" s="50" t="s">
        <v>0</v>
      </c>
      <c r="C3" s="51" t="e" vm="1">
        <v>#VALUE!</v>
      </c>
      <c r="D3" s="52" t="s">
        <v>1</v>
      </c>
      <c r="E3" s="21"/>
      <c r="F3" s="57" t="s">
        <v>141</v>
      </c>
      <c r="G3" s="58"/>
      <c r="H3" s="32"/>
      <c r="I3" s="57" t="s">
        <v>142</v>
      </c>
      <c r="J3" s="66"/>
      <c r="K3" s="43"/>
      <c r="L3" s="67" t="s">
        <v>143</v>
      </c>
      <c r="M3" s="68">
        <f>AVERAGE(G10,J10)</f>
        <v>245.28329157637336</v>
      </c>
    </row>
    <row r="4" spans="2:13" x14ac:dyDescent="0.3">
      <c r="B4" s="53" t="s">
        <v>2</v>
      </c>
      <c r="C4" s="48" cm="1">
        <f t="array" ref="C4">_FV(C3,"Price")</f>
        <v>157.79</v>
      </c>
      <c r="D4" s="54"/>
      <c r="E4" s="7"/>
      <c r="F4" s="59" t="s">
        <v>57</v>
      </c>
      <c r="G4" s="60">
        <v>-0.01</v>
      </c>
      <c r="H4" s="43"/>
      <c r="I4" s="59" t="s">
        <v>57</v>
      </c>
      <c r="J4" s="60">
        <v>-0.01</v>
      </c>
      <c r="K4" s="44"/>
      <c r="L4" s="59" t="s">
        <v>168</v>
      </c>
      <c r="M4" s="69">
        <f>C4</f>
        <v>157.79</v>
      </c>
    </row>
    <row r="5" spans="2:13" x14ac:dyDescent="0.3">
      <c r="B5" s="53" t="s">
        <v>3</v>
      </c>
      <c r="C5" s="17">
        <v>2704</v>
      </c>
      <c r="D5" s="76" t="s">
        <v>71</v>
      </c>
      <c r="E5" s="49"/>
      <c r="F5" s="59" t="s">
        <v>19</v>
      </c>
      <c r="G5" s="60">
        <v>3.2917619049035812E-2</v>
      </c>
      <c r="H5" s="43"/>
      <c r="I5" s="59" t="s">
        <v>19</v>
      </c>
      <c r="J5" s="60">
        <v>3.2917619049035812E-2</v>
      </c>
      <c r="K5" s="44"/>
      <c r="L5" s="64" t="s">
        <v>62</v>
      </c>
      <c r="M5" s="65">
        <f>M3/M4-1</f>
        <v>0.55449199300572505</v>
      </c>
    </row>
    <row r="6" spans="2:13" x14ac:dyDescent="0.3">
      <c r="B6" s="53" t="s">
        <v>4</v>
      </c>
      <c r="C6" s="17">
        <f>C4*C5</f>
        <v>426664.16</v>
      </c>
      <c r="D6" s="54"/>
      <c r="E6" s="7"/>
      <c r="F6" s="59" t="s">
        <v>3</v>
      </c>
      <c r="G6" s="61">
        <f>C5</f>
        <v>2704</v>
      </c>
      <c r="H6" s="43"/>
      <c r="I6" s="59" t="s">
        <v>3</v>
      </c>
      <c r="J6" s="61">
        <f>C5</f>
        <v>2704</v>
      </c>
      <c r="K6" s="43"/>
      <c r="M6" s="47"/>
    </row>
    <row r="7" spans="2:13" x14ac:dyDescent="0.3">
      <c r="B7" s="53" t="s">
        <v>5</v>
      </c>
      <c r="C7" s="17">
        <v>10575</v>
      </c>
      <c r="D7" s="76" t="s">
        <v>71</v>
      </c>
      <c r="E7" s="49"/>
      <c r="F7" s="59" t="s">
        <v>58</v>
      </c>
      <c r="G7" s="61">
        <f>NPV(G5,Model!AL48:PT48)</f>
        <v>524150.06002194999</v>
      </c>
      <c r="H7" s="43"/>
      <c r="I7" s="59" t="s">
        <v>58</v>
      </c>
      <c r="J7" s="61">
        <f>NPV(J5,Model!AL138:PS138)</f>
        <v>868803.98082307703</v>
      </c>
      <c r="K7" s="43"/>
    </row>
    <row r="8" spans="2:13" x14ac:dyDescent="0.3">
      <c r="B8" s="53" t="s">
        <v>6</v>
      </c>
      <c r="C8" s="77">
        <f>1711+3975+38120</f>
        <v>43806</v>
      </c>
      <c r="D8" s="76" t="s">
        <v>71</v>
      </c>
      <c r="E8" s="49"/>
      <c r="F8" s="59" t="s">
        <v>63</v>
      </c>
      <c r="G8" s="61">
        <f>C7-C8</f>
        <v>-33231</v>
      </c>
      <c r="H8" s="43"/>
      <c r="I8" s="59" t="s">
        <v>63</v>
      </c>
      <c r="J8" s="61">
        <f>C7-C8</f>
        <v>-33231</v>
      </c>
      <c r="K8" s="43"/>
    </row>
    <row r="9" spans="2:13" x14ac:dyDescent="0.3">
      <c r="B9" s="55" t="s">
        <v>7</v>
      </c>
      <c r="C9" s="18">
        <f>C6-C7+C8</f>
        <v>459895.16</v>
      </c>
      <c r="D9" s="56"/>
      <c r="E9" s="7"/>
      <c r="F9" s="59" t="s">
        <v>59</v>
      </c>
      <c r="G9" s="61">
        <f>G7+G8</f>
        <v>490919.06002194999</v>
      </c>
      <c r="H9" s="43"/>
      <c r="I9" s="59" t="s">
        <v>59</v>
      </c>
      <c r="J9" s="61">
        <f>J7+J8</f>
        <v>835572.98082307703</v>
      </c>
      <c r="K9" s="43"/>
    </row>
    <row r="10" spans="2:13" x14ac:dyDescent="0.3">
      <c r="F10" s="62" t="s">
        <v>60</v>
      </c>
      <c r="G10" s="63">
        <f>G9/G6</f>
        <v>181.55290681285132</v>
      </c>
      <c r="H10" s="9"/>
      <c r="I10" s="62" t="s">
        <v>60</v>
      </c>
      <c r="J10" s="63">
        <f>J9/J6</f>
        <v>309.01367633989537</v>
      </c>
      <c r="K10" s="45"/>
    </row>
    <row r="11" spans="2:13" x14ac:dyDescent="0.3">
      <c r="F11" s="62" t="s">
        <v>61</v>
      </c>
      <c r="G11" s="63">
        <f>C4</f>
        <v>157.79</v>
      </c>
      <c r="H11" s="9"/>
      <c r="I11" s="62" t="s">
        <v>61</v>
      </c>
      <c r="J11" s="63">
        <f>C4</f>
        <v>157.79</v>
      </c>
      <c r="K11" s="45"/>
    </row>
    <row r="12" spans="2:13" x14ac:dyDescent="0.3">
      <c r="F12" s="64" t="s">
        <v>62</v>
      </c>
      <c r="G12" s="65">
        <f>G10/G11-1</f>
        <v>0.1505983066914971</v>
      </c>
      <c r="H12" s="9"/>
      <c r="I12" s="64" t="s">
        <v>62</v>
      </c>
      <c r="J12" s="65">
        <f>J10/J11-1</f>
        <v>0.958385679319953</v>
      </c>
      <c r="K12" s="46"/>
    </row>
  </sheetData>
  <conditionalFormatting sqref="G12:H12 J12:K12">
    <cfRule type="cellIs" dxfId="17" priority="4" operator="greaterThan">
      <formula>0</formula>
    </cfRule>
  </conditionalFormatting>
  <conditionalFormatting sqref="G12 J12:K12">
    <cfRule type="cellIs" dxfId="16" priority="3" operator="lessThan">
      <formula>0</formula>
    </cfRule>
  </conditionalFormatting>
  <conditionalFormatting sqref="M5">
    <cfRule type="cellIs" dxfId="15" priority="1" operator="less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28C0-03D8-49B2-8BF6-A39710DFD7FA}">
  <dimension ref="A1:PT138"/>
  <sheetViews>
    <sheetView workbookViewId="0">
      <pane xSplit="2" ySplit="2" topLeftCell="T47" activePane="bottomRight" state="frozen"/>
      <selection pane="topRight" activeCell="C1" sqref="C1"/>
      <selection pane="bottomLeft" activeCell="A3" sqref="A3"/>
      <selection pane="bottomRight" activeCell="W52" sqref="W52"/>
    </sheetView>
  </sheetViews>
  <sheetFormatPr defaultColWidth="9.21875" defaultRowHeight="13.8" x14ac:dyDescent="0.25"/>
  <cols>
    <col min="1" max="1" width="9.21875" style="1"/>
    <col min="2" max="2" width="47.5546875" style="1" bestFit="1" customWidth="1"/>
    <col min="3" max="4" width="10.21875" style="2" bestFit="1" customWidth="1"/>
    <col min="5" max="5" width="11.21875" style="2" bestFit="1" customWidth="1"/>
    <col min="6" max="8" width="10.21875" style="2" bestFit="1" customWidth="1"/>
    <col min="9" max="9" width="11.21875" style="2" bestFit="1" customWidth="1"/>
    <col min="10" max="12" width="10.21875" style="2" bestFit="1" customWidth="1"/>
    <col min="13" max="13" width="11.21875" style="2" bestFit="1" customWidth="1"/>
    <col min="14" max="16" width="10.21875" style="2" bestFit="1" customWidth="1"/>
    <col min="17" max="17" width="11.21875" style="2" bestFit="1" customWidth="1"/>
    <col min="18" max="18" width="10.21875" style="2" bestFit="1" customWidth="1"/>
    <col min="19" max="20" width="10.21875" style="2" customWidth="1"/>
    <col min="21" max="21" width="11.21875" style="2" bestFit="1" customWidth="1"/>
    <col min="22" max="24" width="10.21875" style="2" bestFit="1" customWidth="1"/>
    <col min="25" max="25" width="11.21875" style="2" bestFit="1" customWidth="1"/>
    <col min="26" max="26" width="10.21875" style="2" bestFit="1" customWidth="1"/>
    <col min="27" max="32" width="10.21875" style="2" customWidth="1"/>
    <col min="33" max="33" width="9.21875" style="2"/>
    <col min="34" max="34" width="10.77734375" style="2" bestFit="1" customWidth="1"/>
    <col min="35" max="43" width="9.21875" style="2" bestFit="1" customWidth="1"/>
    <col min="44" max="44" width="8.77734375" style="2" customWidth="1"/>
    <col min="45" max="45" width="8.44140625" style="2" bestFit="1" customWidth="1"/>
    <col min="46" max="46" width="17.77734375" style="2" bestFit="1" customWidth="1"/>
    <col min="47" max="48" width="9.21875" style="2" bestFit="1" customWidth="1"/>
    <col min="49" max="49" width="12.5546875" style="2" bestFit="1" customWidth="1"/>
    <col min="50" max="435" width="9.21875" style="2" bestFit="1" customWidth="1"/>
    <col min="436" max="16384" width="9.21875" style="2"/>
  </cols>
  <sheetData>
    <row r="1" spans="2:44" s="7" customFormat="1" x14ac:dyDescent="0.25">
      <c r="B1" s="35" t="s">
        <v>146</v>
      </c>
      <c r="C1" s="8">
        <v>42855</v>
      </c>
      <c r="D1" s="8">
        <v>42947</v>
      </c>
      <c r="E1" s="8">
        <v>43039</v>
      </c>
      <c r="F1" s="8">
        <v>43131</v>
      </c>
      <c r="G1" s="8">
        <v>43220</v>
      </c>
      <c r="H1" s="8">
        <v>43312</v>
      </c>
      <c r="I1" s="8">
        <v>43404</v>
      </c>
      <c r="J1" s="8">
        <v>43496</v>
      </c>
      <c r="K1" s="8">
        <v>43585</v>
      </c>
      <c r="L1" s="8">
        <v>43677</v>
      </c>
      <c r="M1" s="8">
        <v>43769</v>
      </c>
      <c r="N1" s="8">
        <v>43861</v>
      </c>
      <c r="O1" s="8">
        <v>43951</v>
      </c>
      <c r="P1" s="8">
        <v>44043</v>
      </c>
      <c r="Q1" s="8">
        <v>44135</v>
      </c>
      <c r="R1" s="8">
        <v>44227</v>
      </c>
      <c r="S1" s="8">
        <v>44316</v>
      </c>
      <c r="T1" s="8">
        <v>44408</v>
      </c>
      <c r="U1" s="8">
        <v>44500</v>
      </c>
      <c r="V1" s="8">
        <v>44592</v>
      </c>
      <c r="W1" s="8">
        <v>44681</v>
      </c>
      <c r="X1" s="8">
        <v>44773</v>
      </c>
      <c r="Y1" s="8">
        <v>44865</v>
      </c>
      <c r="Z1" s="8">
        <v>44957</v>
      </c>
      <c r="AA1" s="8">
        <v>45046</v>
      </c>
      <c r="AB1" s="8"/>
      <c r="AC1" s="8"/>
      <c r="AD1" s="8"/>
      <c r="AE1" s="8"/>
      <c r="AF1" s="8"/>
    </row>
    <row r="2" spans="2:44" s="7" customFormat="1" x14ac:dyDescent="0.25"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45</v>
      </c>
      <c r="Q2" s="7" t="s">
        <v>46</v>
      </c>
      <c r="R2" s="7" t="s">
        <v>47</v>
      </c>
      <c r="S2" s="7" t="s">
        <v>65</v>
      </c>
      <c r="T2" s="7" t="s">
        <v>66</v>
      </c>
      <c r="U2" s="7" t="s">
        <v>67</v>
      </c>
      <c r="V2" s="7" t="s">
        <v>68</v>
      </c>
      <c r="W2" s="7" t="s">
        <v>70</v>
      </c>
      <c r="X2" s="7" t="s">
        <v>71</v>
      </c>
      <c r="Y2" s="7" t="s">
        <v>72</v>
      </c>
      <c r="Z2" s="7" t="s">
        <v>73</v>
      </c>
      <c r="AA2" s="78" t="s">
        <v>190</v>
      </c>
      <c r="AB2" s="7" t="s">
        <v>191</v>
      </c>
      <c r="AC2" s="7" t="s">
        <v>192</v>
      </c>
      <c r="AD2" s="7" t="s">
        <v>193</v>
      </c>
      <c r="AH2" s="7">
        <v>2018</v>
      </c>
      <c r="AI2" s="7">
        <v>2019</v>
      </c>
      <c r="AJ2" s="7">
        <v>2020</v>
      </c>
      <c r="AK2" s="7">
        <v>2021</v>
      </c>
      <c r="AL2" s="7">
        <v>2022</v>
      </c>
      <c r="AM2" s="7">
        <v>2023</v>
      </c>
      <c r="AN2" s="7">
        <v>2024</v>
      </c>
      <c r="AO2" s="7">
        <v>2025</v>
      </c>
      <c r="AP2" s="7">
        <v>2026</v>
      </c>
      <c r="AQ2" s="7">
        <v>2027</v>
      </c>
      <c r="AR2" s="7">
        <v>2028</v>
      </c>
    </row>
    <row r="3" spans="2:44" s="7" customFormat="1" x14ac:dyDescent="0.25">
      <c r="B3" s="36" t="s">
        <v>147</v>
      </c>
      <c r="G3" s="37">
        <v>43860</v>
      </c>
      <c r="H3" s="37">
        <v>45991</v>
      </c>
      <c r="I3" s="37">
        <v>46183</v>
      </c>
      <c r="J3" s="37">
        <v>48168</v>
      </c>
      <c r="K3" s="37">
        <v>46153</v>
      </c>
      <c r="L3" s="37">
        <v>48196</v>
      </c>
      <c r="M3" s="37">
        <v>48117</v>
      </c>
      <c r="N3" s="37">
        <v>49962</v>
      </c>
      <c r="O3" s="37">
        <v>52921</v>
      </c>
      <c r="P3" s="37">
        <v>51545</v>
      </c>
      <c r="Q3" s="37">
        <v>50683</v>
      </c>
      <c r="R3" s="37">
        <v>53264</v>
      </c>
      <c r="S3" s="37">
        <v>51391</v>
      </c>
      <c r="T3" s="37">
        <v>54649</v>
      </c>
      <c r="U3" s="37">
        <v>55560</v>
      </c>
      <c r="V3" s="37">
        <v>57344</v>
      </c>
      <c r="W3" s="37">
        <v>56764</v>
      </c>
      <c r="X3" s="17">
        <v>61469</v>
      </c>
      <c r="Y3" s="17">
        <v>63231</v>
      </c>
      <c r="Z3" s="17">
        <f>247299-SUM(W3:Y3)</f>
        <v>65835</v>
      </c>
      <c r="AA3" s="17">
        <v>63407</v>
      </c>
      <c r="AB3" s="17">
        <f>X3*1.07</f>
        <v>65771.83</v>
      </c>
      <c r="AC3" s="17">
        <f t="shared" ref="AC3:AC6" si="0">Y3*1.07</f>
        <v>67657.17</v>
      </c>
      <c r="AD3" s="17">
        <f t="shared" ref="AD3:AD6" si="1">Z3*1.07</f>
        <v>70443.45</v>
      </c>
      <c r="AI3" s="17">
        <f>SUM(G3:J3)</f>
        <v>184202</v>
      </c>
      <c r="AJ3" s="17">
        <f>SUM(K3:N3)</f>
        <v>192428</v>
      </c>
      <c r="AK3" s="17">
        <f>SUM(O3:R3)</f>
        <v>208413</v>
      </c>
      <c r="AL3" s="17">
        <f>SUM(S3:V3)</f>
        <v>218944</v>
      </c>
      <c r="AM3" s="17">
        <f>SUM(W3:Z3)</f>
        <v>247299</v>
      </c>
      <c r="AN3" s="17">
        <f>SUM(AA3:AD3)</f>
        <v>267279.45</v>
      </c>
    </row>
    <row r="4" spans="2:44" s="7" customFormat="1" x14ac:dyDescent="0.25">
      <c r="B4" s="36" t="s">
        <v>148</v>
      </c>
      <c r="G4" s="37">
        <v>24174</v>
      </c>
      <c r="H4" s="37">
        <v>27305</v>
      </c>
      <c r="I4" s="37">
        <v>24838</v>
      </c>
      <c r="J4" s="37">
        <v>32422</v>
      </c>
      <c r="K4" s="37">
        <v>24406</v>
      </c>
      <c r="L4" s="37">
        <v>27246</v>
      </c>
      <c r="M4" s="37">
        <v>24964</v>
      </c>
      <c r="N4" s="37">
        <v>32071</v>
      </c>
      <c r="O4" s="37">
        <v>25466</v>
      </c>
      <c r="P4" s="37">
        <v>31682</v>
      </c>
      <c r="Q4" s="37">
        <v>26927</v>
      </c>
      <c r="R4" s="37">
        <v>35331</v>
      </c>
      <c r="S4" s="37">
        <v>30607</v>
      </c>
      <c r="T4" s="37">
        <v>31707</v>
      </c>
      <c r="U4" s="37">
        <v>28544</v>
      </c>
      <c r="V4" s="37">
        <v>35018</v>
      </c>
      <c r="W4" s="37">
        <v>27379</v>
      </c>
      <c r="X4" s="17">
        <v>30073</v>
      </c>
      <c r="Y4" s="17">
        <v>27605</v>
      </c>
      <c r="Z4" s="17">
        <f>118597-SUM(W4:Y4)</f>
        <v>33540</v>
      </c>
      <c r="AA4" s="17">
        <v>25765</v>
      </c>
      <c r="AB4" s="17">
        <f t="shared" ref="AB4:AB6" si="2">X4*1.07</f>
        <v>32178.11</v>
      </c>
      <c r="AC4" s="17">
        <f t="shared" si="0"/>
        <v>29537.350000000002</v>
      </c>
      <c r="AD4" s="17">
        <f t="shared" si="1"/>
        <v>35887.800000000003</v>
      </c>
      <c r="AI4" s="17">
        <f>SUM(G4:J4)</f>
        <v>108739</v>
      </c>
      <c r="AJ4" s="17">
        <f t="shared" ref="AJ4:AJ6" si="3">SUM(K4:N4)</f>
        <v>108687</v>
      </c>
      <c r="AK4" s="17">
        <f t="shared" ref="AK4:AK6" si="4">SUM(O4:R4)</f>
        <v>119406</v>
      </c>
      <c r="AL4" s="17">
        <f t="shared" ref="AL4:AL6" si="5">SUM(S4:V4)</f>
        <v>125876</v>
      </c>
      <c r="AM4" s="17">
        <f t="shared" ref="AM4:AM6" si="6">SUM(W4:Z4)</f>
        <v>118597</v>
      </c>
      <c r="AN4" s="17">
        <f>SUM(AA4:AD4)</f>
        <v>123368.26000000001</v>
      </c>
    </row>
    <row r="5" spans="2:44" s="7" customFormat="1" x14ac:dyDescent="0.25">
      <c r="B5" s="36" t="s">
        <v>149</v>
      </c>
      <c r="G5" s="37">
        <v>9128</v>
      </c>
      <c r="H5" s="37">
        <v>8837</v>
      </c>
      <c r="I5" s="37">
        <v>8869</v>
      </c>
      <c r="J5" s="37">
        <v>8954</v>
      </c>
      <c r="K5" s="37">
        <v>8970</v>
      </c>
      <c r="L5" s="37">
        <v>8949</v>
      </c>
      <c r="M5" s="37">
        <v>9225</v>
      </c>
      <c r="N5" s="37">
        <v>9414</v>
      </c>
      <c r="O5" s="37">
        <v>9600</v>
      </c>
      <c r="P5" s="37">
        <v>9154</v>
      </c>
      <c r="Q5" s="37">
        <v>9806</v>
      </c>
      <c r="R5" s="37">
        <v>9962</v>
      </c>
      <c r="S5" s="37">
        <v>9970</v>
      </c>
      <c r="T5" s="37">
        <v>10480</v>
      </c>
      <c r="U5" s="37">
        <v>11030</v>
      </c>
      <c r="V5" s="37">
        <v>11359</v>
      </c>
      <c r="W5" s="37">
        <v>10894</v>
      </c>
      <c r="X5" s="17">
        <v>11331</v>
      </c>
      <c r="Y5" s="17">
        <v>11947</v>
      </c>
      <c r="Z5" s="17">
        <f>46591-SUM(W5:Y5)</f>
        <v>12419</v>
      </c>
      <c r="AA5" s="17">
        <v>12848</v>
      </c>
      <c r="AB5" s="17">
        <f t="shared" si="2"/>
        <v>12124.17</v>
      </c>
      <c r="AC5" s="17">
        <f t="shared" si="0"/>
        <v>12783.29</v>
      </c>
      <c r="AD5" s="17">
        <f t="shared" si="1"/>
        <v>13288.33</v>
      </c>
      <c r="AI5" s="17">
        <f>SUM(G5:J5)</f>
        <v>35788</v>
      </c>
      <c r="AJ5" s="17">
        <f t="shared" si="3"/>
        <v>36558</v>
      </c>
      <c r="AK5" s="17">
        <f t="shared" si="4"/>
        <v>38522</v>
      </c>
      <c r="AL5" s="17">
        <f t="shared" si="5"/>
        <v>42839</v>
      </c>
      <c r="AM5" s="17">
        <f t="shared" si="6"/>
        <v>46591</v>
      </c>
      <c r="AN5" s="17">
        <f>SUM(AA5:AD5)</f>
        <v>51043.79</v>
      </c>
    </row>
    <row r="6" spans="2:44" s="7" customFormat="1" x14ac:dyDescent="0.25">
      <c r="B6" s="36" t="s">
        <v>91</v>
      </c>
      <c r="G6" s="37">
        <v>586</v>
      </c>
      <c r="H6" s="37">
        <v>682</v>
      </c>
      <c r="I6" s="37">
        <v>693</v>
      </c>
      <c r="J6" s="37">
        <v>976</v>
      </c>
      <c r="K6" s="37">
        <v>815</v>
      </c>
      <c r="L6" s="37">
        <v>809</v>
      </c>
      <c r="M6" s="37">
        <v>883</v>
      </c>
      <c r="N6" s="37">
        <v>824</v>
      </c>
      <c r="O6" s="37">
        <v>756</v>
      </c>
      <c r="P6" s="37">
        <v>901</v>
      </c>
      <c r="Q6" s="37">
        <v>937</v>
      </c>
      <c r="R6" s="37">
        <v>1028</v>
      </c>
      <c r="S6" s="37">
        <v>1199</v>
      </c>
      <c r="T6" s="37">
        <v>1356</v>
      </c>
      <c r="U6" s="37">
        <v>1475</v>
      </c>
      <c r="V6" s="37">
        <v>1558</v>
      </c>
      <c r="W6" s="37">
        <v>1867</v>
      </c>
      <c r="X6" s="17">
        <v>2257</v>
      </c>
      <c r="Y6" s="17">
        <v>1992</v>
      </c>
      <c r="Z6" s="17">
        <f>8066-SUM(W6:Y6)</f>
        <v>1950</v>
      </c>
      <c r="AA6" s="17">
        <v>1881</v>
      </c>
      <c r="AB6" s="17">
        <f t="shared" si="2"/>
        <v>2414.9900000000002</v>
      </c>
      <c r="AC6" s="17">
        <f t="shared" si="0"/>
        <v>2131.44</v>
      </c>
      <c r="AD6" s="17">
        <f t="shared" si="1"/>
        <v>2086.5</v>
      </c>
      <c r="AI6" s="17">
        <f>SUM(G6:J6)</f>
        <v>2937</v>
      </c>
      <c r="AJ6" s="17">
        <f t="shared" si="3"/>
        <v>3331</v>
      </c>
      <c r="AK6" s="17">
        <f t="shared" si="4"/>
        <v>3622</v>
      </c>
      <c r="AL6" s="17">
        <f t="shared" si="5"/>
        <v>5588</v>
      </c>
      <c r="AM6" s="17">
        <f t="shared" si="6"/>
        <v>8066</v>
      </c>
      <c r="AN6" s="17">
        <f>SUM(AA6:AD6)</f>
        <v>8513.93</v>
      </c>
    </row>
    <row r="7" spans="2:44" s="42" customFormat="1" x14ac:dyDescent="0.25">
      <c r="B7" s="25" t="s">
        <v>150</v>
      </c>
      <c r="C7" s="41">
        <v>75436</v>
      </c>
      <c r="D7" s="41">
        <v>78738</v>
      </c>
      <c r="E7" s="41">
        <v>77724</v>
      </c>
      <c r="F7" s="41">
        <v>86579</v>
      </c>
      <c r="G7" s="41">
        <f t="shared" ref="G7:V7" si="7">SUM(G3:G6)</f>
        <v>77748</v>
      </c>
      <c r="H7" s="41">
        <f t="shared" si="7"/>
        <v>82815</v>
      </c>
      <c r="I7" s="41">
        <f t="shared" si="7"/>
        <v>80583</v>
      </c>
      <c r="J7" s="41">
        <f t="shared" si="7"/>
        <v>90520</v>
      </c>
      <c r="K7" s="41">
        <f t="shared" si="7"/>
        <v>80344</v>
      </c>
      <c r="L7" s="41">
        <f t="shared" si="7"/>
        <v>85200</v>
      </c>
      <c r="M7" s="41">
        <f t="shared" si="7"/>
        <v>83189</v>
      </c>
      <c r="N7" s="41">
        <f t="shared" si="7"/>
        <v>92271</v>
      </c>
      <c r="O7" s="41">
        <f t="shared" si="7"/>
        <v>88743</v>
      </c>
      <c r="P7" s="41">
        <f t="shared" si="7"/>
        <v>93282</v>
      </c>
      <c r="Q7" s="41">
        <f t="shared" si="7"/>
        <v>88353</v>
      </c>
      <c r="R7" s="41">
        <f t="shared" si="7"/>
        <v>99585</v>
      </c>
      <c r="S7" s="41">
        <f t="shared" si="7"/>
        <v>93167</v>
      </c>
      <c r="T7" s="41">
        <f t="shared" si="7"/>
        <v>98192</v>
      </c>
      <c r="U7" s="41">
        <f t="shared" si="7"/>
        <v>96609</v>
      </c>
      <c r="V7" s="41">
        <f t="shared" si="7"/>
        <v>105279</v>
      </c>
      <c r="W7" s="41">
        <f>SUM(W3:W6)</f>
        <v>96904</v>
      </c>
      <c r="X7" s="41">
        <f t="shared" ref="X7:AA7" si="8">SUM(X3:X6)</f>
        <v>105130</v>
      </c>
      <c r="Y7" s="41">
        <f t="shared" si="8"/>
        <v>104775</v>
      </c>
      <c r="Z7" s="41">
        <f t="shared" si="8"/>
        <v>113744</v>
      </c>
      <c r="AA7" s="41">
        <f t="shared" si="8"/>
        <v>103901</v>
      </c>
      <c r="AB7" s="41">
        <f>SUM(AB3:AB6)</f>
        <v>112489.1</v>
      </c>
      <c r="AC7" s="41">
        <f t="shared" ref="AC7" si="9">SUM(AC3:AC6)</f>
        <v>112109.25</v>
      </c>
      <c r="AD7" s="41">
        <f>SUM(AD3:AD6)</f>
        <v>121706.08</v>
      </c>
      <c r="AH7" s="41">
        <f>SUM(C7:F7)</f>
        <v>318477</v>
      </c>
      <c r="AI7" s="41">
        <f>SUM(AI3:AI6)</f>
        <v>331666</v>
      </c>
      <c r="AJ7" s="41">
        <f t="shared" ref="AJ7:AK7" si="10">SUM(AJ3:AJ6)</f>
        <v>341004</v>
      </c>
      <c r="AK7" s="41">
        <f t="shared" si="10"/>
        <v>369963</v>
      </c>
      <c r="AL7" s="41">
        <f>SUM(AL3:AL6)</f>
        <v>393247</v>
      </c>
      <c r="AM7" s="41">
        <f t="shared" ref="AM7" si="11">SUM(AM3:AM6)</f>
        <v>420553</v>
      </c>
      <c r="AN7" s="41">
        <f>SUM(AN3:AN6)</f>
        <v>450205.43</v>
      </c>
      <c r="AO7" s="41">
        <f t="shared" ref="AO7" si="12">SUM(AO3:AO6)</f>
        <v>0</v>
      </c>
      <c r="AP7" s="41">
        <f t="shared" ref="AP7" si="13">SUM(AP3:AP6)</f>
        <v>0</v>
      </c>
      <c r="AQ7" s="41">
        <f t="shared" ref="AQ7" si="14">SUM(AQ3:AQ6)</f>
        <v>0</v>
      </c>
      <c r="AR7" s="41">
        <f t="shared" ref="AR7" si="15">SUM(AR3:AR6)</f>
        <v>0</v>
      </c>
    </row>
    <row r="8" spans="2:44" s="7" customFormat="1" x14ac:dyDescent="0.25">
      <c r="B8" s="36"/>
      <c r="X8" s="17"/>
      <c r="Y8" s="17"/>
      <c r="Z8" s="17"/>
    </row>
    <row r="9" spans="2:44" s="38" customFormat="1" ht="14.4" x14ac:dyDescent="0.3">
      <c r="B9" s="39" t="s">
        <v>151</v>
      </c>
      <c r="G9" s="40">
        <f t="shared" ref="G9:V9" si="16">G7/C7-1</f>
        <v>3.0648496738957531E-2</v>
      </c>
      <c r="H9" s="40">
        <f t="shared" si="16"/>
        <v>5.1779318753333747E-2</v>
      </c>
      <c r="I9" s="40">
        <f t="shared" si="16"/>
        <v>3.6784004940559001E-2</v>
      </c>
      <c r="J9" s="40">
        <f t="shared" si="16"/>
        <v>4.5519121264971929E-2</v>
      </c>
      <c r="K9" s="40">
        <f t="shared" si="16"/>
        <v>3.3389926428975647E-2</v>
      </c>
      <c r="L9" s="40">
        <f t="shared" si="16"/>
        <v>2.8799130592284117E-2</v>
      </c>
      <c r="M9" s="40">
        <f t="shared" si="16"/>
        <v>3.2339327153369846E-2</v>
      </c>
      <c r="N9" s="40">
        <f t="shared" si="16"/>
        <v>1.934379142730891E-2</v>
      </c>
      <c r="O9" s="40">
        <f t="shared" si="16"/>
        <v>0.10453798665737324</v>
      </c>
      <c r="P9" s="40">
        <f t="shared" si="16"/>
        <v>9.4859154929577416E-2</v>
      </c>
      <c r="Q9" s="40">
        <f t="shared" si="16"/>
        <v>6.2075514791618991E-2</v>
      </c>
      <c r="R9" s="40">
        <f t="shared" si="16"/>
        <v>7.9266508437103811E-2</v>
      </c>
      <c r="S9" s="40">
        <f t="shared" si="16"/>
        <v>4.9851819298423639E-2</v>
      </c>
      <c r="T9" s="40">
        <f t="shared" si="16"/>
        <v>5.2636092708132409E-2</v>
      </c>
      <c r="U9" s="40">
        <f t="shared" si="16"/>
        <v>9.3443346575668107E-2</v>
      </c>
      <c r="V9" s="40">
        <f t="shared" si="16"/>
        <v>5.7177285735803496E-2</v>
      </c>
      <c r="W9" s="40">
        <f>W7/S7-1</f>
        <v>4.0110768834458632E-2</v>
      </c>
      <c r="X9" s="40">
        <f t="shared" ref="X9" si="17">X7/T7-1</f>
        <v>7.0657487371679872E-2</v>
      </c>
      <c r="Y9" s="40">
        <f t="shared" ref="Y9" si="18">Y7/U7-1</f>
        <v>8.4526286370834924E-2</v>
      </c>
      <c r="Z9" s="40">
        <f t="shared" ref="Z9" si="19">Z7/V7-1</f>
        <v>8.040539898745247E-2</v>
      </c>
      <c r="AA9" s="40">
        <f t="shared" ref="AA9" si="20">AA7/W7-1</f>
        <v>7.2205481713861097E-2</v>
      </c>
      <c r="AB9" s="40">
        <f t="shared" ref="AB9" si="21">AB7/X7-1</f>
        <v>7.0000000000000062E-2</v>
      </c>
      <c r="AC9" s="40">
        <f t="shared" ref="AC9" si="22">AC7/Y7-1</f>
        <v>7.0000000000000062E-2</v>
      </c>
      <c r="AD9" s="40">
        <f t="shared" ref="AD9" si="23">AD7/Z7-1</f>
        <v>7.0000000000000062E-2</v>
      </c>
      <c r="AI9" s="40">
        <f>AI7/AH7-1</f>
        <v>4.1412723681772956E-2</v>
      </c>
      <c r="AJ9" s="40">
        <f t="shared" ref="AJ9:AL9" si="24">AJ7/AI7-1</f>
        <v>2.8154830461970759E-2</v>
      </c>
      <c r="AK9" s="40">
        <f t="shared" si="24"/>
        <v>8.4922757504310775E-2</v>
      </c>
      <c r="AL9" s="40">
        <f t="shared" si="24"/>
        <v>6.2936023332062829E-2</v>
      </c>
      <c r="AM9" s="40">
        <f t="shared" ref="AM9" si="25">AM7/AL7-1</f>
        <v>6.9437274791670278E-2</v>
      </c>
      <c r="AN9" s="40">
        <f t="shared" ref="AN9" si="26">AN7/AM7-1</f>
        <v>7.0508188028619356E-2</v>
      </c>
      <c r="AO9" s="40">
        <f t="shared" ref="AO9" si="27">AO7/AN7-1</f>
        <v>-1</v>
      </c>
      <c r="AP9" s="40" t="e">
        <f t="shared" ref="AP9" si="28">AP7/AO7-1</f>
        <v>#DIV/0!</v>
      </c>
      <c r="AQ9" s="40" t="e">
        <f t="shared" ref="AQ9" si="29">AQ7/AP7-1</f>
        <v>#DIV/0!</v>
      </c>
      <c r="AR9" s="40" t="e">
        <f t="shared" ref="AR9" si="30">AR7/AQ7-1</f>
        <v>#DIV/0!</v>
      </c>
    </row>
    <row r="10" spans="2:44" s="38" customFormat="1" ht="14.4" x14ac:dyDescent="0.3">
      <c r="B10" s="39" t="s">
        <v>152</v>
      </c>
      <c r="D10" s="40">
        <f>D7/C7-1</f>
        <v>4.3772204252611413E-2</v>
      </c>
      <c r="E10" s="40">
        <f t="shared" ref="E10:W10" si="31">E7/D7-1</f>
        <v>-1.2878152861388381E-2</v>
      </c>
      <c r="F10" s="40">
        <f t="shared" si="31"/>
        <v>0.11392877360918119</v>
      </c>
      <c r="G10" s="40">
        <f t="shared" si="31"/>
        <v>-0.10199933009159268</v>
      </c>
      <c r="H10" s="40">
        <f t="shared" si="31"/>
        <v>6.5172094459021501E-2</v>
      </c>
      <c r="I10" s="40">
        <f t="shared" si="31"/>
        <v>-2.6951639195797905E-2</v>
      </c>
      <c r="J10" s="40">
        <f t="shared" si="31"/>
        <v>0.12331385031582354</v>
      </c>
      <c r="K10" s="40">
        <f t="shared" si="31"/>
        <v>-0.11241714538223602</v>
      </c>
      <c r="L10" s="40">
        <f t="shared" si="31"/>
        <v>6.0440107537588439E-2</v>
      </c>
      <c r="M10" s="40">
        <f t="shared" si="31"/>
        <v>-2.3603286384976552E-2</v>
      </c>
      <c r="N10" s="40">
        <f t="shared" si="31"/>
        <v>0.10917308778804879</v>
      </c>
      <c r="O10" s="40">
        <f t="shared" si="31"/>
        <v>-3.8235198491400335E-2</v>
      </c>
      <c r="P10" s="40">
        <f t="shared" si="31"/>
        <v>5.1147696156316647E-2</v>
      </c>
      <c r="Q10" s="40">
        <f t="shared" si="31"/>
        <v>-5.2839776162603713E-2</v>
      </c>
      <c r="R10" s="40">
        <f t="shared" si="31"/>
        <v>0.12712641336457176</v>
      </c>
      <c r="S10" s="40">
        <f t="shared" si="31"/>
        <v>-6.4447456946327253E-2</v>
      </c>
      <c r="T10" s="40">
        <f t="shared" si="31"/>
        <v>5.393540631339433E-2</v>
      </c>
      <c r="U10" s="40">
        <f t="shared" si="31"/>
        <v>-1.6121476291347525E-2</v>
      </c>
      <c r="V10" s="40">
        <f t="shared" si="31"/>
        <v>8.9743191628109287E-2</v>
      </c>
      <c r="W10" s="40">
        <f t="shared" si="31"/>
        <v>-7.9550527645589342E-2</v>
      </c>
      <c r="X10" s="40">
        <f t="shared" ref="X10" si="32">X7/W7-1</f>
        <v>8.4888136712622853E-2</v>
      </c>
      <c r="Y10" s="40">
        <f t="shared" ref="Y10" si="33">Y7/X7-1</f>
        <v>-3.3767716160943984E-3</v>
      </c>
      <c r="Z10" s="40">
        <f t="shared" ref="Z10" si="34">Z7/Y7-1</f>
        <v>8.5602481507993211E-2</v>
      </c>
      <c r="AA10" s="40">
        <f t="shared" ref="AA10" si="35">AA7/Z7-1</f>
        <v>-8.6536432690955123E-2</v>
      </c>
      <c r="AB10" s="40">
        <f t="shared" ref="AB10" si="36">AB7/AA7-1</f>
        <v>8.2656567309265627E-2</v>
      </c>
      <c r="AC10" s="40">
        <f t="shared" ref="AC10" si="37">AC7/AB7-1</f>
        <v>-3.3767716160943984E-3</v>
      </c>
      <c r="AD10" s="40">
        <f t="shared" ref="AD10" si="38">AD7/AC7-1</f>
        <v>8.5602481507993433E-2</v>
      </c>
    </row>
    <row r="11" spans="2:44" s="7" customFormat="1" x14ac:dyDescent="0.25">
      <c r="B11" s="36"/>
      <c r="X11" s="17"/>
      <c r="Y11" s="17"/>
      <c r="Z11" s="17"/>
    </row>
    <row r="12" spans="2:44" s="7" customFormat="1" x14ac:dyDescent="0.25">
      <c r="B12" s="36" t="s">
        <v>153</v>
      </c>
      <c r="C12" s="37"/>
      <c r="D12" s="37"/>
      <c r="E12" s="37"/>
      <c r="F12" s="37"/>
      <c r="G12" s="37">
        <v>7684</v>
      </c>
      <c r="H12" s="37">
        <v>7510</v>
      </c>
      <c r="I12" s="37">
        <v>7740</v>
      </c>
      <c r="J12" s="37">
        <f>31790-SUM(G12:I12)</f>
        <v>8856</v>
      </c>
      <c r="K12" s="37">
        <v>7837</v>
      </c>
      <c r="L12" s="37">
        <v>8014</v>
      </c>
      <c r="M12" s="37">
        <v>7913</v>
      </c>
      <c r="N12" s="37">
        <f>33350-SUM(K12:M12)</f>
        <v>9586</v>
      </c>
      <c r="O12" s="37">
        <v>8496</v>
      </c>
      <c r="P12" s="37">
        <v>7208</v>
      </c>
      <c r="Q12" s="37">
        <v>7429</v>
      </c>
      <c r="R12" s="37">
        <v>9509</v>
      </c>
      <c r="S12" s="37">
        <v>8330</v>
      </c>
      <c r="T12" s="37">
        <v>8658</v>
      </c>
      <c r="U12" s="37">
        <v>8718</v>
      </c>
      <c r="V12" s="37">
        <v>10258</v>
      </c>
      <c r="W12" s="37">
        <v>9088</v>
      </c>
      <c r="X12" s="17">
        <v>9690</v>
      </c>
      <c r="Y12" s="17">
        <v>9702</v>
      </c>
      <c r="Z12" s="17">
        <f>40496-SUM(W12:Y12)</f>
        <v>12016</v>
      </c>
      <c r="AA12" s="17">
        <v>10958</v>
      </c>
      <c r="AB12" s="17">
        <f>X12*1.05</f>
        <v>10174.5</v>
      </c>
      <c r="AC12" s="17">
        <f t="shared" ref="AC12:AC16" si="39">Y12*1.05</f>
        <v>10187.1</v>
      </c>
      <c r="AD12" s="17">
        <f t="shared" ref="AD12:AD16" si="40">Z12*1.05</f>
        <v>12616.800000000001</v>
      </c>
      <c r="AI12" s="17">
        <f>SUM(G12:J12)</f>
        <v>31790</v>
      </c>
      <c r="AJ12" s="17">
        <f>SUM(G13:J13)</f>
        <v>18613</v>
      </c>
      <c r="AK12" s="17">
        <f>SUM(O12:R12)</f>
        <v>32642</v>
      </c>
      <c r="AL12" s="17">
        <f>SUM(S12:V12)</f>
        <v>35964</v>
      </c>
      <c r="AM12" s="17">
        <f t="shared" ref="AM12:AM16" si="41">SUM(W12:Z12)</f>
        <v>40496</v>
      </c>
      <c r="AN12" s="17">
        <f>SUM(AA12:AD12)</f>
        <v>43936.4</v>
      </c>
    </row>
    <row r="13" spans="2:44" s="7" customFormat="1" x14ac:dyDescent="0.25">
      <c r="B13" s="36" t="s">
        <v>154</v>
      </c>
      <c r="C13" s="37"/>
      <c r="D13" s="37"/>
      <c r="E13" s="37"/>
      <c r="F13" s="37"/>
      <c r="G13" s="37">
        <v>4254</v>
      </c>
      <c r="H13" s="37">
        <v>4703</v>
      </c>
      <c r="I13" s="37">
        <v>4639</v>
      </c>
      <c r="J13" s="37">
        <f>18613-SUM(G13:I13)</f>
        <v>5017</v>
      </c>
      <c r="K13" s="37">
        <v>4122</v>
      </c>
      <c r="L13" s="37">
        <v>4635</v>
      </c>
      <c r="M13" s="37">
        <v>4608</v>
      </c>
      <c r="N13" s="37">
        <f>18420-SUM(K13:M13)</f>
        <v>5055</v>
      </c>
      <c r="O13" s="37">
        <v>4286</v>
      </c>
      <c r="P13" s="37">
        <v>5127</v>
      </c>
      <c r="Q13" s="37">
        <v>4969</v>
      </c>
      <c r="R13" s="37">
        <v>5609</v>
      </c>
      <c r="S13" s="37">
        <v>4848</v>
      </c>
      <c r="T13" s="37">
        <v>5492</v>
      </c>
      <c r="U13" s="37">
        <v>5507</v>
      </c>
      <c r="V13" s="37">
        <v>5926</v>
      </c>
      <c r="W13" s="37">
        <v>5150</v>
      </c>
      <c r="X13" s="17">
        <v>5767</v>
      </c>
      <c r="Y13" s="17">
        <v>5491</v>
      </c>
      <c r="Z13" s="17">
        <f>22300-SUM(W13:Y13)</f>
        <v>5892</v>
      </c>
      <c r="AA13" s="17">
        <v>5140</v>
      </c>
      <c r="AB13" s="17">
        <f t="shared" ref="AB13:AB16" si="42">X13*1.05</f>
        <v>6055.35</v>
      </c>
      <c r="AC13" s="17">
        <f t="shared" si="39"/>
        <v>5765.55</v>
      </c>
      <c r="AD13" s="17">
        <f t="shared" si="40"/>
        <v>6186.6</v>
      </c>
      <c r="AI13" s="17">
        <f t="shared" ref="AI13:AI16" si="43">SUM(G13:J13)</f>
        <v>18613</v>
      </c>
      <c r="AJ13" s="17">
        <f t="shared" ref="AJ13:AJ16" si="44">SUM(G14:J14)</f>
        <v>10702</v>
      </c>
      <c r="AK13" s="17">
        <f t="shared" ref="AK13:AK16" si="45">SUM(O13:R13)</f>
        <v>19991</v>
      </c>
      <c r="AL13" s="17">
        <f t="shared" ref="AL13:AL16" si="46">SUM(S13:V13)</f>
        <v>21773</v>
      </c>
      <c r="AM13" s="17">
        <f t="shared" si="41"/>
        <v>22300</v>
      </c>
      <c r="AN13" s="17">
        <f>SUM(AA13:AD13)</f>
        <v>23147.5</v>
      </c>
    </row>
    <row r="14" spans="2:44" s="7" customFormat="1" x14ac:dyDescent="0.25">
      <c r="B14" s="36" t="s">
        <v>155</v>
      </c>
      <c r="C14" s="37"/>
      <c r="D14" s="37"/>
      <c r="E14" s="37"/>
      <c r="F14" s="37"/>
      <c r="G14" s="37">
        <v>3205</v>
      </c>
      <c r="H14" s="37">
        <v>2480</v>
      </c>
      <c r="I14" s="37">
        <v>2637</v>
      </c>
      <c r="J14" s="37">
        <f>10702-SUM(G14:I14)</f>
        <v>2380</v>
      </c>
      <c r="K14" s="37">
        <v>3063</v>
      </c>
      <c r="L14" s="37">
        <v>2428</v>
      </c>
      <c r="M14" s="37">
        <v>2718</v>
      </c>
      <c r="N14" s="37">
        <f>10671-SUM(K14:M14)</f>
        <v>2462</v>
      </c>
      <c r="O14" s="37">
        <v>3368</v>
      </c>
      <c r="P14" s="37">
        <v>2579</v>
      </c>
      <c r="Q14" s="37">
        <v>2787</v>
      </c>
      <c r="R14" s="37">
        <v>2696</v>
      </c>
      <c r="S14" s="37">
        <v>3773</v>
      </c>
      <c r="T14" s="37">
        <v>3001</v>
      </c>
      <c r="U14" s="37">
        <v>3538</v>
      </c>
      <c r="V14" s="37">
        <v>3540</v>
      </c>
      <c r="W14" s="37">
        <v>4127</v>
      </c>
      <c r="X14" s="17">
        <v>3397</v>
      </c>
      <c r="Y14" s="17">
        <v>3572</v>
      </c>
      <c r="Z14" s="17">
        <f>14711-SUM(W14:Y14)</f>
        <v>3615</v>
      </c>
      <c r="AA14" s="17">
        <v>4924</v>
      </c>
      <c r="AB14" s="17">
        <f t="shared" si="42"/>
        <v>3566.8500000000004</v>
      </c>
      <c r="AC14" s="17">
        <f t="shared" si="39"/>
        <v>3750.6000000000004</v>
      </c>
      <c r="AD14" s="17">
        <f t="shared" si="40"/>
        <v>3795.75</v>
      </c>
      <c r="AI14" s="17">
        <f t="shared" si="43"/>
        <v>10702</v>
      </c>
      <c r="AJ14" s="17">
        <f t="shared" si="44"/>
        <v>30547</v>
      </c>
      <c r="AK14" s="17">
        <f t="shared" si="45"/>
        <v>11430</v>
      </c>
      <c r="AL14" s="17">
        <f t="shared" si="46"/>
        <v>13852</v>
      </c>
      <c r="AM14" s="17">
        <f t="shared" si="41"/>
        <v>14711</v>
      </c>
      <c r="AN14" s="17">
        <f>SUM(AA14:AD14)</f>
        <v>16037.2</v>
      </c>
    </row>
    <row r="15" spans="2:44" s="7" customFormat="1" x14ac:dyDescent="0.25">
      <c r="B15" s="36" t="s">
        <v>156</v>
      </c>
      <c r="C15" s="37"/>
      <c r="D15" s="37"/>
      <c r="E15" s="37"/>
      <c r="F15" s="37"/>
      <c r="G15" s="37">
        <v>7515</v>
      </c>
      <c r="H15" s="37">
        <v>7650</v>
      </c>
      <c r="I15" s="37">
        <v>7407</v>
      </c>
      <c r="J15" s="37">
        <f>30547-SUM(G15:I15)</f>
        <v>7975</v>
      </c>
      <c r="K15" s="37">
        <v>7077</v>
      </c>
      <c r="L15" s="37">
        <v>7316</v>
      </c>
      <c r="M15" s="37">
        <v>6961</v>
      </c>
      <c r="N15" s="37">
        <f>29243-SUM(K15:M15)</f>
        <v>7889</v>
      </c>
      <c r="O15" s="37">
        <v>7132</v>
      </c>
      <c r="P15" s="37">
        <v>6698</v>
      </c>
      <c r="Q15" s="37">
        <v>7249</v>
      </c>
      <c r="R15" s="37">
        <v>8155</v>
      </c>
      <c r="S15" s="37">
        <v>3811</v>
      </c>
      <c r="T15" s="37">
        <v>0</v>
      </c>
      <c r="U15" s="37">
        <v>0</v>
      </c>
      <c r="V15" s="37">
        <v>0</v>
      </c>
      <c r="W15" s="3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f t="shared" si="42"/>
        <v>0</v>
      </c>
      <c r="AC15" s="17">
        <f t="shared" si="39"/>
        <v>0</v>
      </c>
      <c r="AD15" s="17">
        <f t="shared" si="40"/>
        <v>0</v>
      </c>
      <c r="AI15" s="17">
        <f t="shared" si="43"/>
        <v>30547</v>
      </c>
      <c r="AJ15" s="17">
        <f t="shared" si="44"/>
        <v>29172</v>
      </c>
      <c r="AK15" s="17">
        <f t="shared" si="45"/>
        <v>29234</v>
      </c>
      <c r="AL15" s="17">
        <f t="shared" si="46"/>
        <v>3811</v>
      </c>
      <c r="AM15" s="17">
        <f>SUM(W15:Z15)</f>
        <v>0</v>
      </c>
      <c r="AN15" s="17">
        <f>SUM(AA15:AD15)</f>
        <v>0</v>
      </c>
    </row>
    <row r="16" spans="2:44" s="7" customFormat="1" x14ac:dyDescent="0.25">
      <c r="B16" s="36" t="s">
        <v>91</v>
      </c>
      <c r="C16" s="37"/>
      <c r="D16" s="37"/>
      <c r="E16" s="37"/>
      <c r="F16" s="37"/>
      <c r="G16" s="37">
        <v>7602</v>
      </c>
      <c r="H16" s="37">
        <v>7111</v>
      </c>
      <c r="I16" s="37">
        <v>6370</v>
      </c>
      <c r="J16" s="37">
        <f>29172-SUM(G16:I16)</f>
        <v>8089</v>
      </c>
      <c r="K16" s="37">
        <v>6676</v>
      </c>
      <c r="L16" s="37">
        <v>6746</v>
      </c>
      <c r="M16" s="37">
        <v>6967</v>
      </c>
      <c r="N16" s="37">
        <f>28446-SUM(K16:M16)</f>
        <v>8057</v>
      </c>
      <c r="O16" s="37">
        <v>6484</v>
      </c>
      <c r="P16" s="37">
        <v>5555</v>
      </c>
      <c r="Q16" s="37">
        <v>7120</v>
      </c>
      <c r="R16" s="37">
        <v>8904</v>
      </c>
      <c r="S16" s="37">
        <v>6538</v>
      </c>
      <c r="T16" s="37">
        <v>5884</v>
      </c>
      <c r="U16" s="37">
        <v>5864</v>
      </c>
      <c r="V16" s="37">
        <v>7273</v>
      </c>
      <c r="W16" s="37">
        <v>5398</v>
      </c>
      <c r="X16" s="17">
        <v>5496</v>
      </c>
      <c r="Y16" s="17">
        <v>6530</v>
      </c>
      <c r="Z16" s="17">
        <f>23476-SUM(W16:Y16)</f>
        <v>6052</v>
      </c>
      <c r="AA16" s="17">
        <v>5582</v>
      </c>
      <c r="AB16" s="17">
        <f t="shared" si="42"/>
        <v>5770.8</v>
      </c>
      <c r="AC16" s="17">
        <f t="shared" si="39"/>
        <v>6856.5</v>
      </c>
      <c r="AD16" s="17">
        <f t="shared" si="40"/>
        <v>6354.6</v>
      </c>
      <c r="AI16" s="17">
        <f t="shared" si="43"/>
        <v>29172</v>
      </c>
      <c r="AJ16" s="17">
        <f t="shared" si="44"/>
        <v>120824</v>
      </c>
      <c r="AK16" s="17">
        <f t="shared" si="45"/>
        <v>28063</v>
      </c>
      <c r="AL16" s="17">
        <f t="shared" si="46"/>
        <v>25559</v>
      </c>
      <c r="AM16" s="17">
        <f t="shared" si="41"/>
        <v>23476</v>
      </c>
      <c r="AN16" s="17">
        <f>SUM(AA16:AD16)</f>
        <v>24563.9</v>
      </c>
    </row>
    <row r="17" spans="2:44" s="42" customFormat="1" x14ac:dyDescent="0.25">
      <c r="B17" s="25" t="s">
        <v>157</v>
      </c>
      <c r="C17" s="41">
        <v>27097</v>
      </c>
      <c r="D17" s="41">
        <v>28331</v>
      </c>
      <c r="E17" s="41">
        <v>29548</v>
      </c>
      <c r="F17" s="41">
        <v>33092</v>
      </c>
      <c r="G17" s="41">
        <f>SUM(G12:G16)</f>
        <v>30260</v>
      </c>
      <c r="H17" s="41">
        <f t="shared" ref="H17:V17" si="47">SUM(H12:H16)</f>
        <v>29454</v>
      </c>
      <c r="I17" s="41">
        <f t="shared" si="47"/>
        <v>28793</v>
      </c>
      <c r="J17" s="41">
        <f t="shared" si="47"/>
        <v>32317</v>
      </c>
      <c r="K17" s="41">
        <f t="shared" si="47"/>
        <v>28775</v>
      </c>
      <c r="L17" s="41">
        <f t="shared" si="47"/>
        <v>29139</v>
      </c>
      <c r="M17" s="41">
        <f t="shared" si="47"/>
        <v>29167</v>
      </c>
      <c r="N17" s="41">
        <f t="shared" si="47"/>
        <v>33049</v>
      </c>
      <c r="O17" s="41">
        <f t="shared" si="47"/>
        <v>29766</v>
      </c>
      <c r="P17" s="41">
        <f t="shared" si="47"/>
        <v>27167</v>
      </c>
      <c r="Q17" s="41">
        <f t="shared" si="47"/>
        <v>29554</v>
      </c>
      <c r="R17" s="41">
        <f t="shared" si="47"/>
        <v>34873</v>
      </c>
      <c r="S17" s="41">
        <f t="shared" si="47"/>
        <v>27300</v>
      </c>
      <c r="T17" s="41">
        <f t="shared" si="47"/>
        <v>23035</v>
      </c>
      <c r="U17" s="41">
        <f t="shared" si="47"/>
        <v>23627</v>
      </c>
      <c r="V17" s="41">
        <f t="shared" si="47"/>
        <v>26997</v>
      </c>
      <c r="W17" s="41">
        <f>SUM(W12:W16)</f>
        <v>23763</v>
      </c>
      <c r="X17" s="41">
        <f t="shared" ref="X17:AA17" si="48">SUM(X12:X16)</f>
        <v>24350</v>
      </c>
      <c r="Y17" s="41">
        <f t="shared" si="48"/>
        <v>25295</v>
      </c>
      <c r="Z17" s="41">
        <f t="shared" si="48"/>
        <v>27575</v>
      </c>
      <c r="AA17" s="41">
        <f t="shared" si="48"/>
        <v>26604</v>
      </c>
      <c r="AB17" s="41">
        <f t="shared" ref="AB17" si="49">SUM(AB12:AB16)</f>
        <v>25567.5</v>
      </c>
      <c r="AC17" s="41">
        <f t="shared" ref="AC17" si="50">SUM(AC12:AC16)</f>
        <v>26559.75</v>
      </c>
      <c r="AD17" s="41">
        <f t="shared" ref="AD17" si="51">SUM(AD12:AD16)</f>
        <v>28953.75</v>
      </c>
      <c r="AH17" s="41">
        <f>SUM(C17:F17)</f>
        <v>118068</v>
      </c>
      <c r="AI17" s="41">
        <f>SUM(AI12:AI16)</f>
        <v>120824</v>
      </c>
      <c r="AJ17" s="41">
        <f t="shared" ref="AJ17:AK17" si="52">SUM(AJ12:AJ16)</f>
        <v>209858</v>
      </c>
      <c r="AK17" s="41">
        <f t="shared" si="52"/>
        <v>121360</v>
      </c>
      <c r="AL17" s="41">
        <f>SUM(AL12:AL16)</f>
        <v>100959</v>
      </c>
      <c r="AM17" s="41">
        <f>SUM(AM12:AM16)</f>
        <v>100983</v>
      </c>
      <c r="AN17" s="41">
        <f>SUM(AN12:AN16)</f>
        <v>107685</v>
      </c>
      <c r="AO17" s="41">
        <f t="shared" ref="AO17:AR17" si="53">SUM(AO12:AO16)</f>
        <v>0</v>
      </c>
      <c r="AP17" s="41">
        <f t="shared" si="53"/>
        <v>0</v>
      </c>
      <c r="AQ17" s="41">
        <f t="shared" si="53"/>
        <v>0</v>
      </c>
      <c r="AR17" s="41">
        <f t="shared" si="53"/>
        <v>0</v>
      </c>
    </row>
    <row r="18" spans="2:44" s="7" customFormat="1" x14ac:dyDescent="0.25">
      <c r="B18" s="36"/>
      <c r="X18" s="17"/>
      <c r="Y18" s="17"/>
      <c r="Z18" s="17"/>
    </row>
    <row r="19" spans="2:44" s="38" customFormat="1" ht="14.4" x14ac:dyDescent="0.3">
      <c r="B19" s="39" t="s">
        <v>158</v>
      </c>
      <c r="G19" s="40">
        <f>G17/C17-1</f>
        <v>0.1167287891648523</v>
      </c>
      <c r="H19" s="40">
        <f t="shared" ref="H19:W19" si="54">H17/D17-1</f>
        <v>3.9638558469520913E-2</v>
      </c>
      <c r="I19" s="40">
        <f t="shared" si="54"/>
        <v>-2.5551644781372729E-2</v>
      </c>
      <c r="J19" s="40">
        <f t="shared" si="54"/>
        <v>-2.3419557597002316E-2</v>
      </c>
      <c r="K19" s="40">
        <f t="shared" si="54"/>
        <v>-4.9074686054196959E-2</v>
      </c>
      <c r="L19" s="40">
        <f t="shared" si="54"/>
        <v>-1.069464249337948E-2</v>
      </c>
      <c r="M19" s="40">
        <f t="shared" si="54"/>
        <v>1.2989268224915751E-2</v>
      </c>
      <c r="N19" s="40">
        <f t="shared" si="54"/>
        <v>2.2650617322152344E-2</v>
      </c>
      <c r="O19" s="40">
        <f t="shared" si="54"/>
        <v>3.4439617723718507E-2</v>
      </c>
      <c r="P19" s="40">
        <f t="shared" si="54"/>
        <v>-6.7675623734513857E-2</v>
      </c>
      <c r="Q19" s="40">
        <f t="shared" si="54"/>
        <v>1.3268419789488117E-2</v>
      </c>
      <c r="R19" s="40">
        <f t="shared" si="54"/>
        <v>5.5190777330630381E-2</v>
      </c>
      <c r="S19" s="40">
        <f t="shared" si="54"/>
        <v>-8.284620036283008E-2</v>
      </c>
      <c r="T19" s="40">
        <f t="shared" si="54"/>
        <v>-0.1520962932970148</v>
      </c>
      <c r="U19" s="40">
        <f t="shared" si="54"/>
        <v>-0.20054814915070718</v>
      </c>
      <c r="V19" s="40">
        <f t="shared" si="54"/>
        <v>-0.22584807730909295</v>
      </c>
      <c r="W19" s="40">
        <f t="shared" si="54"/>
        <v>-0.12956043956043961</v>
      </c>
      <c r="X19" s="40">
        <f t="shared" ref="X19" si="55">X17/T17-1</f>
        <v>5.7087041458649956E-2</v>
      </c>
      <c r="Y19" s="40">
        <f t="shared" ref="Y19" si="56">Y17/U17-1</f>
        <v>7.0597198120794014E-2</v>
      </c>
      <c r="Z19" s="40">
        <f t="shared" ref="Z19" si="57">Z17/V17-1</f>
        <v>2.1409786272548859E-2</v>
      </c>
      <c r="AA19" s="40">
        <f t="shared" ref="AA19" si="58">AA17/W17-1</f>
        <v>0.11955561166519368</v>
      </c>
      <c r="AB19" s="40">
        <f t="shared" ref="AB19" si="59">AB17/X17-1</f>
        <v>5.0000000000000044E-2</v>
      </c>
      <c r="AC19" s="40">
        <f t="shared" ref="AC19" si="60">AC17/Y17-1</f>
        <v>5.0000000000000044E-2</v>
      </c>
      <c r="AD19" s="40">
        <f t="shared" ref="AD19" si="61">AD17/Z17-1</f>
        <v>5.0000000000000044E-2</v>
      </c>
      <c r="AI19" s="40">
        <f>AI17/AH17-1</f>
        <v>2.3342480604397364E-2</v>
      </c>
      <c r="AJ19" s="40">
        <f t="shared" ref="AJ19:AL19" si="62">AJ17/AI17-1</f>
        <v>0.73689002184996366</v>
      </c>
      <c r="AK19" s="40">
        <f t="shared" si="62"/>
        <v>-0.42170419998284558</v>
      </c>
      <c r="AL19" s="40">
        <f t="shared" si="62"/>
        <v>-0.16810316413974946</v>
      </c>
      <c r="AM19" s="40">
        <f t="shared" ref="AM19" si="63">AM17/AL17-1</f>
        <v>2.3772026268087387E-4</v>
      </c>
      <c r="AN19" s="40">
        <f t="shared" ref="AN19" si="64">AN17/AM17-1</f>
        <v>6.6367606428804793E-2</v>
      </c>
      <c r="AO19" s="40">
        <f t="shared" ref="AO19" si="65">AO17/AN17-1</f>
        <v>-1</v>
      </c>
      <c r="AP19" s="40" t="e">
        <f t="shared" ref="AP19" si="66">AP17/AO17-1</f>
        <v>#DIV/0!</v>
      </c>
      <c r="AQ19" s="40" t="e">
        <f t="shared" ref="AQ19" si="67">AQ17/AP17-1</f>
        <v>#DIV/0!</v>
      </c>
      <c r="AR19" s="40" t="e">
        <f t="shared" ref="AR19" si="68">AR17/AQ17-1</f>
        <v>#DIV/0!</v>
      </c>
    </row>
    <row r="20" spans="2:44" s="38" customFormat="1" ht="14.4" x14ac:dyDescent="0.3">
      <c r="B20" s="39" t="s">
        <v>159</v>
      </c>
      <c r="D20" s="40">
        <f>D17/C17-1</f>
        <v>4.5540096689670406E-2</v>
      </c>
      <c r="E20" s="40">
        <f t="shared" ref="E20:F20" si="69">E17/D17-1</f>
        <v>4.2956478768839679E-2</v>
      </c>
      <c r="F20" s="40">
        <f t="shared" si="69"/>
        <v>0.11994043590090708</v>
      </c>
      <c r="G20" s="40">
        <f>G17/F17-1</f>
        <v>-8.5579596277045811E-2</v>
      </c>
      <c r="H20" s="40">
        <f t="shared" ref="H20:W20" si="70">H17/G17-1</f>
        <v>-2.6635822868473213E-2</v>
      </c>
      <c r="I20" s="40">
        <f t="shared" si="70"/>
        <v>-2.2441773613091631E-2</v>
      </c>
      <c r="J20" s="40">
        <f t="shared" si="70"/>
        <v>0.12239085888931345</v>
      </c>
      <c r="K20" s="40">
        <f t="shared" si="70"/>
        <v>-0.10960175758888513</v>
      </c>
      <c r="L20" s="40">
        <f t="shared" si="70"/>
        <v>1.2649869678540426E-2</v>
      </c>
      <c r="M20" s="40">
        <f t="shared" si="70"/>
        <v>9.6091149318788815E-4</v>
      </c>
      <c r="N20" s="40">
        <f t="shared" si="70"/>
        <v>0.13309562176432266</v>
      </c>
      <c r="O20" s="40">
        <f t="shared" si="70"/>
        <v>-9.9337347574813162E-2</v>
      </c>
      <c r="P20" s="40">
        <f t="shared" si="70"/>
        <v>-8.7314385540549599E-2</v>
      </c>
      <c r="Q20" s="40">
        <f t="shared" si="70"/>
        <v>8.786395258953883E-2</v>
      </c>
      <c r="R20" s="40">
        <f t="shared" si="70"/>
        <v>0.17997563781552417</v>
      </c>
      <c r="S20" s="40">
        <f t="shared" si="70"/>
        <v>-0.21715940699108194</v>
      </c>
      <c r="T20" s="40">
        <f t="shared" si="70"/>
        <v>-0.15622710622710623</v>
      </c>
      <c r="U20" s="40">
        <f t="shared" si="70"/>
        <v>2.5700021706099418E-2</v>
      </c>
      <c r="V20" s="40">
        <f t="shared" si="70"/>
        <v>0.14263342785795907</v>
      </c>
      <c r="W20" s="40">
        <f t="shared" si="70"/>
        <v>-0.11979108789865545</v>
      </c>
      <c r="X20" s="40">
        <f t="shared" ref="X20" si="71">X17/W17-1</f>
        <v>2.4702268232125624E-2</v>
      </c>
      <c r="Y20" s="40">
        <f t="shared" ref="Y20" si="72">Y17/X17-1</f>
        <v>3.8809034907597573E-2</v>
      </c>
      <c r="Z20" s="40">
        <f t="shared" ref="Z20" si="73">Z17/Y17-1</f>
        <v>9.0136390591025961E-2</v>
      </c>
      <c r="AA20" s="40">
        <f t="shared" ref="AA20" si="74">AA17/Z17-1</f>
        <v>-3.52130553037171E-2</v>
      </c>
      <c r="AB20" s="40">
        <f t="shared" ref="AB20" si="75">AB17/AA17-1</f>
        <v>-3.8960306720793869E-2</v>
      </c>
      <c r="AC20" s="40">
        <f t="shared" ref="AC20" si="76">AC17/AB17-1</f>
        <v>3.8809034907597573E-2</v>
      </c>
      <c r="AD20" s="40">
        <f t="shared" ref="AD20" si="77">AD17/AC17-1</f>
        <v>9.0136390591025961E-2</v>
      </c>
    </row>
    <row r="21" spans="2:44" s="7" customFormat="1" x14ac:dyDescent="0.25">
      <c r="B21" s="36"/>
      <c r="X21" s="17"/>
      <c r="Y21" s="17"/>
      <c r="Z21" s="17"/>
    </row>
    <row r="22" spans="2:44" s="7" customFormat="1" x14ac:dyDescent="0.25">
      <c r="B22" s="36" t="s">
        <v>160</v>
      </c>
      <c r="G22" s="37">
        <v>8012</v>
      </c>
      <c r="H22" s="37">
        <v>8585</v>
      </c>
      <c r="I22" s="37">
        <v>8570</v>
      </c>
      <c r="J22" s="37">
        <f>33708-SUM(G22:I22)</f>
        <v>8541</v>
      </c>
      <c r="K22" s="37">
        <v>8373</v>
      </c>
      <c r="L22" s="37">
        <v>8931</v>
      </c>
      <c r="M22" s="37">
        <v>8900</v>
      </c>
      <c r="N22" s="37">
        <f>35043-SUM(K22:M22)</f>
        <v>8839</v>
      </c>
      <c r="O22" s="37">
        <v>10361</v>
      </c>
      <c r="P22" s="37">
        <v>10715</v>
      </c>
      <c r="Q22" s="37">
        <v>10450</v>
      </c>
      <c r="R22" s="37">
        <v>10622</v>
      </c>
      <c r="S22" s="37">
        <v>10669</v>
      </c>
      <c r="T22" s="37">
        <v>12014</v>
      </c>
      <c r="U22" s="37">
        <v>12335</v>
      </c>
      <c r="V22" s="37">
        <v>11804</v>
      </c>
      <c r="W22" s="37">
        <v>12301</v>
      </c>
      <c r="X22" s="17">
        <v>13392</v>
      </c>
      <c r="Y22" s="17">
        <v>13846</v>
      </c>
      <c r="Z22" s="17">
        <f>53027-SUM(W22:Y22)</f>
        <v>13488</v>
      </c>
      <c r="AA22" s="17">
        <v>13498</v>
      </c>
      <c r="AB22" s="17">
        <f>X22*1.05</f>
        <v>14061.6</v>
      </c>
      <c r="AC22" s="17">
        <f t="shared" ref="AC22:AC26" si="78">Y22*1.05</f>
        <v>14538.300000000001</v>
      </c>
      <c r="AD22" s="17">
        <f t="shared" ref="AD22:AD26" si="79">Z22*1.05</f>
        <v>14162.400000000001</v>
      </c>
      <c r="AI22" s="17">
        <f>SUM(G22:J22)</f>
        <v>33708</v>
      </c>
      <c r="AJ22" s="17">
        <f>SUM(K22:N22)</f>
        <v>35043</v>
      </c>
      <c r="AK22" s="17">
        <f>SUM(O22:R22)</f>
        <v>42148</v>
      </c>
      <c r="AL22" s="17">
        <f>SUM(S22:V22)</f>
        <v>46822</v>
      </c>
      <c r="AM22" s="17">
        <f t="shared" ref="AM22:AM26" si="80">SUM(W22:Z22)</f>
        <v>53027</v>
      </c>
      <c r="AN22" s="17">
        <f>SUM(AA22:AD22)</f>
        <v>56260.3</v>
      </c>
    </row>
    <row r="23" spans="2:44" s="7" customFormat="1" x14ac:dyDescent="0.25">
      <c r="B23" s="36" t="s">
        <v>161</v>
      </c>
      <c r="G23" s="37">
        <v>2919</v>
      </c>
      <c r="H23" s="37">
        <v>3261</v>
      </c>
      <c r="I23" s="37">
        <v>3168</v>
      </c>
      <c r="J23" s="37">
        <f>12110-SUM(G23:I23)</f>
        <v>2762</v>
      </c>
      <c r="K23" s="37">
        <v>2777</v>
      </c>
      <c r="L23" s="37">
        <v>2863</v>
      </c>
      <c r="M23" s="37">
        <v>2646</v>
      </c>
      <c r="N23" s="37">
        <f>10571-SUM(K23:M23)</f>
        <v>2285</v>
      </c>
      <c r="O23" s="37">
        <v>2013</v>
      </c>
      <c r="P23" s="37">
        <v>2068</v>
      </c>
      <c r="Q23" s="37">
        <v>1942</v>
      </c>
      <c r="R23" s="37">
        <v>1815</v>
      </c>
      <c r="S23" s="37">
        <v>2299</v>
      </c>
      <c r="T23" s="37">
        <v>2816</v>
      </c>
      <c r="U23" s="37">
        <v>2932</v>
      </c>
      <c r="V23" s="37">
        <v>3001</v>
      </c>
      <c r="W23" s="37">
        <v>3623</v>
      </c>
      <c r="X23" s="17">
        <v>4476</v>
      </c>
      <c r="Y23" s="17">
        <v>3680</v>
      </c>
      <c r="Z23" s="17">
        <f>14636-SUM(W23:Y23)</f>
        <v>2857</v>
      </c>
      <c r="AA23" s="17">
        <v>3188</v>
      </c>
      <c r="AB23" s="17">
        <f t="shared" ref="AB23:AB26" si="81">X23*1.05</f>
        <v>4699.8</v>
      </c>
      <c r="AC23" s="17">
        <f t="shared" si="78"/>
        <v>3864</v>
      </c>
      <c r="AD23" s="17">
        <f t="shared" si="79"/>
        <v>2999.85</v>
      </c>
      <c r="AI23" s="17">
        <f t="shared" ref="AI23:AI26" si="82">SUM(G23:J23)</f>
        <v>12110</v>
      </c>
      <c r="AJ23" s="17">
        <f t="shared" ref="AJ23:AJ26" si="83">SUM(K23:N23)</f>
        <v>10571</v>
      </c>
      <c r="AK23" s="17">
        <f t="shared" ref="AK23:AK26" si="84">SUM(O23:R23)</f>
        <v>7838</v>
      </c>
      <c r="AL23" s="17">
        <f t="shared" ref="AL23:AL26" si="85">SUM(S23:V23)</f>
        <v>11048</v>
      </c>
      <c r="AM23" s="17">
        <f t="shared" si="80"/>
        <v>14636</v>
      </c>
      <c r="AN23" s="17">
        <f>SUM(AA23:AD23)</f>
        <v>14751.65</v>
      </c>
    </row>
    <row r="24" spans="2:44" s="7" customFormat="1" x14ac:dyDescent="0.25">
      <c r="B24" s="36" t="s">
        <v>162</v>
      </c>
      <c r="G24" s="37">
        <v>1202</v>
      </c>
      <c r="H24" s="37">
        <v>1398</v>
      </c>
      <c r="I24" s="37">
        <v>1209</v>
      </c>
      <c r="J24" s="37">
        <f>5452-SUM(G24:I24)</f>
        <v>1643</v>
      </c>
      <c r="K24" s="37">
        <v>1178</v>
      </c>
      <c r="L24" s="37">
        <v>1763</v>
      </c>
      <c r="M24" s="37">
        <v>1532</v>
      </c>
      <c r="N24" s="37">
        <f>6744-SUM(K24:M24)</f>
        <v>2271</v>
      </c>
      <c r="O24" s="37">
        <v>1280</v>
      </c>
      <c r="P24" s="37">
        <v>1953</v>
      </c>
      <c r="Q24" s="37">
        <v>1693</v>
      </c>
      <c r="R24" s="37">
        <v>2166</v>
      </c>
      <c r="S24" s="37">
        <v>2082</v>
      </c>
      <c r="T24" s="37">
        <v>2194</v>
      </c>
      <c r="U24" s="37">
        <v>1976</v>
      </c>
      <c r="V24" s="37">
        <v>2488</v>
      </c>
      <c r="W24" s="37">
        <v>2050</v>
      </c>
      <c r="X24" s="17">
        <v>2406</v>
      </c>
      <c r="Y24" s="17">
        <v>2132</v>
      </c>
      <c r="Z24" s="17">
        <f>9579-SUM(W24:Y24)</f>
        <v>2991</v>
      </c>
      <c r="AA24" s="17">
        <v>2079</v>
      </c>
      <c r="AB24" s="17">
        <f t="shared" si="81"/>
        <v>2526.3000000000002</v>
      </c>
      <c r="AC24" s="17">
        <f t="shared" si="78"/>
        <v>2238.6</v>
      </c>
      <c r="AD24" s="17">
        <f t="shared" si="79"/>
        <v>3140.55</v>
      </c>
      <c r="AI24" s="17">
        <f t="shared" si="82"/>
        <v>5452</v>
      </c>
      <c r="AJ24" s="17">
        <f t="shared" si="83"/>
        <v>6744</v>
      </c>
      <c r="AK24" s="17">
        <f t="shared" si="84"/>
        <v>7092</v>
      </c>
      <c r="AL24" s="17">
        <f t="shared" si="85"/>
        <v>8740</v>
      </c>
      <c r="AM24" s="17">
        <f t="shared" si="80"/>
        <v>9579</v>
      </c>
      <c r="AN24" s="17">
        <f>SUM(AA24:AD24)</f>
        <v>9984.4500000000007</v>
      </c>
    </row>
    <row r="25" spans="2:44" s="7" customFormat="1" x14ac:dyDescent="0.25">
      <c r="B25" s="36" t="s">
        <v>149</v>
      </c>
      <c r="G25" s="37">
        <v>801</v>
      </c>
      <c r="H25" s="37">
        <v>789</v>
      </c>
      <c r="I25" s="37">
        <v>813</v>
      </c>
      <c r="J25" s="37">
        <f>3181-SUM(G25:I25)</f>
        <v>778</v>
      </c>
      <c r="K25" s="37">
        <v>827</v>
      </c>
      <c r="L25" s="37">
        <v>842</v>
      </c>
      <c r="M25" s="37">
        <v>858</v>
      </c>
      <c r="N25" s="37">
        <f>3372-SUM(K25:M25)</f>
        <v>845</v>
      </c>
      <c r="O25" s="37">
        <v>901</v>
      </c>
      <c r="P25" s="37">
        <v>931</v>
      </c>
      <c r="Q25" s="37">
        <v>1017</v>
      </c>
      <c r="R25" s="37">
        <v>943</v>
      </c>
      <c r="S25" s="37">
        <v>941</v>
      </c>
      <c r="T25" s="37">
        <v>956</v>
      </c>
      <c r="U25" s="37">
        <v>1037</v>
      </c>
      <c r="V25" s="37">
        <v>1022</v>
      </c>
      <c r="W25" s="37">
        <v>1010</v>
      </c>
      <c r="X25" s="17">
        <v>1006</v>
      </c>
      <c r="Y25" s="17">
        <v>1085</v>
      </c>
      <c r="Z25" s="17">
        <f>4248-SUM(W25:Y25)</f>
        <v>1147</v>
      </c>
      <c r="AA25" s="17">
        <v>1156</v>
      </c>
      <c r="AB25" s="17">
        <f t="shared" si="81"/>
        <v>1056.3</v>
      </c>
      <c r="AC25" s="17">
        <f t="shared" si="78"/>
        <v>1139.25</v>
      </c>
      <c r="AD25" s="17">
        <f t="shared" si="79"/>
        <v>1204.3500000000001</v>
      </c>
      <c r="AI25" s="17">
        <f t="shared" si="82"/>
        <v>3181</v>
      </c>
      <c r="AJ25" s="17">
        <f t="shared" si="83"/>
        <v>3372</v>
      </c>
      <c r="AK25" s="17">
        <f t="shared" si="84"/>
        <v>3792</v>
      </c>
      <c r="AL25" s="17">
        <f t="shared" si="85"/>
        <v>3956</v>
      </c>
      <c r="AM25" s="17">
        <f t="shared" si="80"/>
        <v>4248</v>
      </c>
      <c r="AN25" s="17">
        <f>SUM(AA25:AD25)</f>
        <v>4555.9000000000005</v>
      </c>
    </row>
    <row r="26" spans="2:44" s="7" customFormat="1" x14ac:dyDescent="0.25">
      <c r="B26" s="36" t="s">
        <v>163</v>
      </c>
      <c r="G26" s="37">
        <v>688</v>
      </c>
      <c r="H26" s="37">
        <v>757</v>
      </c>
      <c r="I26" s="37">
        <v>761</v>
      </c>
      <c r="J26" s="37">
        <f>3388-SUM(G26:I26)</f>
        <v>1182</v>
      </c>
      <c r="K26" s="37">
        <v>675</v>
      </c>
      <c r="L26" s="37">
        <v>650</v>
      </c>
      <c r="M26" s="37">
        <v>689</v>
      </c>
      <c r="N26" s="37">
        <f>3062-SUM(K26:M26)</f>
        <v>1048</v>
      </c>
      <c r="O26" s="37">
        <v>608</v>
      </c>
      <c r="P26" s="37">
        <v>708</v>
      </c>
      <c r="Q26" s="37">
        <v>743</v>
      </c>
      <c r="R26" s="37">
        <v>981</v>
      </c>
      <c r="S26" s="37">
        <v>701</v>
      </c>
      <c r="T26" s="37">
        <v>664</v>
      </c>
      <c r="U26" s="37">
        <v>691</v>
      </c>
      <c r="V26" s="37">
        <v>934</v>
      </c>
      <c r="W26" s="37">
        <v>637</v>
      </c>
      <c r="X26" s="17">
        <v>621</v>
      </c>
      <c r="Y26" s="17">
        <v>656</v>
      </c>
      <c r="Z26" s="17">
        <f>2855-SUM(W26:Y26)</f>
        <v>941</v>
      </c>
      <c r="AA26" s="17">
        <v>578</v>
      </c>
      <c r="AB26" s="17">
        <f t="shared" si="81"/>
        <v>652.05000000000007</v>
      </c>
      <c r="AC26" s="17">
        <f t="shared" si="78"/>
        <v>688.80000000000007</v>
      </c>
      <c r="AD26" s="17">
        <f t="shared" si="79"/>
        <v>988.05000000000007</v>
      </c>
      <c r="AI26" s="17">
        <f t="shared" si="82"/>
        <v>3388</v>
      </c>
      <c r="AJ26" s="17">
        <f t="shared" si="83"/>
        <v>3062</v>
      </c>
      <c r="AK26" s="17">
        <f t="shared" si="84"/>
        <v>3040</v>
      </c>
      <c r="AL26" s="17">
        <f t="shared" si="85"/>
        <v>2990</v>
      </c>
      <c r="AM26" s="17">
        <f t="shared" si="80"/>
        <v>2855</v>
      </c>
      <c r="AN26" s="17">
        <f>SUM(AA26:AD26)</f>
        <v>2906.9000000000005</v>
      </c>
    </row>
    <row r="27" spans="2:44" s="42" customFormat="1" x14ac:dyDescent="0.25">
      <c r="B27" s="25" t="s">
        <v>164</v>
      </c>
      <c r="C27" s="41">
        <v>13993</v>
      </c>
      <c r="D27" s="41">
        <v>14880</v>
      </c>
      <c r="E27" s="41">
        <v>14864</v>
      </c>
      <c r="F27" s="41">
        <v>15479</v>
      </c>
      <c r="G27" s="41">
        <f>SUM(G22:G26)</f>
        <v>13622</v>
      </c>
      <c r="H27" s="41">
        <f t="shared" ref="H27:AA27" si="86">SUM(H22:H26)</f>
        <v>14790</v>
      </c>
      <c r="I27" s="41">
        <f t="shared" si="86"/>
        <v>14521</v>
      </c>
      <c r="J27" s="41">
        <f t="shared" si="86"/>
        <v>14906</v>
      </c>
      <c r="K27" s="41">
        <f t="shared" si="86"/>
        <v>13830</v>
      </c>
      <c r="L27" s="41">
        <f t="shared" si="86"/>
        <v>15049</v>
      </c>
      <c r="M27" s="41">
        <f t="shared" si="86"/>
        <v>14625</v>
      </c>
      <c r="N27" s="41">
        <f t="shared" si="86"/>
        <v>15288</v>
      </c>
      <c r="O27" s="41">
        <f t="shared" si="86"/>
        <v>15163</v>
      </c>
      <c r="P27" s="41">
        <f t="shared" si="86"/>
        <v>16375</v>
      </c>
      <c r="Q27" s="41">
        <f t="shared" si="86"/>
        <v>15845</v>
      </c>
      <c r="R27" s="41">
        <f t="shared" si="86"/>
        <v>16527</v>
      </c>
      <c r="S27" s="41">
        <f t="shared" si="86"/>
        <v>16692</v>
      </c>
      <c r="T27" s="41">
        <f t="shared" si="86"/>
        <v>18644</v>
      </c>
      <c r="U27" s="41">
        <f t="shared" si="86"/>
        <v>18971</v>
      </c>
      <c r="V27" s="41">
        <f t="shared" si="86"/>
        <v>19249</v>
      </c>
      <c r="W27" s="41">
        <f t="shared" si="86"/>
        <v>19621</v>
      </c>
      <c r="X27" s="41">
        <f t="shared" si="86"/>
        <v>21901</v>
      </c>
      <c r="Y27" s="41">
        <f t="shared" si="86"/>
        <v>21399</v>
      </c>
      <c r="Z27" s="41">
        <f t="shared" si="86"/>
        <v>21424</v>
      </c>
      <c r="AA27" s="41">
        <f t="shared" si="86"/>
        <v>20499</v>
      </c>
      <c r="AB27" s="41">
        <f t="shared" ref="AB27:AD27" si="87">SUM(AB22:AB26)</f>
        <v>22996.05</v>
      </c>
      <c r="AC27" s="41">
        <f t="shared" si="87"/>
        <v>22468.95</v>
      </c>
      <c r="AD27" s="41">
        <f t="shared" si="87"/>
        <v>22495.199999999997</v>
      </c>
      <c r="AH27" s="41">
        <f>SUM(C27:F27)</f>
        <v>59216</v>
      </c>
      <c r="AI27" s="41">
        <f>SUM(AI22:AI26)</f>
        <v>57839</v>
      </c>
      <c r="AJ27" s="41">
        <f t="shared" ref="AJ27:AK27" si="88">SUM(AJ22:AJ26)</f>
        <v>58792</v>
      </c>
      <c r="AK27" s="41">
        <f t="shared" si="88"/>
        <v>63910</v>
      </c>
      <c r="AL27" s="41">
        <f>SUM(AL22:AL26)</f>
        <v>73556</v>
      </c>
      <c r="AM27" s="41">
        <f>SUM(AM22:AM26)</f>
        <v>84345</v>
      </c>
      <c r="AN27" s="41">
        <f>SUM(AN22:AN26)</f>
        <v>88459.199999999983</v>
      </c>
      <c r="AO27" s="41">
        <f t="shared" ref="AO27:AR27" si="89">SUM(AO22:AO26)</f>
        <v>0</v>
      </c>
      <c r="AP27" s="41">
        <f t="shared" si="89"/>
        <v>0</v>
      </c>
      <c r="AQ27" s="41">
        <f t="shared" si="89"/>
        <v>0</v>
      </c>
      <c r="AR27" s="41">
        <f t="shared" si="89"/>
        <v>0</v>
      </c>
    </row>
    <row r="28" spans="2:44" s="7" customFormat="1" x14ac:dyDescent="0.25">
      <c r="B28" s="36"/>
      <c r="X28" s="17"/>
      <c r="Y28" s="17"/>
      <c r="Z28" s="17"/>
    </row>
    <row r="29" spans="2:44" s="38" customFormat="1" ht="14.4" x14ac:dyDescent="0.3">
      <c r="B29" s="39" t="s">
        <v>165</v>
      </c>
      <c r="G29" s="40">
        <f>G27/C27-1</f>
        <v>-2.6513256628314164E-2</v>
      </c>
      <c r="H29" s="40">
        <f t="shared" ref="H29:X29" si="90">H27/D27-1</f>
        <v>-6.0483870967742437E-3</v>
      </c>
      <c r="I29" s="40">
        <f t="shared" si="90"/>
        <v>-2.3075888051668492E-2</v>
      </c>
      <c r="J29" s="40">
        <f t="shared" si="90"/>
        <v>-3.7017895212869023E-2</v>
      </c>
      <c r="K29" s="40">
        <f t="shared" si="90"/>
        <v>1.5269417119365691E-2</v>
      </c>
      <c r="L29" s="40">
        <f t="shared" si="90"/>
        <v>1.7511832319134557E-2</v>
      </c>
      <c r="M29" s="40">
        <f t="shared" si="90"/>
        <v>7.1620411817368002E-3</v>
      </c>
      <c r="N29" s="40">
        <f t="shared" si="90"/>
        <v>2.5627264188917254E-2</v>
      </c>
      <c r="O29" s="40">
        <f t="shared" si="90"/>
        <v>9.638467100506154E-2</v>
      </c>
      <c r="P29" s="40">
        <f t="shared" si="90"/>
        <v>8.8112166921390234E-2</v>
      </c>
      <c r="Q29" s="40">
        <f t="shared" si="90"/>
        <v>8.3418803418803478E-2</v>
      </c>
      <c r="R29" s="40">
        <f t="shared" si="90"/>
        <v>8.1043956043955978E-2</v>
      </c>
      <c r="S29" s="40">
        <f t="shared" si="90"/>
        <v>0.1008375651256348</v>
      </c>
      <c r="T29" s="40">
        <f t="shared" si="90"/>
        <v>0.13856488549618318</v>
      </c>
      <c r="U29" s="40">
        <f t="shared" si="90"/>
        <v>0.19728621016093406</v>
      </c>
      <c r="V29" s="40">
        <f t="shared" si="90"/>
        <v>0.16470018757185212</v>
      </c>
      <c r="W29" s="40">
        <f t="shared" si="90"/>
        <v>0.17547328061346756</v>
      </c>
      <c r="X29" s="40">
        <f t="shared" si="90"/>
        <v>0.17469427161553308</v>
      </c>
      <c r="Y29" s="40">
        <f t="shared" ref="Y29" si="91">Y27/U27-1</f>
        <v>0.12798481893416258</v>
      </c>
      <c r="Z29" s="40">
        <f t="shared" ref="Z29" si="92">Z27/V27-1</f>
        <v>0.1129928827471558</v>
      </c>
      <c r="AA29" s="40">
        <f t="shared" ref="AA29" si="93">AA27/W27-1</f>
        <v>4.474797410937259E-2</v>
      </c>
      <c r="AB29" s="40">
        <f t="shared" ref="AB29" si="94">AB27/X27-1</f>
        <v>5.0000000000000044E-2</v>
      </c>
      <c r="AC29" s="40">
        <f t="shared" ref="AC29" si="95">AC27/Y27-1</f>
        <v>5.0000000000000044E-2</v>
      </c>
      <c r="AD29" s="40">
        <f t="shared" ref="AD29" si="96">AD27/Z27-1</f>
        <v>4.9999999999999822E-2</v>
      </c>
      <c r="AI29" s="40">
        <f>AI27/AH27-1</f>
        <v>-2.3253850310726798E-2</v>
      </c>
      <c r="AJ29" s="40">
        <f t="shared" ref="AJ29:AK29" si="97">AJ27/AI27-1</f>
        <v>1.6476771728418438E-2</v>
      </c>
      <c r="AK29" s="40">
        <f t="shared" si="97"/>
        <v>8.7052660225880985E-2</v>
      </c>
      <c r="AL29" s="40">
        <f>AL27/AK27-1</f>
        <v>0.15093099671412924</v>
      </c>
      <c r="AM29" s="40">
        <f>AM27/AL27-1</f>
        <v>0.14667736146609389</v>
      </c>
      <c r="AN29" s="40">
        <f t="shared" ref="AN29" si="98">AN27/AM27-1</f>
        <v>4.8778232260358934E-2</v>
      </c>
      <c r="AO29" s="40">
        <f t="shared" ref="AO29" si="99">AO27/AN27-1</f>
        <v>-1</v>
      </c>
      <c r="AP29" s="40" t="e">
        <f t="shared" ref="AP29" si="100">AP27/AO27-1</f>
        <v>#DIV/0!</v>
      </c>
      <c r="AQ29" s="40" t="e">
        <f t="shared" ref="AQ29" si="101">AQ27/AP27-1</f>
        <v>#DIV/0!</v>
      </c>
      <c r="AR29" s="40" t="e">
        <f t="shared" ref="AR29" si="102">AR27/AQ27-1</f>
        <v>#DIV/0!</v>
      </c>
    </row>
    <row r="30" spans="2:44" s="38" customFormat="1" ht="14.4" x14ac:dyDescent="0.3">
      <c r="B30" s="39" t="s">
        <v>166</v>
      </c>
      <c r="D30" s="40">
        <f>D27/C27-1</f>
        <v>6.3388837275780707E-2</v>
      </c>
      <c r="E30" s="40">
        <f t="shared" ref="E30:G30" si="103">E27/D27-1</f>
        <v>-1.0752688172043223E-3</v>
      </c>
      <c r="F30" s="40">
        <f t="shared" si="103"/>
        <v>4.1375134553283122E-2</v>
      </c>
      <c r="G30" s="40">
        <f t="shared" si="103"/>
        <v>-0.11996899024484786</v>
      </c>
      <c r="H30" s="40">
        <f t="shared" ref="H30:X30" si="104">H27/G27-1</f>
        <v>8.5743649977976899E-2</v>
      </c>
      <c r="I30" s="40">
        <f t="shared" si="104"/>
        <v>-1.818796484110885E-2</v>
      </c>
      <c r="J30" s="40">
        <f t="shared" si="104"/>
        <v>2.6513325528544796E-2</v>
      </c>
      <c r="K30" s="40">
        <f t="shared" si="104"/>
        <v>-7.2185697034751084E-2</v>
      </c>
      <c r="L30" s="40">
        <f t="shared" si="104"/>
        <v>8.814172089660155E-2</v>
      </c>
      <c r="M30" s="40">
        <f t="shared" si="104"/>
        <v>-2.8174629543491259E-2</v>
      </c>
      <c r="N30" s="40">
        <f t="shared" si="104"/>
        <v>4.5333333333333226E-2</v>
      </c>
      <c r="O30" s="40">
        <f t="shared" si="104"/>
        <v>-8.1763474620617504E-3</v>
      </c>
      <c r="P30" s="40">
        <f t="shared" si="104"/>
        <v>7.9931411989711876E-2</v>
      </c>
      <c r="Q30" s="40">
        <f t="shared" si="104"/>
        <v>-3.2366412213740481E-2</v>
      </c>
      <c r="R30" s="40">
        <f t="shared" si="104"/>
        <v>4.3041969075418018E-2</v>
      </c>
      <c r="S30" s="40">
        <f t="shared" si="104"/>
        <v>9.9836630967506945E-3</v>
      </c>
      <c r="T30" s="40">
        <f t="shared" si="104"/>
        <v>0.11694224778336926</v>
      </c>
      <c r="U30" s="40">
        <f t="shared" si="104"/>
        <v>1.7539154687835179E-2</v>
      </c>
      <c r="V30" s="40">
        <f t="shared" si="104"/>
        <v>1.4653945495756604E-2</v>
      </c>
      <c r="W30" s="40">
        <f t="shared" si="104"/>
        <v>1.9325679256065209E-2</v>
      </c>
      <c r="X30" s="40">
        <f t="shared" si="104"/>
        <v>0.11620202843891758</v>
      </c>
      <c r="Y30" s="40">
        <f>Y27/X27-1</f>
        <v>-2.29213277932514E-2</v>
      </c>
      <c r="Z30" s="40">
        <f t="shared" ref="Z30" si="105">Z27/Y27-1</f>
        <v>1.1682788915370335E-3</v>
      </c>
      <c r="AA30" s="40">
        <f t="shared" ref="AA30" si="106">AA27/Z27-1</f>
        <v>-4.3175877520537753E-2</v>
      </c>
      <c r="AB30" s="40">
        <f t="shared" ref="AB30" si="107">AB27/AA27-1</f>
        <v>0.12181325918337471</v>
      </c>
      <c r="AC30" s="40">
        <f t="shared" ref="AC30" si="108">AC27/AB27-1</f>
        <v>-2.29213277932514E-2</v>
      </c>
      <c r="AD30" s="40">
        <f t="shared" ref="AD30" si="109">AD27/AC27-1</f>
        <v>1.1682788915368114E-3</v>
      </c>
    </row>
    <row r="31" spans="2:44" s="7" customFormat="1" x14ac:dyDescent="0.25">
      <c r="X31" s="17"/>
      <c r="Y31" s="17"/>
      <c r="Z31" s="17"/>
    </row>
    <row r="32" spans="2:44" x14ac:dyDescent="0.25">
      <c r="B32" s="36" t="s">
        <v>167</v>
      </c>
      <c r="C32" s="2">
        <f t="shared" ref="C32:V32" si="110">C27+C17+C7</f>
        <v>116526</v>
      </c>
      <c r="D32" s="2">
        <f t="shared" si="110"/>
        <v>121949</v>
      </c>
      <c r="E32" s="2">
        <f t="shared" si="110"/>
        <v>122136</v>
      </c>
      <c r="F32" s="2">
        <f t="shared" si="110"/>
        <v>135150</v>
      </c>
      <c r="G32" s="2">
        <f t="shared" si="110"/>
        <v>121630</v>
      </c>
      <c r="H32" s="2">
        <f t="shared" si="110"/>
        <v>127059</v>
      </c>
      <c r="I32" s="2">
        <f t="shared" si="110"/>
        <v>123897</v>
      </c>
      <c r="J32" s="2">
        <f t="shared" si="110"/>
        <v>137743</v>
      </c>
      <c r="K32" s="2">
        <f t="shared" si="110"/>
        <v>122949</v>
      </c>
      <c r="L32" s="2">
        <f t="shared" si="110"/>
        <v>129388</v>
      </c>
      <c r="M32" s="2">
        <f t="shared" si="110"/>
        <v>126981</v>
      </c>
      <c r="N32" s="2">
        <f t="shared" si="110"/>
        <v>140608</v>
      </c>
      <c r="O32" s="2">
        <f t="shared" si="110"/>
        <v>133672</v>
      </c>
      <c r="P32" s="2">
        <f t="shared" si="110"/>
        <v>136824</v>
      </c>
      <c r="Q32" s="2">
        <f t="shared" si="110"/>
        <v>133752</v>
      </c>
      <c r="R32" s="2">
        <f t="shared" si="110"/>
        <v>150985</v>
      </c>
      <c r="S32" s="2">
        <f t="shared" si="110"/>
        <v>137159</v>
      </c>
      <c r="T32" s="2">
        <f t="shared" si="110"/>
        <v>139871</v>
      </c>
      <c r="U32" s="2">
        <f t="shared" si="110"/>
        <v>139207</v>
      </c>
      <c r="V32" s="2">
        <f t="shared" si="110"/>
        <v>151525</v>
      </c>
      <c r="W32" s="2">
        <f>W27+W17+W7</f>
        <v>140288</v>
      </c>
      <c r="X32" s="2">
        <f>X27+X17+X7</f>
        <v>151381</v>
      </c>
      <c r="Y32" s="2">
        <f t="shared" ref="Y32:AD32" si="111">Y27+Y17+Y7</f>
        <v>151469</v>
      </c>
      <c r="Z32" s="2">
        <f>Z27+Z17+Z7</f>
        <v>162743</v>
      </c>
      <c r="AA32" s="2">
        <f t="shared" si="111"/>
        <v>151004</v>
      </c>
      <c r="AB32" s="2">
        <f t="shared" si="111"/>
        <v>161052.65000000002</v>
      </c>
      <c r="AC32" s="2">
        <f t="shared" si="111"/>
        <v>161137.95000000001</v>
      </c>
      <c r="AD32" s="2">
        <f t="shared" si="111"/>
        <v>173155.03</v>
      </c>
      <c r="AH32" s="2">
        <f>AH27+AH17+AH7</f>
        <v>495761</v>
      </c>
      <c r="AI32" s="2">
        <f t="shared" ref="AI32:AM32" si="112">AI27+AI17+AI7</f>
        <v>510329</v>
      </c>
      <c r="AJ32" s="2">
        <f t="shared" si="112"/>
        <v>609654</v>
      </c>
      <c r="AK32" s="2">
        <f t="shared" si="112"/>
        <v>555233</v>
      </c>
      <c r="AL32" s="2">
        <f t="shared" si="112"/>
        <v>567762</v>
      </c>
      <c r="AM32" s="2">
        <f t="shared" si="112"/>
        <v>605881</v>
      </c>
      <c r="AN32" s="2">
        <f>AN27+AN17+AN7</f>
        <v>646349.63</v>
      </c>
    </row>
    <row r="33" spans="1:436" x14ac:dyDescent="0.25">
      <c r="B33" s="24" t="s">
        <v>20</v>
      </c>
      <c r="C33" s="2">
        <v>1016</v>
      </c>
      <c r="D33" s="2">
        <v>1406</v>
      </c>
      <c r="E33" s="2">
        <v>1043</v>
      </c>
      <c r="F33" s="2">
        <v>1117</v>
      </c>
      <c r="G33" s="2">
        <v>1060</v>
      </c>
      <c r="H33" s="2">
        <v>969</v>
      </c>
      <c r="I33" s="2">
        <v>997</v>
      </c>
      <c r="J33" s="2">
        <v>1050</v>
      </c>
      <c r="K33" s="2">
        <v>976</v>
      </c>
      <c r="L33" s="2">
        <v>989</v>
      </c>
      <c r="M33" s="2">
        <v>1010</v>
      </c>
      <c r="N33" s="2">
        <v>1063</v>
      </c>
      <c r="O33" s="2">
        <v>950</v>
      </c>
      <c r="P33" s="2">
        <v>918</v>
      </c>
      <c r="Q33" s="2">
        <v>956</v>
      </c>
      <c r="R33" s="2">
        <v>1094</v>
      </c>
      <c r="S33" s="2">
        <v>1151</v>
      </c>
      <c r="T33" s="2">
        <v>1177</v>
      </c>
      <c r="U33" s="2">
        <v>1318</v>
      </c>
      <c r="V33" s="2">
        <v>1346</v>
      </c>
      <c r="W33" s="2">
        <v>1281</v>
      </c>
      <c r="X33" s="2">
        <v>1478</v>
      </c>
      <c r="Y33" s="2">
        <v>1344</v>
      </c>
      <c r="Z33" s="2">
        <v>1305</v>
      </c>
      <c r="AA33" s="2">
        <v>1297</v>
      </c>
      <c r="AB33" s="2">
        <f>X33*1.01</f>
        <v>1492.78</v>
      </c>
      <c r="AC33" s="2">
        <f t="shared" ref="AC33:AD33" si="113">Y33*1.01</f>
        <v>1357.44</v>
      </c>
      <c r="AD33" s="2">
        <f t="shared" si="113"/>
        <v>1318.05</v>
      </c>
      <c r="AH33" s="2">
        <f>SUM(C33:F33)</f>
        <v>4582</v>
      </c>
      <c r="AI33" s="2">
        <f>SUM(G33:J33)</f>
        <v>4076</v>
      </c>
      <c r="AJ33" s="2">
        <f>SUM(K33:N33)</f>
        <v>4038</v>
      </c>
      <c r="AK33" s="2">
        <f>SUM(O33:R33)</f>
        <v>3918</v>
      </c>
      <c r="AL33" s="2">
        <f>SUM(S33:V33)</f>
        <v>4992</v>
      </c>
      <c r="AM33" s="17">
        <f>SUM(W33:Z33)</f>
        <v>5408</v>
      </c>
      <c r="AN33" s="17">
        <f>SUM(AA33:AD33)</f>
        <v>5465.2699999999995</v>
      </c>
    </row>
    <row r="34" spans="1:436" s="9" customFormat="1" x14ac:dyDescent="0.25">
      <c r="A34" s="3"/>
      <c r="B34" s="25" t="s">
        <v>21</v>
      </c>
      <c r="C34" s="9">
        <f t="shared" ref="C34:P34" si="114">+C32+C33</f>
        <v>117542</v>
      </c>
      <c r="D34" s="9">
        <f t="shared" si="114"/>
        <v>123355</v>
      </c>
      <c r="E34" s="9">
        <f t="shared" si="114"/>
        <v>123179</v>
      </c>
      <c r="F34" s="9">
        <f t="shared" si="114"/>
        <v>136267</v>
      </c>
      <c r="G34" s="9">
        <f t="shared" si="114"/>
        <v>122690</v>
      </c>
      <c r="H34" s="9">
        <f t="shared" si="114"/>
        <v>128028</v>
      </c>
      <c r="I34" s="9">
        <f t="shared" si="114"/>
        <v>124894</v>
      </c>
      <c r="J34" s="9">
        <f t="shared" si="114"/>
        <v>138793</v>
      </c>
      <c r="K34" s="9">
        <f t="shared" si="114"/>
        <v>123925</v>
      </c>
      <c r="L34" s="9">
        <f t="shared" si="114"/>
        <v>130377</v>
      </c>
      <c r="M34" s="9">
        <f t="shared" si="114"/>
        <v>127991</v>
      </c>
      <c r="N34" s="9">
        <f t="shared" si="114"/>
        <v>141671</v>
      </c>
      <c r="O34" s="9">
        <f t="shared" si="114"/>
        <v>134622</v>
      </c>
      <c r="P34" s="9">
        <f t="shared" si="114"/>
        <v>137742</v>
      </c>
      <c r="Q34" s="9">
        <f>+Q32+Q33</f>
        <v>134708</v>
      </c>
      <c r="R34" s="9">
        <f t="shared" ref="R34:U34" si="115">+R32+R33</f>
        <v>152079</v>
      </c>
      <c r="S34" s="9">
        <f t="shared" si="115"/>
        <v>138310</v>
      </c>
      <c r="T34" s="9">
        <f t="shared" si="115"/>
        <v>141048</v>
      </c>
      <c r="U34" s="9">
        <f t="shared" si="115"/>
        <v>140525</v>
      </c>
      <c r="V34" s="9">
        <f>+V32+V33</f>
        <v>152871</v>
      </c>
      <c r="W34" s="9">
        <f>+W32+W33</f>
        <v>141569</v>
      </c>
      <c r="X34" s="9">
        <f>+X32+X33</f>
        <v>152859</v>
      </c>
      <c r="Y34" s="9">
        <f t="shared" ref="Y34:AA34" si="116">+Y32+Y33</f>
        <v>152813</v>
      </c>
      <c r="Z34" s="9">
        <f t="shared" si="116"/>
        <v>164048</v>
      </c>
      <c r="AA34" s="9">
        <f t="shared" si="116"/>
        <v>152301</v>
      </c>
      <c r="AB34" s="9">
        <f t="shared" ref="AB34" si="117">+AB32+AB33</f>
        <v>162545.43000000002</v>
      </c>
      <c r="AC34" s="9">
        <f t="shared" ref="AC34" si="118">+AC32+AC33</f>
        <v>162495.39000000001</v>
      </c>
      <c r="AD34" s="9">
        <f t="shared" ref="AD34" si="119">+AD32+AD33</f>
        <v>174473.08</v>
      </c>
      <c r="AH34" s="9">
        <f>+AH32+AH33</f>
        <v>500343</v>
      </c>
      <c r="AI34" s="9">
        <f>+AI32+AI33</f>
        <v>514405</v>
      </c>
      <c r="AJ34" s="9">
        <f>+AJ32+AJ33</f>
        <v>613692</v>
      </c>
      <c r="AK34" s="9">
        <f>+AK32+AK33</f>
        <v>559151</v>
      </c>
      <c r="AL34" s="9">
        <f>+AL32+AL33</f>
        <v>572754</v>
      </c>
      <c r="AM34" s="9">
        <f>SUM(W34:Z34)</f>
        <v>611289</v>
      </c>
      <c r="AN34" s="9">
        <f>SUM(AA34:AD34)</f>
        <v>651814.9</v>
      </c>
      <c r="AO34" s="9">
        <f>AN34*1.02</f>
        <v>664851.19800000009</v>
      </c>
      <c r="AP34" s="9">
        <f t="shared" ref="AP34:AR34" si="120">AO34*1.02</f>
        <v>678148.22196000011</v>
      </c>
      <c r="AQ34" s="9">
        <f t="shared" si="120"/>
        <v>691711.18639920012</v>
      </c>
      <c r="AR34" s="9">
        <f t="shared" si="120"/>
        <v>705545.41012718412</v>
      </c>
    </row>
    <row r="35" spans="1:436" x14ac:dyDescent="0.25">
      <c r="B35" s="24" t="s">
        <v>22</v>
      </c>
      <c r="C35" s="2">
        <v>87688</v>
      </c>
      <c r="D35" s="2">
        <v>91521</v>
      </c>
      <c r="E35" s="2">
        <v>91547</v>
      </c>
      <c r="F35" s="2">
        <v>102640</v>
      </c>
      <c r="G35" s="2">
        <v>91707</v>
      </c>
      <c r="H35" s="2">
        <v>95571</v>
      </c>
      <c r="I35" s="2">
        <v>93116</v>
      </c>
      <c r="J35" s="2">
        <v>104907</v>
      </c>
      <c r="K35" s="2">
        <v>93034</v>
      </c>
      <c r="L35" s="2">
        <v>97923</v>
      </c>
      <c r="M35" s="2">
        <v>95900</v>
      </c>
      <c r="N35" s="2">
        <v>107748</v>
      </c>
      <c r="O35" s="2">
        <v>102026</v>
      </c>
      <c r="P35" s="2">
        <v>102689</v>
      </c>
      <c r="Q35" s="2">
        <v>100339</v>
      </c>
      <c r="R35" s="2">
        <v>115261</v>
      </c>
      <c r="S35" s="2">
        <v>103272</v>
      </c>
      <c r="T35" s="2">
        <v>105183</v>
      </c>
      <c r="U35" s="2">
        <v>105023</v>
      </c>
      <c r="V35" s="2">
        <v>115522</v>
      </c>
      <c r="W35" s="2">
        <v>106847</v>
      </c>
      <c r="X35" s="2">
        <v>115838</v>
      </c>
      <c r="Y35" s="2">
        <v>115613</v>
      </c>
      <c r="Z35" s="2">
        <v>125423</v>
      </c>
      <c r="AA35" s="2">
        <v>115284</v>
      </c>
      <c r="AB35" s="2">
        <f>X35*1.08</f>
        <v>125105.04000000001</v>
      </c>
      <c r="AC35" s="2">
        <f t="shared" ref="AC35:AD35" si="121">Y35*1.08</f>
        <v>124862.04000000001</v>
      </c>
      <c r="AD35" s="2">
        <f t="shared" si="121"/>
        <v>135456.84</v>
      </c>
      <c r="AH35" s="2">
        <f>SUM(C35:F35)</f>
        <v>373396</v>
      </c>
      <c r="AI35" s="2">
        <f>SUM(G35:J35)</f>
        <v>385301</v>
      </c>
      <c r="AJ35" s="2">
        <f>SUM(K35:N35)</f>
        <v>394605</v>
      </c>
      <c r="AK35" s="2">
        <f>SUM(O35:R35)</f>
        <v>420315</v>
      </c>
      <c r="AL35" s="2">
        <f>SUM(S35:V35)</f>
        <v>429000</v>
      </c>
      <c r="AM35" s="2">
        <f>SUM(W35:Z35)</f>
        <v>463721</v>
      </c>
      <c r="AN35" s="17">
        <f>SUM(AA35:AD35)</f>
        <v>500707.92000000004</v>
      </c>
      <c r="AO35" s="2">
        <f>+AO34-AO36</f>
        <v>498638.39850000007</v>
      </c>
      <c r="AP35" s="2">
        <f t="shared" ref="AP35" si="122">+AP34-AP36</f>
        <v>508611.16647000005</v>
      </c>
      <c r="AQ35" s="2">
        <f>+AQ34-AQ36</f>
        <v>518783.38979940012</v>
      </c>
      <c r="AR35" s="2">
        <f>+AR34-AR36</f>
        <v>529159.05759538803</v>
      </c>
    </row>
    <row r="36" spans="1:436" x14ac:dyDescent="0.25">
      <c r="B36" s="24" t="s">
        <v>23</v>
      </c>
      <c r="C36" s="2">
        <f t="shared" ref="C36:P36" si="123">+C34-C35</f>
        <v>29854</v>
      </c>
      <c r="D36" s="2">
        <f t="shared" si="123"/>
        <v>31834</v>
      </c>
      <c r="E36" s="2">
        <f t="shared" si="123"/>
        <v>31632</v>
      </c>
      <c r="F36" s="2">
        <f t="shared" si="123"/>
        <v>33627</v>
      </c>
      <c r="G36" s="2">
        <f t="shared" si="123"/>
        <v>30983</v>
      </c>
      <c r="H36" s="2">
        <f t="shared" si="123"/>
        <v>32457</v>
      </c>
      <c r="I36" s="2">
        <f t="shared" si="123"/>
        <v>31778</v>
      </c>
      <c r="J36" s="2">
        <f t="shared" si="123"/>
        <v>33886</v>
      </c>
      <c r="K36" s="2">
        <f t="shared" si="123"/>
        <v>30891</v>
      </c>
      <c r="L36" s="2">
        <f t="shared" si="123"/>
        <v>32454</v>
      </c>
      <c r="M36" s="2">
        <f t="shared" si="123"/>
        <v>32091</v>
      </c>
      <c r="N36" s="2">
        <f t="shared" si="123"/>
        <v>33923</v>
      </c>
      <c r="O36" s="2">
        <f t="shared" si="123"/>
        <v>32596</v>
      </c>
      <c r="P36" s="2">
        <f t="shared" si="123"/>
        <v>35053</v>
      </c>
      <c r="Q36" s="2">
        <f>+Q34-Q35</f>
        <v>34369</v>
      </c>
      <c r="R36" s="2">
        <f t="shared" ref="R36:V36" si="124">+R34-R35</f>
        <v>36818</v>
      </c>
      <c r="S36" s="2">
        <f t="shared" si="124"/>
        <v>35038</v>
      </c>
      <c r="T36" s="2">
        <f t="shared" si="124"/>
        <v>35865</v>
      </c>
      <c r="U36" s="2">
        <f t="shared" si="124"/>
        <v>35502</v>
      </c>
      <c r="V36" s="2">
        <f t="shared" si="124"/>
        <v>37349</v>
      </c>
      <c r="W36" s="2">
        <f t="shared" ref="W36" si="125">+W34-W35</f>
        <v>34722</v>
      </c>
      <c r="X36" s="2">
        <f t="shared" ref="X36:AD36" si="126">+X34-X35</f>
        <v>37021</v>
      </c>
      <c r="Y36" s="2">
        <f t="shared" si="126"/>
        <v>37200</v>
      </c>
      <c r="Z36" s="2">
        <f t="shared" si="126"/>
        <v>38625</v>
      </c>
      <c r="AA36" s="2">
        <f t="shared" si="126"/>
        <v>37017</v>
      </c>
      <c r="AB36" s="2">
        <f t="shared" si="126"/>
        <v>37440.390000000014</v>
      </c>
      <c r="AC36" s="2">
        <f t="shared" si="126"/>
        <v>37633.350000000006</v>
      </c>
      <c r="AD36" s="2">
        <f t="shared" si="126"/>
        <v>39016.239999999991</v>
      </c>
      <c r="AH36" s="2">
        <f t="shared" ref="AH36:AN36" si="127">+AH34-AH35</f>
        <v>126947</v>
      </c>
      <c r="AI36" s="2">
        <f t="shared" si="127"/>
        <v>129104</v>
      </c>
      <c r="AJ36" s="2">
        <f t="shared" si="127"/>
        <v>219087</v>
      </c>
      <c r="AK36" s="2">
        <f t="shared" si="127"/>
        <v>138836</v>
      </c>
      <c r="AL36" s="2">
        <f t="shared" si="127"/>
        <v>143754</v>
      </c>
      <c r="AM36" s="2">
        <f t="shared" si="127"/>
        <v>147568</v>
      </c>
      <c r="AN36" s="2">
        <f t="shared" si="127"/>
        <v>151106.97999999998</v>
      </c>
      <c r="AO36" s="2">
        <f>AO34*0.25</f>
        <v>166212.79950000002</v>
      </c>
      <c r="AP36" s="2">
        <f t="shared" ref="AP36:AQ36" si="128">AP34*0.25</f>
        <v>169537.05549000003</v>
      </c>
      <c r="AQ36" s="2">
        <f t="shared" si="128"/>
        <v>172927.79659980003</v>
      </c>
      <c r="AR36" s="2">
        <f>AR34*0.25</f>
        <v>176386.35253179603</v>
      </c>
    </row>
    <row r="37" spans="1:436" x14ac:dyDescent="0.25">
      <c r="B37" s="24" t="s">
        <v>24</v>
      </c>
      <c r="C37" s="2">
        <v>24617</v>
      </c>
      <c r="D37" s="2">
        <v>25865</v>
      </c>
      <c r="E37" s="2">
        <v>26868</v>
      </c>
      <c r="F37" s="2">
        <v>29160</v>
      </c>
      <c r="G37" s="2">
        <v>25829</v>
      </c>
      <c r="H37" s="2">
        <v>26707</v>
      </c>
      <c r="I37" s="2">
        <v>26792</v>
      </c>
      <c r="J37" s="2">
        <v>27819</v>
      </c>
      <c r="K37" s="2">
        <v>25946</v>
      </c>
      <c r="L37" s="2">
        <v>26871</v>
      </c>
      <c r="M37" s="2">
        <v>27373</v>
      </c>
      <c r="N37" s="2">
        <v>28601</v>
      </c>
      <c r="O37" s="2">
        <v>27372</v>
      </c>
      <c r="P37" s="2">
        <v>28994</v>
      </c>
      <c r="Q37" s="2">
        <v>28591</v>
      </c>
      <c r="R37" s="2">
        <v>31331</v>
      </c>
      <c r="S37" s="2">
        <v>28129</v>
      </c>
      <c r="T37" s="2">
        <v>28511</v>
      </c>
      <c r="U37" s="2">
        <v>29710</v>
      </c>
      <c r="V37" s="2">
        <v>31462</v>
      </c>
      <c r="W37" s="2">
        <v>29404</v>
      </c>
      <c r="X37" s="2">
        <v>30167</v>
      </c>
      <c r="Y37" s="2">
        <v>34505</v>
      </c>
      <c r="Z37" s="2">
        <v>33064</v>
      </c>
      <c r="AA37" s="2">
        <v>30777</v>
      </c>
      <c r="AB37" s="2">
        <f>X37*1.05</f>
        <v>31675.350000000002</v>
      </c>
      <c r="AC37" s="2">
        <f t="shared" ref="AC37:AD37" si="129">Y37*1.05</f>
        <v>36230.25</v>
      </c>
      <c r="AD37" s="2">
        <f t="shared" si="129"/>
        <v>34717.200000000004</v>
      </c>
      <c r="AH37" s="2">
        <f>SUM(C37:F37)</f>
        <v>106510</v>
      </c>
      <c r="AI37" s="2">
        <f>SUM(G37:J37)</f>
        <v>107147</v>
      </c>
      <c r="AJ37" s="2">
        <f>SUM(K37:N37)</f>
        <v>108791</v>
      </c>
      <c r="AK37" s="2">
        <f>SUM(O37:R37)</f>
        <v>116288</v>
      </c>
      <c r="AL37" s="2">
        <f>SUM(S37:V37)</f>
        <v>117812</v>
      </c>
      <c r="AM37" s="2">
        <f>SUM(W37:Z37)</f>
        <v>127140</v>
      </c>
      <c r="AN37" s="17">
        <f>SUM(AA37:AD37)</f>
        <v>133399.80000000002</v>
      </c>
      <c r="AO37" s="2">
        <f>AN37*1.01</f>
        <v>134733.79800000001</v>
      </c>
      <c r="AP37" s="2">
        <f t="shared" ref="AP37:AQ37" si="130">AO37*1.01</f>
        <v>136081.13598000002</v>
      </c>
      <c r="AQ37" s="2">
        <f t="shared" si="130"/>
        <v>137441.94733980001</v>
      </c>
      <c r="AR37" s="2">
        <f t="shared" ref="AR37" si="131">AQ37*1.01</f>
        <v>138816.36681319802</v>
      </c>
    </row>
    <row r="38" spans="1:436" s="9" customFormat="1" x14ac:dyDescent="0.25">
      <c r="A38" s="3"/>
      <c r="B38" s="25" t="s">
        <v>25</v>
      </c>
      <c r="C38" s="9">
        <f t="shared" ref="C38:P38" si="132">C37</f>
        <v>24617</v>
      </c>
      <c r="D38" s="9">
        <f t="shared" si="132"/>
        <v>25865</v>
      </c>
      <c r="E38" s="9">
        <f t="shared" si="132"/>
        <v>26868</v>
      </c>
      <c r="F38" s="9">
        <f t="shared" si="132"/>
        <v>29160</v>
      </c>
      <c r="G38" s="9">
        <f t="shared" si="132"/>
        <v>25829</v>
      </c>
      <c r="H38" s="9">
        <f t="shared" si="132"/>
        <v>26707</v>
      </c>
      <c r="I38" s="9">
        <f t="shared" si="132"/>
        <v>26792</v>
      </c>
      <c r="J38" s="9">
        <f t="shared" si="132"/>
        <v>27819</v>
      </c>
      <c r="K38" s="9">
        <f t="shared" si="132"/>
        <v>25946</v>
      </c>
      <c r="L38" s="9">
        <f t="shared" si="132"/>
        <v>26871</v>
      </c>
      <c r="M38" s="9">
        <f t="shared" si="132"/>
        <v>27373</v>
      </c>
      <c r="N38" s="9">
        <f t="shared" si="132"/>
        <v>28601</v>
      </c>
      <c r="O38" s="9">
        <f t="shared" si="132"/>
        <v>27372</v>
      </c>
      <c r="P38" s="9">
        <f t="shared" si="132"/>
        <v>28994</v>
      </c>
      <c r="Q38" s="9">
        <f>+Q37</f>
        <v>28591</v>
      </c>
      <c r="R38" s="9">
        <f t="shared" ref="R38:V38" si="133">+R37</f>
        <v>31331</v>
      </c>
      <c r="S38" s="9">
        <f t="shared" si="133"/>
        <v>28129</v>
      </c>
      <c r="T38" s="9">
        <f t="shared" si="133"/>
        <v>28511</v>
      </c>
      <c r="U38" s="9">
        <f t="shared" si="133"/>
        <v>29710</v>
      </c>
      <c r="V38" s="9">
        <f t="shared" si="133"/>
        <v>31462</v>
      </c>
      <c r="W38" s="9">
        <f t="shared" ref="W38" si="134">+W37</f>
        <v>29404</v>
      </c>
      <c r="X38" s="9">
        <f t="shared" ref="X38:AA38" si="135">+X37</f>
        <v>30167</v>
      </c>
      <c r="Y38" s="9">
        <f t="shared" si="135"/>
        <v>34505</v>
      </c>
      <c r="Z38" s="9">
        <f t="shared" si="135"/>
        <v>33064</v>
      </c>
      <c r="AA38" s="9">
        <f t="shared" si="135"/>
        <v>30777</v>
      </c>
      <c r="AB38" s="9">
        <f t="shared" ref="AB38:AD38" si="136">+AB37</f>
        <v>31675.350000000002</v>
      </c>
      <c r="AC38" s="9">
        <f t="shared" si="136"/>
        <v>36230.25</v>
      </c>
      <c r="AD38" s="9">
        <f t="shared" si="136"/>
        <v>34717.200000000004</v>
      </c>
      <c r="AH38" s="9">
        <f t="shared" ref="AH38:AR38" si="137">+AH37</f>
        <v>106510</v>
      </c>
      <c r="AI38" s="9">
        <f t="shared" si="137"/>
        <v>107147</v>
      </c>
      <c r="AJ38" s="9">
        <f t="shared" si="137"/>
        <v>108791</v>
      </c>
      <c r="AK38" s="9">
        <f t="shared" si="137"/>
        <v>116288</v>
      </c>
      <c r="AL38" s="9">
        <f t="shared" si="137"/>
        <v>117812</v>
      </c>
      <c r="AM38" s="9">
        <f t="shared" si="137"/>
        <v>127140</v>
      </c>
      <c r="AN38" s="9">
        <f t="shared" si="137"/>
        <v>133399.80000000002</v>
      </c>
      <c r="AO38" s="9">
        <f t="shared" si="137"/>
        <v>134733.79800000001</v>
      </c>
      <c r="AP38" s="9">
        <f t="shared" si="137"/>
        <v>136081.13598000002</v>
      </c>
      <c r="AQ38" s="9">
        <f t="shared" si="137"/>
        <v>137441.94733980001</v>
      </c>
      <c r="AR38" s="9">
        <f t="shared" si="137"/>
        <v>138816.36681319802</v>
      </c>
    </row>
    <row r="39" spans="1:436" s="9" customFormat="1" x14ac:dyDescent="0.25">
      <c r="A39" s="3"/>
      <c r="B39" s="25" t="s">
        <v>26</v>
      </c>
      <c r="C39" s="9">
        <f t="shared" ref="C39:V39" si="138">+C36-C38</f>
        <v>5237</v>
      </c>
      <c r="D39" s="9">
        <f t="shared" si="138"/>
        <v>5969</v>
      </c>
      <c r="E39" s="9">
        <f t="shared" si="138"/>
        <v>4764</v>
      </c>
      <c r="F39" s="9">
        <f t="shared" si="138"/>
        <v>4467</v>
      </c>
      <c r="G39" s="9">
        <f t="shared" si="138"/>
        <v>5154</v>
      </c>
      <c r="H39" s="9">
        <f t="shared" si="138"/>
        <v>5750</v>
      </c>
      <c r="I39" s="9">
        <f t="shared" si="138"/>
        <v>4986</v>
      </c>
      <c r="J39" s="9">
        <f t="shared" si="138"/>
        <v>6067</v>
      </c>
      <c r="K39" s="9">
        <f t="shared" si="138"/>
        <v>4945</v>
      </c>
      <c r="L39" s="9">
        <f t="shared" si="138"/>
        <v>5583</v>
      </c>
      <c r="M39" s="9">
        <f t="shared" si="138"/>
        <v>4718</v>
      </c>
      <c r="N39" s="9">
        <f t="shared" si="138"/>
        <v>5322</v>
      </c>
      <c r="O39" s="9">
        <f t="shared" si="138"/>
        <v>5224</v>
      </c>
      <c r="P39" s="9">
        <f t="shared" si="138"/>
        <v>6059</v>
      </c>
      <c r="Q39" s="9">
        <f t="shared" si="138"/>
        <v>5778</v>
      </c>
      <c r="R39" s="9">
        <f t="shared" si="138"/>
        <v>5487</v>
      </c>
      <c r="S39" s="9">
        <f t="shared" si="138"/>
        <v>6909</v>
      </c>
      <c r="T39" s="9">
        <f t="shared" si="138"/>
        <v>7354</v>
      </c>
      <c r="U39" s="9">
        <f t="shared" si="138"/>
        <v>5792</v>
      </c>
      <c r="V39" s="9">
        <f t="shared" si="138"/>
        <v>5887</v>
      </c>
      <c r="W39" s="9">
        <f t="shared" ref="W39:AA39" si="139">+W36-W38</f>
        <v>5318</v>
      </c>
      <c r="X39" s="9">
        <f t="shared" si="139"/>
        <v>6854</v>
      </c>
      <c r="Y39" s="9">
        <f t="shared" si="139"/>
        <v>2695</v>
      </c>
      <c r="Z39" s="9">
        <f t="shared" si="139"/>
        <v>5561</v>
      </c>
      <c r="AA39" s="9">
        <f t="shared" si="139"/>
        <v>6240</v>
      </c>
      <c r="AB39" s="9">
        <f t="shared" ref="AB39:AD39" si="140">+AB36-AB38</f>
        <v>5765.0400000000118</v>
      </c>
      <c r="AC39" s="9">
        <f t="shared" si="140"/>
        <v>1403.1000000000058</v>
      </c>
      <c r="AD39" s="9">
        <f t="shared" si="140"/>
        <v>4299.0399999999863</v>
      </c>
      <c r="AH39" s="9">
        <f t="shared" ref="AH39:AR39" si="141">+AH36-AH38</f>
        <v>20437</v>
      </c>
      <c r="AI39" s="9">
        <f t="shared" si="141"/>
        <v>21957</v>
      </c>
      <c r="AJ39" s="9">
        <f t="shared" si="141"/>
        <v>110296</v>
      </c>
      <c r="AK39" s="9">
        <f t="shared" si="141"/>
        <v>22548</v>
      </c>
      <c r="AL39" s="9">
        <f t="shared" si="141"/>
        <v>25942</v>
      </c>
      <c r="AM39" s="9">
        <f t="shared" si="141"/>
        <v>20428</v>
      </c>
      <c r="AN39" s="9">
        <f t="shared" si="141"/>
        <v>17707.179999999964</v>
      </c>
      <c r="AO39" s="9">
        <f t="shared" si="141"/>
        <v>31479.001500000013</v>
      </c>
      <c r="AP39" s="9">
        <f t="shared" si="141"/>
        <v>33455.919510000007</v>
      </c>
      <c r="AQ39" s="9">
        <f t="shared" si="141"/>
        <v>35485.849260000017</v>
      </c>
      <c r="AR39" s="9">
        <f t="shared" si="141"/>
        <v>37569.985718598007</v>
      </c>
    </row>
    <row r="40" spans="1:436" x14ac:dyDescent="0.25">
      <c r="B40" s="26" t="s">
        <v>75</v>
      </c>
      <c r="C40" s="2">
        <f>506</f>
        <v>506</v>
      </c>
      <c r="D40" s="2">
        <f>522</f>
        <v>522</v>
      </c>
      <c r="E40" s="2">
        <f>502</f>
        <v>502</v>
      </c>
      <c r="F40" s="2">
        <f>448</f>
        <v>448</v>
      </c>
      <c r="G40" s="2">
        <f>437</f>
        <v>437</v>
      </c>
      <c r="H40" s="2">
        <f>460</f>
        <v>460</v>
      </c>
      <c r="I40" s="2">
        <f>501</f>
        <v>501</v>
      </c>
      <c r="J40" s="2">
        <f>577</f>
        <v>577</v>
      </c>
      <c r="K40" s="2">
        <f>588</f>
        <v>588</v>
      </c>
      <c r="L40" s="2">
        <f>558</f>
        <v>558</v>
      </c>
      <c r="M40" s="2">
        <f>547</f>
        <v>547</v>
      </c>
      <c r="N40" s="2">
        <f>569</f>
        <v>569</v>
      </c>
      <c r="O40" s="2">
        <f>510</f>
        <v>510</v>
      </c>
      <c r="P40" s="2">
        <f>577</f>
        <v>577</v>
      </c>
      <c r="Q40" s="2">
        <f>455</f>
        <v>455</v>
      </c>
      <c r="R40" s="2">
        <f>434</f>
        <v>434</v>
      </c>
      <c r="S40" s="2">
        <f>481</f>
        <v>481</v>
      </c>
      <c r="T40" s="2">
        <f>437</f>
        <v>437</v>
      </c>
      <c r="U40" s="2">
        <f>408</f>
        <v>408</v>
      </c>
      <c r="V40" s="2">
        <f>348</f>
        <v>348</v>
      </c>
      <c r="W40" s="2">
        <v>372</v>
      </c>
      <c r="X40" s="2">
        <v>395</v>
      </c>
      <c r="Y40" s="2">
        <v>499</v>
      </c>
      <c r="Z40" s="2">
        <v>521</v>
      </c>
      <c r="AA40" s="2">
        <v>568</v>
      </c>
      <c r="AB40" s="2">
        <f>X40*1.01</f>
        <v>398.95</v>
      </c>
      <c r="AC40" s="2">
        <f t="shared" ref="AC40:AC44" si="142">Y40*1.01</f>
        <v>503.99</v>
      </c>
      <c r="AD40" s="2">
        <f t="shared" ref="AD40:AD44" si="143">Z40*1.01</f>
        <v>526.21</v>
      </c>
      <c r="AH40" s="2">
        <f>SUM(C40:F40)</f>
        <v>1978</v>
      </c>
      <c r="AI40" s="2">
        <f>SUM(G40:J40)</f>
        <v>1975</v>
      </c>
      <c r="AJ40" s="2">
        <f>SUM(K40:N40)</f>
        <v>2262</v>
      </c>
      <c r="AK40" s="2">
        <f>SUM(O40:R40)</f>
        <v>1976</v>
      </c>
      <c r="AL40" s="2">
        <f>SUM(S40:V40)</f>
        <v>1674</v>
      </c>
      <c r="AM40" s="2">
        <f>SUM(W40:Z40)</f>
        <v>1787</v>
      </c>
      <c r="AN40" s="17">
        <f t="shared" ref="AN40:AN43" si="144">SUM(AA40:AD40)</f>
        <v>1997.15</v>
      </c>
      <c r="AO40" s="2">
        <f t="shared" ref="AO40:AO44" si="145">AN40*1.01</f>
        <v>2017.1215000000002</v>
      </c>
      <c r="AP40" s="2">
        <f t="shared" ref="AP40:AP44" si="146">AO40*1.01</f>
        <v>2037.2927150000003</v>
      </c>
      <c r="AQ40" s="2">
        <f t="shared" ref="AQ40" si="147">AP40*1.01</f>
        <v>2057.6656421500002</v>
      </c>
      <c r="AR40" s="2">
        <f t="shared" ref="AR40:AR44" si="148">AQ40*1.01</f>
        <v>2078.2422985715002</v>
      </c>
    </row>
    <row r="41" spans="1:436" x14ac:dyDescent="0.25">
      <c r="B41" s="26" t="s">
        <v>76</v>
      </c>
      <c r="C41" s="2">
        <v>92</v>
      </c>
      <c r="D41" s="2">
        <v>91</v>
      </c>
      <c r="E41" s="2">
        <v>81</v>
      </c>
      <c r="F41" s="2">
        <v>88</v>
      </c>
      <c r="G41" s="2">
        <v>93</v>
      </c>
      <c r="H41" s="2">
        <v>94</v>
      </c>
      <c r="I41" s="2">
        <v>92</v>
      </c>
      <c r="J41" s="2">
        <v>92</v>
      </c>
      <c r="K41" s="2">
        <v>85</v>
      </c>
      <c r="L41" s="2">
        <v>83</v>
      </c>
      <c r="M41" s="2">
        <v>86</v>
      </c>
      <c r="N41" s="2">
        <v>83</v>
      </c>
      <c r="O41" s="2">
        <v>82</v>
      </c>
      <c r="P41" s="2">
        <v>81</v>
      </c>
      <c r="Q41" s="2">
        <v>86</v>
      </c>
      <c r="R41" s="2">
        <v>90</v>
      </c>
      <c r="S41" s="2">
        <v>85</v>
      </c>
      <c r="T41" s="2">
        <v>78</v>
      </c>
      <c r="U41" s="2">
        <v>78</v>
      </c>
      <c r="V41" s="2">
        <v>79</v>
      </c>
      <c r="W41" s="2">
        <v>83</v>
      </c>
      <c r="X41" s="2">
        <v>84</v>
      </c>
      <c r="Y41" s="2">
        <v>85</v>
      </c>
      <c r="Z41" s="2">
        <v>89</v>
      </c>
      <c r="AA41" s="2">
        <v>96</v>
      </c>
      <c r="AB41" s="2">
        <f t="shared" ref="AB41:AB44" si="149">X41*1.01</f>
        <v>84.84</v>
      </c>
      <c r="AC41" s="2">
        <f t="shared" si="142"/>
        <v>85.85</v>
      </c>
      <c r="AD41" s="2">
        <f t="shared" si="143"/>
        <v>89.89</v>
      </c>
      <c r="AH41" s="2">
        <f t="shared" ref="AH41:AH42" si="150">SUM(C41:F41)</f>
        <v>352</v>
      </c>
      <c r="AI41" s="2">
        <f t="shared" ref="AI41:AI42" si="151">SUM(G41:J41)</f>
        <v>371</v>
      </c>
      <c r="AJ41" s="2">
        <f t="shared" ref="AJ41:AJ42" si="152">SUM(K41:N41)</f>
        <v>337</v>
      </c>
      <c r="AK41" s="2">
        <f t="shared" ref="AK41:AK42" si="153">SUM(O41:R41)</f>
        <v>339</v>
      </c>
      <c r="AL41" s="2">
        <f t="shared" ref="AL41:AL42" si="154">SUM(S41:V41)</f>
        <v>320</v>
      </c>
      <c r="AM41" s="2">
        <f>SUM(W41:Z41)</f>
        <v>341</v>
      </c>
      <c r="AN41" s="17">
        <f t="shared" si="144"/>
        <v>356.58</v>
      </c>
      <c r="AO41" s="2">
        <f t="shared" si="145"/>
        <v>360.14580000000001</v>
      </c>
      <c r="AP41" s="2">
        <f t="shared" si="146"/>
        <v>363.74725799999999</v>
      </c>
      <c r="AQ41" s="2">
        <f t="shared" ref="AQ41:AQ44" si="155">AP41*1.01</f>
        <v>367.38473058</v>
      </c>
      <c r="AR41" s="2">
        <f t="shared" si="148"/>
        <v>371.05857788579999</v>
      </c>
    </row>
    <row r="42" spans="1:436" x14ac:dyDescent="0.25">
      <c r="B42" s="26" t="s">
        <v>74</v>
      </c>
      <c r="C42" s="2">
        <v>-35</v>
      </c>
      <c r="D42" s="2">
        <v>-38</v>
      </c>
      <c r="E42" s="2">
        <v>-42</v>
      </c>
      <c r="F42" s="2">
        <v>-37</v>
      </c>
      <c r="G42" s="2">
        <v>-43</v>
      </c>
      <c r="H42" s="2">
        <v>-51</v>
      </c>
      <c r="I42" s="2">
        <v>-59</v>
      </c>
      <c r="J42" s="2">
        <v>-64</v>
      </c>
      <c r="K42" s="2">
        <v>-48</v>
      </c>
      <c r="L42" s="2">
        <v>-56</v>
      </c>
      <c r="M42" s="2">
        <v>-44</v>
      </c>
      <c r="N42" s="2">
        <v>-41</v>
      </c>
      <c r="O42" s="2">
        <v>-43</v>
      </c>
      <c r="P42" s="2">
        <v>-23</v>
      </c>
      <c r="Q42" s="2">
        <v>-25</v>
      </c>
      <c r="R42" s="2">
        <v>-30</v>
      </c>
      <c r="S42" s="2">
        <v>-30</v>
      </c>
      <c r="T42" s="2">
        <v>-37</v>
      </c>
      <c r="U42" s="2">
        <v>-44</v>
      </c>
      <c r="V42" s="2">
        <v>-47</v>
      </c>
      <c r="W42" s="2">
        <v>-36</v>
      </c>
      <c r="X42" s="2">
        <v>-31</v>
      </c>
      <c r="Y42" s="2">
        <v>-84</v>
      </c>
      <c r="Z42" s="2">
        <v>-103</v>
      </c>
      <c r="AA42" s="2">
        <v>-107</v>
      </c>
      <c r="AB42" s="2">
        <f t="shared" si="149"/>
        <v>-31.31</v>
      </c>
      <c r="AC42" s="2">
        <f t="shared" si="142"/>
        <v>-84.84</v>
      </c>
      <c r="AD42" s="2">
        <f t="shared" si="143"/>
        <v>-104.03</v>
      </c>
      <c r="AH42" s="2">
        <f t="shared" si="150"/>
        <v>-152</v>
      </c>
      <c r="AI42" s="2">
        <f t="shared" si="151"/>
        <v>-217</v>
      </c>
      <c r="AJ42" s="2">
        <f t="shared" si="152"/>
        <v>-189</v>
      </c>
      <c r="AK42" s="2">
        <f t="shared" si="153"/>
        <v>-121</v>
      </c>
      <c r="AL42" s="2">
        <f t="shared" si="154"/>
        <v>-158</v>
      </c>
      <c r="AM42" s="2">
        <f>SUM(W42:Z42)</f>
        <v>-254</v>
      </c>
      <c r="AN42" s="17">
        <f t="shared" si="144"/>
        <v>-327.18</v>
      </c>
      <c r="AO42" s="2">
        <f t="shared" si="145"/>
        <v>-330.45179999999999</v>
      </c>
      <c r="AP42" s="2">
        <f t="shared" si="146"/>
        <v>-333.75631800000002</v>
      </c>
      <c r="AQ42" s="2">
        <f t="shared" si="155"/>
        <v>-337.09388118000004</v>
      </c>
      <c r="AR42" s="2">
        <f t="shared" si="148"/>
        <v>-340.46481999180003</v>
      </c>
    </row>
    <row r="43" spans="1:436" x14ac:dyDescent="0.25">
      <c r="B43" s="27" t="s">
        <v>69</v>
      </c>
      <c r="C43" s="2">
        <v>0</v>
      </c>
      <c r="D43" s="19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2410</v>
      </c>
      <c r="V43" s="2">
        <v>0</v>
      </c>
      <c r="W43" s="2">
        <f t="shared" ref="W43" si="156">S43*1.01</f>
        <v>0</v>
      </c>
      <c r="X43" s="2">
        <f t="shared" ref="X43" si="157">T43*1.01</f>
        <v>0</v>
      </c>
      <c r="Y43" s="2">
        <v>0</v>
      </c>
      <c r="Z43" s="2">
        <v>0</v>
      </c>
      <c r="AA43" s="2">
        <v>0</v>
      </c>
      <c r="AB43" s="2">
        <f t="shared" si="149"/>
        <v>0</v>
      </c>
      <c r="AC43" s="2">
        <f t="shared" si="142"/>
        <v>0</v>
      </c>
      <c r="AD43" s="2">
        <f t="shared" si="143"/>
        <v>0</v>
      </c>
      <c r="AH43" s="2">
        <f>SUM(C43:F43)</f>
        <v>0</v>
      </c>
      <c r="AI43" s="2">
        <f>SUM(G43:J43)</f>
        <v>0</v>
      </c>
      <c r="AJ43" s="2">
        <f>SUM(K43:N43)</f>
        <v>0</v>
      </c>
      <c r="AK43" s="2">
        <f>SUM(O43:R43)</f>
        <v>0</v>
      </c>
      <c r="AL43" s="2">
        <f>SUM(S43:V43)</f>
        <v>2410</v>
      </c>
      <c r="AM43" s="2">
        <f>SUM(W43:Z43)</f>
        <v>0</v>
      </c>
      <c r="AN43" s="17">
        <f t="shared" si="144"/>
        <v>0</v>
      </c>
      <c r="AO43" s="2">
        <f t="shared" si="145"/>
        <v>0</v>
      </c>
      <c r="AP43" s="2">
        <f t="shared" si="146"/>
        <v>0</v>
      </c>
      <c r="AQ43" s="2">
        <f t="shared" si="155"/>
        <v>0</v>
      </c>
      <c r="AR43" s="2">
        <f t="shared" si="148"/>
        <v>0</v>
      </c>
    </row>
    <row r="44" spans="1:436" x14ac:dyDescent="0.25">
      <c r="B44" s="26" t="s">
        <v>77</v>
      </c>
      <c r="C44" s="2">
        <v>0</v>
      </c>
      <c r="D44" s="2">
        <v>788</v>
      </c>
      <c r="E44" s="2">
        <v>1344</v>
      </c>
      <c r="F44" s="2">
        <v>1004</v>
      </c>
      <c r="G44" s="2">
        <v>1845</v>
      </c>
      <c r="H44" s="2">
        <v>4849</v>
      </c>
      <c r="I44" s="2">
        <v>1876</v>
      </c>
      <c r="J44" s="2">
        <v>-202</v>
      </c>
      <c r="K44" s="2">
        <v>-837</v>
      </c>
      <c r="L44" s="2">
        <v>85</v>
      </c>
      <c r="M44" s="2">
        <v>-244</v>
      </c>
      <c r="N44" s="2">
        <v>-962</v>
      </c>
      <c r="O44" s="2">
        <v>-721</v>
      </c>
      <c r="P44" s="2">
        <v>-3222</v>
      </c>
      <c r="Q44" s="2">
        <v>-1853</v>
      </c>
      <c r="R44" s="2">
        <v>5586</v>
      </c>
      <c r="S44" s="2">
        <v>2529</v>
      </c>
      <c r="T44" s="2">
        <v>953</v>
      </c>
      <c r="U44" s="2">
        <v>-1207</v>
      </c>
      <c r="V44" s="2">
        <v>725</v>
      </c>
      <c r="W44" s="2">
        <v>1998</v>
      </c>
      <c r="X44" s="2">
        <v>-238</v>
      </c>
      <c r="Y44" s="2">
        <v>3626</v>
      </c>
      <c r="Z44" s="2">
        <v>-3848</v>
      </c>
      <c r="AA44" s="2">
        <v>2995</v>
      </c>
      <c r="AB44" s="2">
        <f t="shared" si="149"/>
        <v>-240.38</v>
      </c>
      <c r="AC44" s="2">
        <f t="shared" si="142"/>
        <v>3662.26</v>
      </c>
      <c r="AD44" s="2">
        <f t="shared" si="143"/>
        <v>-3886.48</v>
      </c>
      <c r="AH44" s="2">
        <f>SUM(C44:F44)</f>
        <v>3136</v>
      </c>
      <c r="AI44" s="2">
        <f>SUM(G44:J44)</f>
        <v>8368</v>
      </c>
      <c r="AJ44" s="2">
        <f>SUM(K44:N44)</f>
        <v>-1958</v>
      </c>
      <c r="AK44" s="2">
        <f>SUM(O44:R44)</f>
        <v>-210</v>
      </c>
      <c r="AL44" s="2">
        <f>SUM(S44:V44)</f>
        <v>3000</v>
      </c>
      <c r="AM44" s="2">
        <f>SUM(W44:Z44)</f>
        <v>1538</v>
      </c>
      <c r="AN44" s="17">
        <f>SUM(AA44:AD44)</f>
        <v>2530.4</v>
      </c>
      <c r="AO44" s="2">
        <f t="shared" si="145"/>
        <v>2555.7040000000002</v>
      </c>
      <c r="AP44" s="2">
        <f t="shared" si="146"/>
        <v>2581.2610400000003</v>
      </c>
      <c r="AQ44" s="2">
        <f t="shared" si="155"/>
        <v>2607.0736504000001</v>
      </c>
      <c r="AR44" s="2">
        <f t="shared" si="148"/>
        <v>2633.1443869040004</v>
      </c>
    </row>
    <row r="45" spans="1:436" x14ac:dyDescent="0.25">
      <c r="B45" s="24" t="s">
        <v>27</v>
      </c>
      <c r="C45" s="2">
        <f t="shared" ref="C45:V45" si="158">C39-C40-C41-C42-C43-C44</f>
        <v>4674</v>
      </c>
      <c r="D45" s="2">
        <f t="shared" si="158"/>
        <v>4606</v>
      </c>
      <c r="E45" s="2">
        <f t="shared" si="158"/>
        <v>2879</v>
      </c>
      <c r="F45" s="2">
        <f t="shared" si="158"/>
        <v>2964</v>
      </c>
      <c r="G45" s="2">
        <f t="shared" si="158"/>
        <v>2822</v>
      </c>
      <c r="H45" s="2">
        <f t="shared" si="158"/>
        <v>398</v>
      </c>
      <c r="I45" s="2">
        <f t="shared" si="158"/>
        <v>2576</v>
      </c>
      <c r="J45" s="2">
        <f t="shared" si="158"/>
        <v>5664</v>
      </c>
      <c r="K45" s="2">
        <f t="shared" si="158"/>
        <v>5157</v>
      </c>
      <c r="L45" s="2">
        <f t="shared" si="158"/>
        <v>4913</v>
      </c>
      <c r="M45" s="2">
        <f t="shared" si="158"/>
        <v>4373</v>
      </c>
      <c r="N45" s="2">
        <f t="shared" si="158"/>
        <v>5673</v>
      </c>
      <c r="O45" s="2">
        <f t="shared" si="158"/>
        <v>5396</v>
      </c>
      <c r="P45" s="2">
        <f t="shared" si="158"/>
        <v>8646</v>
      </c>
      <c r="Q45" s="2">
        <f t="shared" si="158"/>
        <v>7115</v>
      </c>
      <c r="R45" s="2">
        <f t="shared" si="158"/>
        <v>-593</v>
      </c>
      <c r="S45" s="2">
        <f t="shared" si="158"/>
        <v>3844</v>
      </c>
      <c r="T45" s="2">
        <f t="shared" si="158"/>
        <v>5923</v>
      </c>
      <c r="U45" s="2">
        <f t="shared" si="158"/>
        <v>4147</v>
      </c>
      <c r="V45" s="2">
        <f t="shared" si="158"/>
        <v>4782</v>
      </c>
      <c r="W45" s="2">
        <f>W39-W40-W41-W42-W43-W44</f>
        <v>2901</v>
      </c>
      <c r="X45" s="2">
        <f t="shared" ref="X45:AD45" si="159">X39-X40-X41-X42-X43-X44</f>
        <v>6644</v>
      </c>
      <c r="Y45" s="2">
        <f t="shared" si="159"/>
        <v>-1431</v>
      </c>
      <c r="Z45" s="2">
        <f t="shared" si="159"/>
        <v>8902</v>
      </c>
      <c r="AA45" s="2">
        <f t="shared" si="159"/>
        <v>2688</v>
      </c>
      <c r="AB45" s="2">
        <f t="shared" si="159"/>
        <v>5552.9400000000123</v>
      </c>
      <c r="AC45" s="2">
        <f t="shared" si="159"/>
        <v>-2764.1599999999944</v>
      </c>
      <c r="AD45" s="2">
        <f t="shared" si="159"/>
        <v>7673.4499999999862</v>
      </c>
      <c r="AH45" s="2">
        <f t="shared" ref="AH45:AO45" si="160">AH39-AH40-AH41-AH42-AH43-AH44</f>
        <v>15123</v>
      </c>
      <c r="AI45" s="2">
        <f t="shared" si="160"/>
        <v>11460</v>
      </c>
      <c r="AJ45" s="2">
        <f t="shared" si="160"/>
        <v>109844</v>
      </c>
      <c r="AK45" s="2">
        <f t="shared" si="160"/>
        <v>20564</v>
      </c>
      <c r="AL45" s="2">
        <f t="shared" si="160"/>
        <v>18696</v>
      </c>
      <c r="AM45" s="2">
        <f t="shared" si="160"/>
        <v>17016</v>
      </c>
      <c r="AN45" s="2">
        <f t="shared" si="160"/>
        <v>13150.229999999965</v>
      </c>
      <c r="AO45" s="2">
        <f t="shared" si="160"/>
        <v>26876.482000000011</v>
      </c>
      <c r="AP45" s="2">
        <f t="shared" ref="AP45:AR45" si="161">AP39-AP40-AP41-AP42-AP43-AP44</f>
        <v>28807.374815000006</v>
      </c>
      <c r="AQ45" s="2">
        <f t="shared" si="161"/>
        <v>30790.819118050014</v>
      </c>
      <c r="AR45" s="2">
        <f t="shared" si="161"/>
        <v>32828.005275228505</v>
      </c>
    </row>
    <row r="46" spans="1:436" x14ac:dyDescent="0.25">
      <c r="B46" s="24" t="s">
        <v>28</v>
      </c>
      <c r="C46" s="2">
        <v>1522</v>
      </c>
      <c r="D46" s="2">
        <v>1502</v>
      </c>
      <c r="E46" s="2">
        <v>975</v>
      </c>
      <c r="F46" s="2">
        <v>601</v>
      </c>
      <c r="G46" s="2">
        <v>546</v>
      </c>
      <c r="H46" s="2">
        <v>1125</v>
      </c>
      <c r="I46" s="2">
        <v>759</v>
      </c>
      <c r="J46" s="2">
        <v>1851</v>
      </c>
      <c r="K46" s="2">
        <v>1251</v>
      </c>
      <c r="L46" s="2">
        <v>1233</v>
      </c>
      <c r="M46" s="2">
        <v>1052</v>
      </c>
      <c r="N46" s="2">
        <v>1379</v>
      </c>
      <c r="O46" s="2">
        <v>1322</v>
      </c>
      <c r="P46" s="2">
        <v>2207</v>
      </c>
      <c r="Q46" s="2">
        <v>1914</v>
      </c>
      <c r="R46" s="2">
        <v>1415</v>
      </c>
      <c r="S46" s="2">
        <v>1033</v>
      </c>
      <c r="T46" s="2">
        <v>1559</v>
      </c>
      <c r="U46" s="2">
        <v>1015</v>
      </c>
      <c r="V46" s="2">
        <v>1149</v>
      </c>
      <c r="W46" s="2">
        <v>798</v>
      </c>
      <c r="X46" s="2">
        <v>1497</v>
      </c>
      <c r="Y46" s="2">
        <v>336</v>
      </c>
      <c r="Z46" s="2">
        <v>3093</v>
      </c>
      <c r="AA46" s="2">
        <v>792</v>
      </c>
      <c r="AB46" s="2">
        <f>0.3*AB45</f>
        <v>1665.8820000000037</v>
      </c>
      <c r="AC46" s="2">
        <f t="shared" ref="AC46:AD46" si="162">0.3*AC45</f>
        <v>-829.24799999999834</v>
      </c>
      <c r="AD46" s="2">
        <f t="shared" si="162"/>
        <v>2302.0349999999958</v>
      </c>
      <c r="AH46" s="2">
        <f>SUM(C46:F46)</f>
        <v>4600</v>
      </c>
      <c r="AI46" s="2">
        <f>SUM(G46:J46)</f>
        <v>4281</v>
      </c>
      <c r="AJ46" s="2">
        <f>SUM(K46:N46)</f>
        <v>4915</v>
      </c>
      <c r="AK46" s="2">
        <f>SUM(O46:R46)</f>
        <v>6858</v>
      </c>
      <c r="AL46" s="2">
        <f>SUM(S46:V46)</f>
        <v>4756</v>
      </c>
      <c r="AM46" s="2">
        <f>SUM(W46:Z46)</f>
        <v>5724</v>
      </c>
      <c r="AN46" s="17">
        <f>SUM(AA46:AD46)</f>
        <v>3930.6690000000012</v>
      </c>
      <c r="AO46" s="2">
        <f>AO45*0.3</f>
        <v>8062.9446000000025</v>
      </c>
      <c r="AP46" s="2">
        <f t="shared" ref="AP46:AR46" si="163">AP45*0.3</f>
        <v>8642.2124445000009</v>
      </c>
      <c r="AQ46" s="2">
        <f t="shared" si="163"/>
        <v>9237.2457354150047</v>
      </c>
      <c r="AR46" s="2">
        <f t="shared" si="163"/>
        <v>9848.401582568551</v>
      </c>
    </row>
    <row r="47" spans="1:436" x14ac:dyDescent="0.25">
      <c r="B47" s="26" t="s">
        <v>44</v>
      </c>
      <c r="C47" s="2">
        <v>113</v>
      </c>
      <c r="D47" s="2">
        <v>205</v>
      </c>
      <c r="E47" s="2">
        <v>155</v>
      </c>
      <c r="F47" s="2">
        <v>188</v>
      </c>
      <c r="G47" s="2">
        <v>142</v>
      </c>
      <c r="H47" s="2">
        <v>134</v>
      </c>
      <c r="I47" s="2">
        <v>107</v>
      </c>
      <c r="J47" s="2">
        <v>126</v>
      </c>
      <c r="K47" s="2">
        <v>64</v>
      </c>
      <c r="L47" s="2">
        <v>70</v>
      </c>
      <c r="M47" s="2">
        <v>33</v>
      </c>
      <c r="N47" s="2">
        <v>153</v>
      </c>
      <c r="O47" s="2">
        <v>84</v>
      </c>
      <c r="P47" s="2">
        <v>-37</v>
      </c>
      <c r="Q47" s="2">
        <v>66</v>
      </c>
      <c r="R47" s="2">
        <v>83</v>
      </c>
      <c r="S47" s="2">
        <v>81</v>
      </c>
      <c r="T47" s="2">
        <v>88</v>
      </c>
      <c r="U47" s="2">
        <v>27</v>
      </c>
      <c r="V47" s="2">
        <v>71</v>
      </c>
      <c r="W47" s="2">
        <v>49</v>
      </c>
      <c r="X47" s="2">
        <v>-2</v>
      </c>
      <c r="Y47" s="2">
        <v>31</v>
      </c>
      <c r="Z47" s="2">
        <v>-466</v>
      </c>
      <c r="AA47" s="2">
        <v>223</v>
      </c>
      <c r="AB47" s="2">
        <f>X47*1.01</f>
        <v>-2.02</v>
      </c>
      <c r="AC47" s="2">
        <f t="shared" ref="AC47:AD47" si="164">Y47*1.01</f>
        <v>31.31</v>
      </c>
      <c r="AD47" s="2">
        <f t="shared" si="164"/>
        <v>-470.66</v>
      </c>
      <c r="AH47" s="2">
        <f>SUM(C47:F47)</f>
        <v>661</v>
      </c>
      <c r="AI47" s="2">
        <f>SUM(G47:J47)</f>
        <v>509</v>
      </c>
      <c r="AJ47" s="2">
        <f>SUM(K47:N47)</f>
        <v>320</v>
      </c>
      <c r="AK47" s="2">
        <f>SUM(O47:R47)</f>
        <v>196</v>
      </c>
      <c r="AL47" s="2">
        <f>SUM(S47:V47)</f>
        <v>267</v>
      </c>
      <c r="AM47" s="2">
        <f>SUM(W47:Z47)</f>
        <v>-388</v>
      </c>
      <c r="AN47" s="17">
        <f>SUM(AA47:AD47)</f>
        <v>-218.37000000000003</v>
      </c>
      <c r="AO47" s="2">
        <v>350</v>
      </c>
      <c r="AP47" s="2">
        <v>351</v>
      </c>
      <c r="AQ47" s="2">
        <v>352</v>
      </c>
    </row>
    <row r="48" spans="1:436" s="9" customFormat="1" x14ac:dyDescent="0.25">
      <c r="A48" s="3"/>
      <c r="B48" s="25" t="s">
        <v>29</v>
      </c>
      <c r="C48" s="9">
        <f t="shared" ref="C48:AB48" si="165">+C45-C46-C47</f>
        <v>3039</v>
      </c>
      <c r="D48" s="9">
        <f t="shared" si="165"/>
        <v>2899</v>
      </c>
      <c r="E48" s="9">
        <f t="shared" si="165"/>
        <v>1749</v>
      </c>
      <c r="F48" s="9">
        <f t="shared" si="165"/>
        <v>2175</v>
      </c>
      <c r="G48" s="9">
        <f t="shared" si="165"/>
        <v>2134</v>
      </c>
      <c r="H48" s="9">
        <f t="shared" si="165"/>
        <v>-861</v>
      </c>
      <c r="I48" s="9">
        <f t="shared" si="165"/>
        <v>1710</v>
      </c>
      <c r="J48" s="9">
        <f t="shared" si="165"/>
        <v>3687</v>
      </c>
      <c r="K48" s="9">
        <f t="shared" si="165"/>
        <v>3842</v>
      </c>
      <c r="L48" s="9">
        <f t="shared" si="165"/>
        <v>3610</v>
      </c>
      <c r="M48" s="9">
        <f t="shared" si="165"/>
        <v>3288</v>
      </c>
      <c r="N48" s="9">
        <f t="shared" si="165"/>
        <v>4141</v>
      </c>
      <c r="O48" s="9">
        <f t="shared" si="165"/>
        <v>3990</v>
      </c>
      <c r="P48" s="9">
        <f t="shared" si="165"/>
        <v>6476</v>
      </c>
      <c r="Q48" s="9">
        <f t="shared" si="165"/>
        <v>5135</v>
      </c>
      <c r="R48" s="9">
        <f t="shared" si="165"/>
        <v>-2091</v>
      </c>
      <c r="S48" s="9">
        <f t="shared" si="165"/>
        <v>2730</v>
      </c>
      <c r="T48" s="9">
        <f t="shared" si="165"/>
        <v>4276</v>
      </c>
      <c r="U48" s="9">
        <f t="shared" si="165"/>
        <v>3105</v>
      </c>
      <c r="V48" s="9">
        <f t="shared" si="165"/>
        <v>3562</v>
      </c>
      <c r="W48" s="9">
        <f t="shared" si="165"/>
        <v>2054</v>
      </c>
      <c r="X48" s="9">
        <f>+X45-X46-X47</f>
        <v>5149</v>
      </c>
      <c r="Y48" s="9">
        <f t="shared" si="165"/>
        <v>-1798</v>
      </c>
      <c r="Z48" s="9">
        <f t="shared" si="165"/>
        <v>6275</v>
      </c>
      <c r="AA48" s="9">
        <f t="shared" si="165"/>
        <v>1673</v>
      </c>
      <c r="AB48" s="9">
        <f t="shared" si="165"/>
        <v>3889.0780000000086</v>
      </c>
      <c r="AC48" s="9">
        <f t="shared" ref="AC48:AD48" si="166">+AC45-AC46-AC47</f>
        <v>-1966.2219999999961</v>
      </c>
      <c r="AD48" s="9">
        <f t="shared" si="166"/>
        <v>5842.0749999999898</v>
      </c>
      <c r="AH48" s="9">
        <f>+AH45-AH46-AH47</f>
        <v>9862</v>
      </c>
      <c r="AI48" s="9">
        <f>+AI45-AI46-AI47</f>
        <v>6670</v>
      </c>
      <c r="AJ48" s="9">
        <f>+AJ45-AJ46-AJ47</f>
        <v>104609</v>
      </c>
      <c r="AK48" s="9">
        <f>+AK45-AK46-AK47</f>
        <v>13510</v>
      </c>
      <c r="AL48" s="9">
        <f t="shared" ref="AL48:AR48" si="167">+AL45-AL46-AL47</f>
        <v>13673</v>
      </c>
      <c r="AM48" s="9">
        <f t="shared" si="167"/>
        <v>11680</v>
      </c>
      <c r="AN48" s="9">
        <f t="shared" si="167"/>
        <v>9437.9309999999641</v>
      </c>
      <c r="AO48" s="9">
        <f t="shared" si="167"/>
        <v>18463.537400000008</v>
      </c>
      <c r="AP48" s="9">
        <f t="shared" si="167"/>
        <v>19814.162370500006</v>
      </c>
      <c r="AQ48" s="9">
        <f t="shared" si="167"/>
        <v>21201.573382635012</v>
      </c>
      <c r="AR48" s="9">
        <f t="shared" si="167"/>
        <v>22979.603692659955</v>
      </c>
      <c r="AS48" s="9">
        <f t="shared" ref="AS48:BX48" si="168">AR48*(1+$AU$59)</f>
        <v>22749.807655733355</v>
      </c>
      <c r="AT48" s="9">
        <f t="shared" si="168"/>
        <v>22522.309579176021</v>
      </c>
      <c r="AU48" s="9">
        <f t="shared" si="168"/>
        <v>22297.086483384261</v>
      </c>
      <c r="AV48" s="9">
        <f t="shared" si="168"/>
        <v>22074.115618550419</v>
      </c>
      <c r="AW48" s="9">
        <f t="shared" si="168"/>
        <v>21853.374462364915</v>
      </c>
      <c r="AX48" s="9">
        <f t="shared" si="168"/>
        <v>21634.840717741266</v>
      </c>
      <c r="AY48" s="9">
        <f t="shared" si="168"/>
        <v>21418.492310563852</v>
      </c>
      <c r="AZ48" s="9">
        <f t="shared" si="168"/>
        <v>21204.307387458211</v>
      </c>
      <c r="BA48" s="9">
        <f t="shared" si="168"/>
        <v>20992.26431358363</v>
      </c>
      <c r="BB48" s="9">
        <f t="shared" si="168"/>
        <v>20782.341670447793</v>
      </c>
      <c r="BC48" s="9">
        <f t="shared" si="168"/>
        <v>20574.518253743314</v>
      </c>
      <c r="BD48" s="9">
        <f t="shared" si="168"/>
        <v>20368.77307120588</v>
      </c>
      <c r="BE48" s="9">
        <f t="shared" si="168"/>
        <v>20165.085340493821</v>
      </c>
      <c r="BF48" s="9">
        <f t="shared" si="168"/>
        <v>19963.434487088882</v>
      </c>
      <c r="BG48" s="9">
        <f t="shared" si="168"/>
        <v>19763.800142217991</v>
      </c>
      <c r="BH48" s="9">
        <f t="shared" si="168"/>
        <v>19566.162140795812</v>
      </c>
      <c r="BI48" s="9">
        <f t="shared" si="168"/>
        <v>19370.500519387853</v>
      </c>
      <c r="BJ48" s="9">
        <f t="shared" si="168"/>
        <v>19176.795514193975</v>
      </c>
      <c r="BK48" s="9">
        <f t="shared" si="168"/>
        <v>18985.027559052036</v>
      </c>
      <c r="BL48" s="9">
        <f t="shared" si="168"/>
        <v>18795.177283461515</v>
      </c>
      <c r="BM48" s="9">
        <f t="shared" si="168"/>
        <v>18607.2255106269</v>
      </c>
      <c r="BN48" s="9">
        <f t="shared" si="168"/>
        <v>18421.153255520632</v>
      </c>
      <c r="BO48" s="9">
        <f t="shared" si="168"/>
        <v>18236.941722965425</v>
      </c>
      <c r="BP48" s="9">
        <f t="shared" si="168"/>
        <v>18054.572305735772</v>
      </c>
      <c r="BQ48" s="9">
        <f t="shared" si="168"/>
        <v>17874.026582678413</v>
      </c>
      <c r="BR48" s="9">
        <f t="shared" si="168"/>
        <v>17695.286316851627</v>
      </c>
      <c r="BS48" s="9">
        <f t="shared" si="168"/>
        <v>17518.33345368311</v>
      </c>
      <c r="BT48" s="9">
        <f t="shared" si="168"/>
        <v>17343.150119146278</v>
      </c>
      <c r="BU48" s="9">
        <f t="shared" si="168"/>
        <v>17169.718617954815</v>
      </c>
      <c r="BV48" s="9">
        <f t="shared" si="168"/>
        <v>16998.021431775265</v>
      </c>
      <c r="BW48" s="9">
        <f t="shared" si="168"/>
        <v>16828.041217457514</v>
      </c>
      <c r="BX48" s="9">
        <f t="shared" si="168"/>
        <v>16659.760805282938</v>
      </c>
      <c r="BY48" s="9">
        <f t="shared" ref="BY48:DD48" si="169">BX48*(1+$AU$59)</f>
        <v>16493.163197230107</v>
      </c>
      <c r="BZ48" s="9">
        <f t="shared" si="169"/>
        <v>16328.231565257805</v>
      </c>
      <c r="CA48" s="9">
        <f t="shared" si="169"/>
        <v>16164.949249605228</v>
      </c>
      <c r="CB48" s="9">
        <f t="shared" si="169"/>
        <v>16003.299757109176</v>
      </c>
      <c r="CC48" s="9">
        <f t="shared" si="169"/>
        <v>15843.266759538084</v>
      </c>
      <c r="CD48" s="9">
        <f t="shared" si="169"/>
        <v>15684.834091942703</v>
      </c>
      <c r="CE48" s="9">
        <f t="shared" si="169"/>
        <v>15527.985751023276</v>
      </c>
      <c r="CF48" s="9">
        <f t="shared" si="169"/>
        <v>15372.705893513043</v>
      </c>
      <c r="CG48" s="9">
        <f t="shared" si="169"/>
        <v>15218.978834577912</v>
      </c>
      <c r="CH48" s="9">
        <f t="shared" si="169"/>
        <v>15066.789046232134</v>
      </c>
      <c r="CI48" s="9">
        <f t="shared" si="169"/>
        <v>14916.121155769812</v>
      </c>
      <c r="CJ48" s="9">
        <f t="shared" si="169"/>
        <v>14766.959944212113</v>
      </c>
      <c r="CK48" s="9">
        <f t="shared" si="169"/>
        <v>14619.290344769992</v>
      </c>
      <c r="CL48" s="9">
        <f t="shared" si="169"/>
        <v>14473.097441322292</v>
      </c>
      <c r="CM48" s="9">
        <f t="shared" si="169"/>
        <v>14328.366466909069</v>
      </c>
      <c r="CN48" s="9">
        <f t="shared" si="169"/>
        <v>14185.082802239978</v>
      </c>
      <c r="CO48" s="9">
        <f t="shared" si="169"/>
        <v>14043.231974217579</v>
      </c>
      <c r="CP48" s="9">
        <f t="shared" si="169"/>
        <v>13902.799654475402</v>
      </c>
      <c r="CQ48" s="9">
        <f t="shared" si="169"/>
        <v>13763.771657930649</v>
      </c>
      <c r="CR48" s="9">
        <f t="shared" si="169"/>
        <v>13626.133941351341</v>
      </c>
      <c r="CS48" s="9">
        <f t="shared" si="169"/>
        <v>13489.872601937828</v>
      </c>
      <c r="CT48" s="9">
        <f t="shared" si="169"/>
        <v>13354.973875918449</v>
      </c>
      <c r="CU48" s="9">
        <f t="shared" si="169"/>
        <v>13221.424137159265</v>
      </c>
      <c r="CV48" s="9">
        <f t="shared" si="169"/>
        <v>13089.209895787673</v>
      </c>
      <c r="CW48" s="9">
        <f t="shared" si="169"/>
        <v>12958.317796829797</v>
      </c>
      <c r="CX48" s="9">
        <f t="shared" si="169"/>
        <v>12828.734618861499</v>
      </c>
      <c r="CY48" s="9">
        <f t="shared" si="169"/>
        <v>12700.447272672884</v>
      </c>
      <c r="CZ48" s="9">
        <f t="shared" si="169"/>
        <v>12573.442799946155</v>
      </c>
      <c r="DA48" s="9">
        <f t="shared" si="169"/>
        <v>12447.708371946694</v>
      </c>
      <c r="DB48" s="9">
        <f t="shared" si="169"/>
        <v>12323.231288227227</v>
      </c>
      <c r="DC48" s="9">
        <f t="shared" si="169"/>
        <v>12199.998975344955</v>
      </c>
      <c r="DD48" s="9">
        <f t="shared" si="169"/>
        <v>12077.998985591506</v>
      </c>
      <c r="DE48" s="9">
        <f t="shared" ref="DE48:FP48" si="170">DD48*(1+$AU$59)</f>
        <v>11957.218995735591</v>
      </c>
      <c r="DF48" s="9">
        <f t="shared" si="170"/>
        <v>11837.646805778235</v>
      </c>
      <c r="DG48" s="9">
        <f t="shared" si="170"/>
        <v>11719.270337720453</v>
      </c>
      <c r="DH48" s="9">
        <f t="shared" si="170"/>
        <v>11602.077634343248</v>
      </c>
      <c r="DI48" s="9">
        <f t="shared" si="170"/>
        <v>11486.056857999816</v>
      </c>
      <c r="DJ48" s="9">
        <f t="shared" si="170"/>
        <v>11371.196289419819</v>
      </c>
      <c r="DK48" s="9">
        <f t="shared" si="170"/>
        <v>11257.48432652562</v>
      </c>
      <c r="DL48" s="9">
        <f t="shared" si="170"/>
        <v>11144.909483260364</v>
      </c>
      <c r="DM48" s="9">
        <f t="shared" si="170"/>
        <v>11033.46038842776</v>
      </c>
      <c r="DN48" s="9">
        <f t="shared" si="170"/>
        <v>10923.125784543483</v>
      </c>
      <c r="DO48" s="9">
        <f t="shared" si="170"/>
        <v>10813.894526698048</v>
      </c>
      <c r="DP48" s="9">
        <f t="shared" si="170"/>
        <v>10705.755581431067</v>
      </c>
      <c r="DQ48" s="9">
        <f t="shared" si="170"/>
        <v>10598.698025616757</v>
      </c>
      <c r="DR48" s="9">
        <f t="shared" si="170"/>
        <v>10492.711045360589</v>
      </c>
      <c r="DS48" s="9">
        <f t="shared" si="170"/>
        <v>10387.783934906984</v>
      </c>
      <c r="DT48" s="9">
        <f t="shared" si="170"/>
        <v>10283.906095557913</v>
      </c>
      <c r="DU48" s="9">
        <f t="shared" si="170"/>
        <v>10181.067034602334</v>
      </c>
      <c r="DV48" s="9">
        <f t="shared" si="170"/>
        <v>10079.256364256311</v>
      </c>
      <c r="DW48" s="9">
        <f t="shared" si="170"/>
        <v>9978.4638006137484</v>
      </c>
      <c r="DX48" s="9">
        <f t="shared" si="170"/>
        <v>9878.6791626076101</v>
      </c>
      <c r="DY48" s="9">
        <f t="shared" si="170"/>
        <v>9779.8923709815335</v>
      </c>
      <c r="DZ48" s="9">
        <f t="shared" si="170"/>
        <v>9682.0934472717181</v>
      </c>
      <c r="EA48" s="9">
        <f t="shared" si="170"/>
        <v>9585.2725127990016</v>
      </c>
      <c r="EB48" s="9">
        <f t="shared" si="170"/>
        <v>9489.4197876710114</v>
      </c>
      <c r="EC48" s="9">
        <f t="shared" si="170"/>
        <v>9394.5255897943007</v>
      </c>
      <c r="ED48" s="9">
        <f t="shared" si="170"/>
        <v>9300.5803338963578</v>
      </c>
      <c r="EE48" s="9">
        <f t="shared" si="170"/>
        <v>9207.5745305573946</v>
      </c>
      <c r="EF48" s="9">
        <f t="shared" si="170"/>
        <v>9115.4987852518207</v>
      </c>
      <c r="EG48" s="9">
        <f t="shared" si="170"/>
        <v>9024.3437973993023</v>
      </c>
      <c r="EH48" s="9">
        <f t="shared" si="170"/>
        <v>8934.1003594253089</v>
      </c>
      <c r="EI48" s="9">
        <f t="shared" si="170"/>
        <v>8844.7593558310564</v>
      </c>
      <c r="EJ48" s="9">
        <f t="shared" si="170"/>
        <v>8756.3117622727459</v>
      </c>
      <c r="EK48" s="9">
        <f t="shared" si="170"/>
        <v>8668.7486446500188</v>
      </c>
      <c r="EL48" s="9">
        <f t="shared" si="170"/>
        <v>8582.0611582035181</v>
      </c>
      <c r="EM48" s="9">
        <f t="shared" si="170"/>
        <v>8496.2405466214823</v>
      </c>
      <c r="EN48" s="9">
        <f t="shared" si="170"/>
        <v>8411.2781411552678</v>
      </c>
      <c r="EO48" s="9">
        <f t="shared" si="170"/>
        <v>8327.1653597437144</v>
      </c>
      <c r="EP48" s="9">
        <f t="shared" si="170"/>
        <v>8243.8937061462766</v>
      </c>
      <c r="EQ48" s="9">
        <f t="shared" si="170"/>
        <v>8161.454769084814</v>
      </c>
      <c r="ER48" s="9">
        <f t="shared" si="170"/>
        <v>8079.8402213939662</v>
      </c>
      <c r="ES48" s="9">
        <f t="shared" si="170"/>
        <v>7999.0418191800263</v>
      </c>
      <c r="ET48" s="9">
        <f t="shared" si="170"/>
        <v>7919.0514009882263</v>
      </c>
      <c r="EU48" s="9">
        <f t="shared" si="170"/>
        <v>7839.8608869783438</v>
      </c>
      <c r="EV48" s="9">
        <f t="shared" si="170"/>
        <v>7761.46227810856</v>
      </c>
      <c r="EW48" s="9">
        <f t="shared" si="170"/>
        <v>7683.8476553274741</v>
      </c>
      <c r="EX48" s="9">
        <f t="shared" si="170"/>
        <v>7607.0091787741994</v>
      </c>
      <c r="EY48" s="9">
        <f t="shared" si="170"/>
        <v>7530.9390869864574</v>
      </c>
      <c r="EZ48" s="9">
        <f t="shared" si="170"/>
        <v>7455.6296961165926</v>
      </c>
      <c r="FA48" s="9">
        <f t="shared" si="170"/>
        <v>7381.0733991554271</v>
      </c>
      <c r="FB48" s="9">
        <f t="shared" si="170"/>
        <v>7307.262665163873</v>
      </c>
      <c r="FC48" s="9">
        <f t="shared" si="170"/>
        <v>7234.1900385122344</v>
      </c>
      <c r="FD48" s="9">
        <f t="shared" si="170"/>
        <v>7161.8481381271122</v>
      </c>
      <c r="FE48" s="9">
        <f t="shared" si="170"/>
        <v>7090.2296567458407</v>
      </c>
      <c r="FF48" s="9">
        <f t="shared" si="170"/>
        <v>7019.3273601783822</v>
      </c>
      <c r="FG48" s="9">
        <f t="shared" si="170"/>
        <v>6949.1340865765978</v>
      </c>
      <c r="FH48" s="9">
        <f t="shared" si="170"/>
        <v>6879.6427457108321</v>
      </c>
      <c r="FI48" s="9">
        <f t="shared" si="170"/>
        <v>6810.8463182537234</v>
      </c>
      <c r="FJ48" s="9">
        <f t="shared" si="170"/>
        <v>6742.7378550711865</v>
      </c>
      <c r="FK48" s="9">
        <f t="shared" si="170"/>
        <v>6675.3104765204744</v>
      </c>
      <c r="FL48" s="9">
        <f t="shared" si="170"/>
        <v>6608.5573717552697</v>
      </c>
      <c r="FM48" s="9">
        <f t="shared" si="170"/>
        <v>6542.4717980377172</v>
      </c>
      <c r="FN48" s="9">
        <f t="shared" si="170"/>
        <v>6477.0470800573403</v>
      </c>
      <c r="FO48" s="9">
        <f t="shared" si="170"/>
        <v>6412.2766092567672</v>
      </c>
      <c r="FP48" s="9">
        <f t="shared" si="170"/>
        <v>6348.1538431641993</v>
      </c>
      <c r="FQ48" s="9">
        <f t="shared" ref="FQ48:IB48" si="171">FP48*(1+$AU$59)</f>
        <v>6284.6723047325577</v>
      </c>
      <c r="FR48" s="9">
        <f t="shared" si="171"/>
        <v>6221.8255816852325</v>
      </c>
      <c r="FS48" s="9">
        <f t="shared" si="171"/>
        <v>6159.60732586838</v>
      </c>
      <c r="FT48" s="9">
        <f t="shared" si="171"/>
        <v>6098.0112526096964</v>
      </c>
      <c r="FU48" s="9">
        <f t="shared" si="171"/>
        <v>6037.031140083599</v>
      </c>
      <c r="FV48" s="9">
        <f t="shared" si="171"/>
        <v>5976.6608286827632</v>
      </c>
      <c r="FW48" s="9">
        <f t="shared" si="171"/>
        <v>5916.8942203959359</v>
      </c>
      <c r="FX48" s="9">
        <f t="shared" si="171"/>
        <v>5857.7252781919769</v>
      </c>
      <c r="FY48" s="9">
        <f t="shared" si="171"/>
        <v>5799.148025410057</v>
      </c>
      <c r="FZ48" s="9">
        <f t="shared" si="171"/>
        <v>5741.1565451559563</v>
      </c>
      <c r="GA48" s="9">
        <f t="shared" si="171"/>
        <v>5683.7449797043964</v>
      </c>
      <c r="GB48" s="9">
        <f t="shared" si="171"/>
        <v>5626.907529907352</v>
      </c>
      <c r="GC48" s="9">
        <f t="shared" si="171"/>
        <v>5570.6384546082782</v>
      </c>
      <c r="GD48" s="9">
        <f t="shared" si="171"/>
        <v>5514.9320700621956</v>
      </c>
      <c r="GE48" s="9">
        <f t="shared" si="171"/>
        <v>5459.7827493615732</v>
      </c>
      <c r="GF48" s="9">
        <f t="shared" si="171"/>
        <v>5405.1849218679572</v>
      </c>
      <c r="GG48" s="9">
        <f t="shared" si="171"/>
        <v>5351.1330726492779</v>
      </c>
      <c r="GH48" s="9">
        <f t="shared" si="171"/>
        <v>5297.6217419227851</v>
      </c>
      <c r="GI48" s="9">
        <f t="shared" si="171"/>
        <v>5244.6455245035568</v>
      </c>
      <c r="GJ48" s="9">
        <f t="shared" si="171"/>
        <v>5192.1990692585214</v>
      </c>
      <c r="GK48" s="9">
        <f t="shared" si="171"/>
        <v>5140.2770785659359</v>
      </c>
      <c r="GL48" s="9">
        <f t="shared" si="171"/>
        <v>5088.8743077802765</v>
      </c>
      <c r="GM48" s="9">
        <f t="shared" si="171"/>
        <v>5037.9855647024733</v>
      </c>
      <c r="GN48" s="9">
        <f t="shared" si="171"/>
        <v>4987.6057090554486</v>
      </c>
      <c r="GO48" s="9">
        <f t="shared" si="171"/>
        <v>4937.7296519648944</v>
      </c>
      <c r="GP48" s="9">
        <f t="shared" si="171"/>
        <v>4888.3523554452458</v>
      </c>
      <c r="GQ48" s="9">
        <f t="shared" si="171"/>
        <v>4839.4688318907929</v>
      </c>
      <c r="GR48" s="9">
        <f t="shared" si="171"/>
        <v>4791.0741435718846</v>
      </c>
      <c r="GS48" s="9">
        <f t="shared" si="171"/>
        <v>4743.163402136166</v>
      </c>
      <c r="GT48" s="9">
        <f t="shared" si="171"/>
        <v>4695.7317681148043</v>
      </c>
      <c r="GU48" s="9">
        <f t="shared" si="171"/>
        <v>4648.7744504336561</v>
      </c>
      <c r="GV48" s="9">
        <f t="shared" si="171"/>
        <v>4602.2867059293194</v>
      </c>
      <c r="GW48" s="9">
        <f t="shared" si="171"/>
        <v>4556.2638388700261</v>
      </c>
      <c r="GX48" s="9">
        <f t="shared" si="171"/>
        <v>4510.7012004813259</v>
      </c>
      <c r="GY48" s="9">
        <f t="shared" si="171"/>
        <v>4465.5941884765125</v>
      </c>
      <c r="GZ48" s="9">
        <f t="shared" si="171"/>
        <v>4420.938246591747</v>
      </c>
      <c r="HA48" s="9">
        <f t="shared" si="171"/>
        <v>4376.7288641258292</v>
      </c>
      <c r="HB48" s="9">
        <f t="shared" si="171"/>
        <v>4332.9615754845709</v>
      </c>
      <c r="HC48" s="9">
        <f t="shared" si="171"/>
        <v>4289.6319597297252</v>
      </c>
      <c r="HD48" s="9">
        <f t="shared" si="171"/>
        <v>4246.7356401324278</v>
      </c>
      <c r="HE48" s="9">
        <f t="shared" si="171"/>
        <v>4204.2682837311031</v>
      </c>
      <c r="HF48" s="9">
        <f t="shared" si="171"/>
        <v>4162.225600893792</v>
      </c>
      <c r="HG48" s="9">
        <f t="shared" si="171"/>
        <v>4120.6033448848539</v>
      </c>
      <c r="HH48" s="9">
        <f t="shared" si="171"/>
        <v>4079.3973114360051</v>
      </c>
      <c r="HI48" s="9">
        <f t="shared" si="171"/>
        <v>4038.603338321645</v>
      </c>
      <c r="HJ48" s="9">
        <f t="shared" si="171"/>
        <v>3998.2173049384287</v>
      </c>
      <c r="HK48" s="9">
        <f t="shared" si="171"/>
        <v>3958.2351318890442</v>
      </c>
      <c r="HL48" s="9">
        <f t="shared" si="171"/>
        <v>3918.6527805701535</v>
      </c>
      <c r="HM48" s="9">
        <f t="shared" si="171"/>
        <v>3879.4662527644518</v>
      </c>
      <c r="HN48" s="9">
        <f t="shared" si="171"/>
        <v>3840.6715902368073</v>
      </c>
      <c r="HO48" s="9">
        <f t="shared" si="171"/>
        <v>3802.2648743344394</v>
      </c>
      <c r="HP48" s="9">
        <f t="shared" si="171"/>
        <v>3764.2422255910951</v>
      </c>
      <c r="HQ48" s="9">
        <f t="shared" si="171"/>
        <v>3726.5998033351843</v>
      </c>
      <c r="HR48" s="9">
        <f t="shared" si="171"/>
        <v>3689.3338053018324</v>
      </c>
      <c r="HS48" s="9">
        <f t="shared" si="171"/>
        <v>3652.440467248814</v>
      </c>
      <c r="HT48" s="9">
        <f t="shared" si="171"/>
        <v>3615.9160625763257</v>
      </c>
      <c r="HU48" s="9">
        <f t="shared" si="171"/>
        <v>3579.7569019505622</v>
      </c>
      <c r="HV48" s="9">
        <f t="shared" si="171"/>
        <v>3543.9593329310565</v>
      </c>
      <c r="HW48" s="9">
        <f t="shared" si="171"/>
        <v>3508.5197396017456</v>
      </c>
      <c r="HX48" s="9">
        <f t="shared" si="171"/>
        <v>3473.4345422057281</v>
      </c>
      <c r="HY48" s="9">
        <f t="shared" si="171"/>
        <v>3438.7001967836709</v>
      </c>
      <c r="HZ48" s="9">
        <f t="shared" si="171"/>
        <v>3404.3131948158343</v>
      </c>
      <c r="IA48" s="9">
        <f t="shared" si="171"/>
        <v>3370.2700628676757</v>
      </c>
      <c r="IB48" s="9">
        <f t="shared" si="171"/>
        <v>3336.5673622389991</v>
      </c>
      <c r="IC48" s="9">
        <f t="shared" ref="IC48:KN48" si="172">IB48*(1+$AU$59)</f>
        <v>3303.2016886166089</v>
      </c>
      <c r="ID48" s="9">
        <f t="shared" si="172"/>
        <v>3270.1696717304426</v>
      </c>
      <c r="IE48" s="9">
        <f t="shared" si="172"/>
        <v>3237.4679750131381</v>
      </c>
      <c r="IF48" s="9">
        <f t="shared" si="172"/>
        <v>3205.0932952630069</v>
      </c>
      <c r="IG48" s="9">
        <f t="shared" si="172"/>
        <v>3173.0423623103766</v>
      </c>
      <c r="IH48" s="9">
        <f t="shared" si="172"/>
        <v>3141.3119386872727</v>
      </c>
      <c r="II48" s="9">
        <f t="shared" si="172"/>
        <v>3109.8988193003997</v>
      </c>
      <c r="IJ48" s="9">
        <f t="shared" si="172"/>
        <v>3078.7998311073957</v>
      </c>
      <c r="IK48" s="9">
        <f t="shared" si="172"/>
        <v>3048.0118327963219</v>
      </c>
      <c r="IL48" s="9">
        <f t="shared" si="172"/>
        <v>3017.5317144683586</v>
      </c>
      <c r="IM48" s="9">
        <f t="shared" si="172"/>
        <v>2987.3563973236751</v>
      </c>
      <c r="IN48" s="9">
        <f t="shared" si="172"/>
        <v>2957.4828333504383</v>
      </c>
      <c r="IO48" s="9">
        <f t="shared" si="172"/>
        <v>2927.9080050169341</v>
      </c>
      <c r="IP48" s="9">
        <f t="shared" si="172"/>
        <v>2898.6289249667648</v>
      </c>
      <c r="IQ48" s="9">
        <f t="shared" si="172"/>
        <v>2869.6426357170972</v>
      </c>
      <c r="IR48" s="9">
        <f t="shared" si="172"/>
        <v>2840.9462093599263</v>
      </c>
      <c r="IS48" s="9">
        <f t="shared" si="172"/>
        <v>2812.536747266327</v>
      </c>
      <c r="IT48" s="9">
        <f t="shared" si="172"/>
        <v>2784.4113797936639</v>
      </c>
      <c r="IU48" s="9">
        <f t="shared" si="172"/>
        <v>2756.5672659957272</v>
      </c>
      <c r="IV48" s="9">
        <f t="shared" si="172"/>
        <v>2729.0015933357699</v>
      </c>
      <c r="IW48" s="9">
        <f t="shared" si="172"/>
        <v>2701.7115774024123</v>
      </c>
      <c r="IX48" s="9">
        <f t="shared" si="172"/>
        <v>2674.6944616283881</v>
      </c>
      <c r="IY48" s="9">
        <f t="shared" si="172"/>
        <v>2647.9475170121041</v>
      </c>
      <c r="IZ48" s="9">
        <f t="shared" si="172"/>
        <v>2621.468041841983</v>
      </c>
      <c r="JA48" s="9">
        <f t="shared" si="172"/>
        <v>2595.2533614235631</v>
      </c>
      <c r="JB48" s="9">
        <f t="shared" si="172"/>
        <v>2569.3008278093275</v>
      </c>
      <c r="JC48" s="9">
        <f t="shared" si="172"/>
        <v>2543.6078195312343</v>
      </c>
      <c r="JD48" s="9">
        <f t="shared" si="172"/>
        <v>2518.171741335922</v>
      </c>
      <c r="JE48" s="9">
        <f t="shared" si="172"/>
        <v>2492.9900239225626</v>
      </c>
      <c r="JF48" s="9">
        <f t="shared" si="172"/>
        <v>2468.0601236833368</v>
      </c>
      <c r="JG48" s="9">
        <f t="shared" si="172"/>
        <v>2443.3795224465034</v>
      </c>
      <c r="JH48" s="9">
        <f t="shared" si="172"/>
        <v>2418.9457272220384</v>
      </c>
      <c r="JI48" s="9">
        <f t="shared" si="172"/>
        <v>2394.756269949818</v>
      </c>
      <c r="JJ48" s="9">
        <f t="shared" si="172"/>
        <v>2370.8087072503199</v>
      </c>
      <c r="JK48" s="9">
        <f t="shared" si="172"/>
        <v>2347.1006201778168</v>
      </c>
      <c r="JL48" s="9">
        <f t="shared" si="172"/>
        <v>2323.6296139760389</v>
      </c>
      <c r="JM48" s="9">
        <f t="shared" si="172"/>
        <v>2300.3933178362786</v>
      </c>
      <c r="JN48" s="9">
        <f t="shared" si="172"/>
        <v>2277.3893846579158</v>
      </c>
      <c r="JO48" s="9">
        <f t="shared" si="172"/>
        <v>2254.6154908113367</v>
      </c>
      <c r="JP48" s="9">
        <f t="shared" si="172"/>
        <v>2232.0693359032234</v>
      </c>
      <c r="JQ48" s="9">
        <f t="shared" si="172"/>
        <v>2209.7486425441912</v>
      </c>
      <c r="JR48" s="9">
        <f t="shared" si="172"/>
        <v>2187.6511561187494</v>
      </c>
      <c r="JS48" s="9">
        <f t="shared" si="172"/>
        <v>2165.7746445575617</v>
      </c>
      <c r="JT48" s="9">
        <f t="shared" si="172"/>
        <v>2144.1168981119863</v>
      </c>
      <c r="JU48" s="9">
        <f t="shared" si="172"/>
        <v>2122.6757291308663</v>
      </c>
      <c r="JV48" s="9">
        <f t="shared" si="172"/>
        <v>2101.4489718395575</v>
      </c>
      <c r="JW48" s="9">
        <f t="shared" si="172"/>
        <v>2080.4344821211621</v>
      </c>
      <c r="JX48" s="9">
        <f t="shared" si="172"/>
        <v>2059.6301372999505</v>
      </c>
      <c r="JY48" s="9">
        <f t="shared" si="172"/>
        <v>2039.033835926951</v>
      </c>
      <c r="JZ48" s="9">
        <f t="shared" si="172"/>
        <v>2018.6434975676816</v>
      </c>
      <c r="KA48" s="9">
        <f t="shared" si="172"/>
        <v>1998.4570625920048</v>
      </c>
      <c r="KB48" s="9">
        <f t="shared" si="172"/>
        <v>1978.4724919660848</v>
      </c>
      <c r="KC48" s="9">
        <f t="shared" si="172"/>
        <v>1958.6877670464239</v>
      </c>
      <c r="KD48" s="9">
        <f t="shared" si="172"/>
        <v>1939.1008893759597</v>
      </c>
      <c r="KE48" s="9">
        <f t="shared" si="172"/>
        <v>1919.7098804822001</v>
      </c>
      <c r="KF48" s="9">
        <f t="shared" si="172"/>
        <v>1900.5127816773781</v>
      </c>
      <c r="KG48" s="9">
        <f t="shared" si="172"/>
        <v>1881.5076538606043</v>
      </c>
      <c r="KH48" s="9">
        <f t="shared" si="172"/>
        <v>1862.6925773219982</v>
      </c>
      <c r="KI48" s="9">
        <f t="shared" si="172"/>
        <v>1844.0656515487783</v>
      </c>
      <c r="KJ48" s="9">
        <f t="shared" si="172"/>
        <v>1825.6249950332906</v>
      </c>
      <c r="KK48" s="9">
        <f t="shared" si="172"/>
        <v>1807.3687450829577</v>
      </c>
      <c r="KL48" s="9">
        <f t="shared" si="172"/>
        <v>1789.2950576321282</v>
      </c>
      <c r="KM48" s="9">
        <f t="shared" si="172"/>
        <v>1771.4021070558069</v>
      </c>
      <c r="KN48" s="9">
        <f t="shared" si="172"/>
        <v>1753.6880859852488</v>
      </c>
      <c r="KO48" s="9">
        <f t="shared" ref="KO48:MZ48" si="173">KN48*(1+$AU$59)</f>
        <v>1736.1512051253962</v>
      </c>
      <c r="KP48" s="9">
        <f t="shared" si="173"/>
        <v>1718.7896930741422</v>
      </c>
      <c r="KQ48" s="9">
        <f t="shared" si="173"/>
        <v>1701.6017961434006</v>
      </c>
      <c r="KR48" s="9">
        <f t="shared" si="173"/>
        <v>1684.5857781819666</v>
      </c>
      <c r="KS48" s="9">
        <f t="shared" si="173"/>
        <v>1667.739920400147</v>
      </c>
      <c r="KT48" s="9">
        <f t="shared" si="173"/>
        <v>1651.0625211961456</v>
      </c>
      <c r="KU48" s="9">
        <f t="shared" si="173"/>
        <v>1634.5518959841841</v>
      </c>
      <c r="KV48" s="9">
        <f t="shared" si="173"/>
        <v>1618.2063770243421</v>
      </c>
      <c r="KW48" s="9">
        <f t="shared" si="173"/>
        <v>1602.0243132540986</v>
      </c>
      <c r="KX48" s="9">
        <f t="shared" si="173"/>
        <v>1586.0040701215576</v>
      </c>
      <c r="KY48" s="9">
        <f t="shared" si="173"/>
        <v>1570.1440294203419</v>
      </c>
      <c r="KZ48" s="9">
        <f t="shared" si="173"/>
        <v>1554.4425891261385</v>
      </c>
      <c r="LA48" s="9">
        <f t="shared" si="173"/>
        <v>1538.8981632348771</v>
      </c>
      <c r="LB48" s="9">
        <f t="shared" si="173"/>
        <v>1523.5091816025283</v>
      </c>
      <c r="LC48" s="9">
        <f t="shared" si="173"/>
        <v>1508.2740897865031</v>
      </c>
      <c r="LD48" s="9">
        <f t="shared" si="173"/>
        <v>1493.191348888638</v>
      </c>
      <c r="LE48" s="9">
        <f t="shared" si="173"/>
        <v>1478.2594353997515</v>
      </c>
      <c r="LF48" s="9">
        <f t="shared" si="173"/>
        <v>1463.4768410457539</v>
      </c>
      <c r="LG48" s="9">
        <f t="shared" si="173"/>
        <v>1448.8420726352963</v>
      </c>
      <c r="LH48" s="9">
        <f t="shared" si="173"/>
        <v>1434.3536519089432</v>
      </c>
      <c r="LI48" s="9">
        <f t="shared" si="173"/>
        <v>1420.0101153898538</v>
      </c>
      <c r="LJ48" s="9">
        <f t="shared" si="173"/>
        <v>1405.8100142359554</v>
      </c>
      <c r="LK48" s="9">
        <f t="shared" si="173"/>
        <v>1391.7519140935958</v>
      </c>
      <c r="LL48" s="9">
        <f t="shared" si="173"/>
        <v>1377.8343949526597</v>
      </c>
      <c r="LM48" s="9">
        <f t="shared" si="173"/>
        <v>1364.0560510031332</v>
      </c>
      <c r="LN48" s="9">
        <f t="shared" si="173"/>
        <v>1350.415490493102</v>
      </c>
      <c r="LO48" s="9">
        <f t="shared" si="173"/>
        <v>1336.9113355881709</v>
      </c>
      <c r="LP48" s="9">
        <f t="shared" si="173"/>
        <v>1323.5422222322893</v>
      </c>
      <c r="LQ48" s="9">
        <f t="shared" si="173"/>
        <v>1310.3068000099663</v>
      </c>
      <c r="LR48" s="9">
        <f t="shared" si="173"/>
        <v>1297.2037320098666</v>
      </c>
      <c r="LS48" s="9">
        <f t="shared" si="173"/>
        <v>1284.2316946897679</v>
      </c>
      <c r="LT48" s="9">
        <f t="shared" si="173"/>
        <v>1271.3893777428702</v>
      </c>
      <c r="LU48" s="9">
        <f t="shared" si="173"/>
        <v>1258.6754839654416</v>
      </c>
      <c r="LV48" s="9">
        <f t="shared" si="173"/>
        <v>1246.088729125787</v>
      </c>
      <c r="LW48" s="9">
        <f t="shared" si="173"/>
        <v>1233.6278418345291</v>
      </c>
      <c r="LX48" s="9">
        <f t="shared" si="173"/>
        <v>1221.2915634161839</v>
      </c>
      <c r="LY48" s="9">
        <f t="shared" si="173"/>
        <v>1209.078647782022</v>
      </c>
      <c r="LZ48" s="9">
        <f t="shared" si="173"/>
        <v>1196.9878613042017</v>
      </c>
      <c r="MA48" s="9">
        <f t="shared" si="173"/>
        <v>1185.0179826911597</v>
      </c>
      <c r="MB48" s="9">
        <f t="shared" si="173"/>
        <v>1173.167802864248</v>
      </c>
      <c r="MC48" s="9">
        <f t="shared" si="173"/>
        <v>1161.4361248356054</v>
      </c>
      <c r="MD48" s="9">
        <f t="shared" si="173"/>
        <v>1149.8217635872493</v>
      </c>
      <c r="ME48" s="9">
        <f t="shared" si="173"/>
        <v>1138.3235459513767</v>
      </c>
      <c r="MF48" s="9">
        <f t="shared" si="173"/>
        <v>1126.9403104918629</v>
      </c>
      <c r="MG48" s="9">
        <f t="shared" si="173"/>
        <v>1115.6709073869442</v>
      </c>
      <c r="MH48" s="9">
        <f t="shared" si="173"/>
        <v>1104.5141983130748</v>
      </c>
      <c r="MI48" s="9">
        <f t="shared" si="173"/>
        <v>1093.4690563299439</v>
      </c>
      <c r="MJ48" s="9">
        <f t="shared" si="173"/>
        <v>1082.5343657666444</v>
      </c>
      <c r="MK48" s="9">
        <f t="shared" si="173"/>
        <v>1071.7090221089779</v>
      </c>
      <c r="ML48" s="9">
        <f t="shared" si="173"/>
        <v>1060.9919318878881</v>
      </c>
      <c r="MM48" s="9">
        <f t="shared" si="173"/>
        <v>1050.3820125690092</v>
      </c>
      <c r="MN48" s="9">
        <f t="shared" si="173"/>
        <v>1039.8781924433192</v>
      </c>
      <c r="MO48" s="9">
        <f t="shared" si="173"/>
        <v>1029.479410518886</v>
      </c>
      <c r="MP48" s="9">
        <f t="shared" si="173"/>
        <v>1019.1846164136971</v>
      </c>
      <c r="MQ48" s="9">
        <f t="shared" si="173"/>
        <v>1008.9927702495601</v>
      </c>
      <c r="MR48" s="9">
        <f t="shared" si="173"/>
        <v>998.90284254706444</v>
      </c>
      <c r="MS48" s="9">
        <f t="shared" si="173"/>
        <v>988.91381412159376</v>
      </c>
      <c r="MT48" s="9">
        <f t="shared" si="173"/>
        <v>979.02467598037776</v>
      </c>
      <c r="MU48" s="9">
        <f t="shared" si="173"/>
        <v>969.23442922057393</v>
      </c>
      <c r="MV48" s="9">
        <f t="shared" si="173"/>
        <v>959.54208492836813</v>
      </c>
      <c r="MW48" s="9">
        <f t="shared" si="173"/>
        <v>949.94666407908448</v>
      </c>
      <c r="MX48" s="9">
        <f t="shared" si="173"/>
        <v>940.44719743829364</v>
      </c>
      <c r="MY48" s="9">
        <f t="shared" si="173"/>
        <v>931.04272546391064</v>
      </c>
      <c r="MZ48" s="9">
        <f t="shared" si="173"/>
        <v>921.73229820927156</v>
      </c>
      <c r="NA48" s="9">
        <f t="shared" ref="NA48:PL48" si="174">MZ48*(1+$AU$59)</f>
        <v>912.51497522717887</v>
      </c>
      <c r="NB48" s="9">
        <f t="shared" si="174"/>
        <v>903.38982547490707</v>
      </c>
      <c r="NC48" s="9">
        <f t="shared" si="174"/>
        <v>894.35592722015804</v>
      </c>
      <c r="ND48" s="9">
        <f t="shared" si="174"/>
        <v>885.41236794795645</v>
      </c>
      <c r="NE48" s="9">
        <f t="shared" si="174"/>
        <v>876.55824426847687</v>
      </c>
      <c r="NF48" s="9">
        <f t="shared" si="174"/>
        <v>867.79266182579204</v>
      </c>
      <c r="NG48" s="9">
        <f t="shared" si="174"/>
        <v>859.11473520753407</v>
      </c>
      <c r="NH48" s="9">
        <f t="shared" si="174"/>
        <v>850.52358785545869</v>
      </c>
      <c r="NI48" s="9">
        <f t="shared" si="174"/>
        <v>842.01835197690411</v>
      </c>
      <c r="NJ48" s="9">
        <f t="shared" si="174"/>
        <v>833.5981684571351</v>
      </c>
      <c r="NK48" s="9">
        <f t="shared" si="174"/>
        <v>825.26218677256372</v>
      </c>
      <c r="NL48" s="9">
        <f t="shared" si="174"/>
        <v>817.00956490483804</v>
      </c>
      <c r="NM48" s="9">
        <f t="shared" si="174"/>
        <v>808.83946925578971</v>
      </c>
      <c r="NN48" s="9">
        <f t="shared" si="174"/>
        <v>800.75107456323178</v>
      </c>
      <c r="NO48" s="9">
        <f t="shared" si="174"/>
        <v>792.74356381759947</v>
      </c>
      <c r="NP48" s="9">
        <f t="shared" si="174"/>
        <v>784.81612817942346</v>
      </c>
      <c r="NQ48" s="9">
        <f t="shared" si="174"/>
        <v>776.96796689762925</v>
      </c>
      <c r="NR48" s="9">
        <f t="shared" si="174"/>
        <v>769.19828722865293</v>
      </c>
      <c r="NS48" s="9">
        <f t="shared" si="174"/>
        <v>761.5063043563664</v>
      </c>
      <c r="NT48" s="9">
        <f t="shared" si="174"/>
        <v>753.89124131280278</v>
      </c>
      <c r="NU48" s="9">
        <f t="shared" si="174"/>
        <v>746.35232889967472</v>
      </c>
      <c r="NV48" s="9">
        <f t="shared" si="174"/>
        <v>738.88880561067799</v>
      </c>
      <c r="NW48" s="9">
        <f t="shared" si="174"/>
        <v>731.4999175545712</v>
      </c>
      <c r="NX48" s="9">
        <f t="shared" si="174"/>
        <v>724.18491837902548</v>
      </c>
      <c r="NY48" s="9">
        <f t="shared" si="174"/>
        <v>716.94306919523524</v>
      </c>
      <c r="NZ48" s="9">
        <f t="shared" si="174"/>
        <v>709.77363850328288</v>
      </c>
      <c r="OA48" s="9">
        <f t="shared" si="174"/>
        <v>702.67590211825006</v>
      </c>
      <c r="OB48" s="9">
        <f t="shared" si="174"/>
        <v>695.64914309706751</v>
      </c>
      <c r="OC48" s="9">
        <f t="shared" si="174"/>
        <v>688.69265166609682</v>
      </c>
      <c r="OD48" s="9">
        <f t="shared" si="174"/>
        <v>681.80572514943583</v>
      </c>
      <c r="OE48" s="9">
        <f t="shared" si="174"/>
        <v>674.98766789794149</v>
      </c>
      <c r="OF48" s="9">
        <f t="shared" si="174"/>
        <v>668.23779121896212</v>
      </c>
      <c r="OG48" s="9">
        <f t="shared" si="174"/>
        <v>661.55541330677249</v>
      </c>
      <c r="OH48" s="9">
        <f t="shared" si="174"/>
        <v>654.9398591737048</v>
      </c>
      <c r="OI48" s="9">
        <f t="shared" si="174"/>
        <v>648.39046058196777</v>
      </c>
      <c r="OJ48" s="9">
        <f t="shared" si="174"/>
        <v>641.90655597614807</v>
      </c>
      <c r="OK48" s="9">
        <f t="shared" si="174"/>
        <v>635.48749041638655</v>
      </c>
      <c r="OL48" s="9">
        <f t="shared" si="174"/>
        <v>629.13261551222263</v>
      </c>
      <c r="OM48" s="9">
        <f t="shared" si="174"/>
        <v>622.84128935710044</v>
      </c>
      <c r="ON48" s="9">
        <f t="shared" si="174"/>
        <v>616.61287646352946</v>
      </c>
      <c r="OO48" s="9">
        <f t="shared" si="174"/>
        <v>610.44674769889411</v>
      </c>
      <c r="OP48" s="9">
        <f t="shared" si="174"/>
        <v>604.34228022190518</v>
      </c>
      <c r="OQ48" s="9">
        <f t="shared" si="174"/>
        <v>598.2988574196861</v>
      </c>
      <c r="OR48" s="9">
        <f t="shared" si="174"/>
        <v>592.31586884548926</v>
      </c>
      <c r="OS48" s="9">
        <f t="shared" si="174"/>
        <v>586.39271015703434</v>
      </c>
      <c r="OT48" s="9">
        <f t="shared" si="174"/>
        <v>580.52878305546403</v>
      </c>
      <c r="OU48" s="9">
        <f t="shared" si="174"/>
        <v>574.72349522490936</v>
      </c>
      <c r="OV48" s="9">
        <f t="shared" si="174"/>
        <v>568.97626027266028</v>
      </c>
      <c r="OW48" s="9">
        <f t="shared" si="174"/>
        <v>563.28649766993362</v>
      </c>
      <c r="OX48" s="9">
        <f t="shared" si="174"/>
        <v>557.65363269323427</v>
      </c>
      <c r="OY48" s="9">
        <f t="shared" si="174"/>
        <v>552.07709636630193</v>
      </c>
      <c r="OZ48" s="9">
        <f t="shared" si="174"/>
        <v>546.55632540263889</v>
      </c>
      <c r="PA48" s="9">
        <f t="shared" si="174"/>
        <v>541.0907621486125</v>
      </c>
      <c r="PB48" s="9">
        <f t="shared" si="174"/>
        <v>535.67985452712639</v>
      </c>
      <c r="PC48" s="9">
        <f t="shared" si="174"/>
        <v>530.32305598185508</v>
      </c>
      <c r="PD48" s="9">
        <f t="shared" si="174"/>
        <v>525.01982542203655</v>
      </c>
      <c r="PE48" s="9">
        <f t="shared" si="174"/>
        <v>519.76962716781622</v>
      </c>
      <c r="PF48" s="9">
        <f t="shared" si="174"/>
        <v>514.57193089613804</v>
      </c>
      <c r="PG48" s="9">
        <f t="shared" si="174"/>
        <v>509.42621158717668</v>
      </c>
      <c r="PH48" s="9">
        <f t="shared" si="174"/>
        <v>504.33194947130494</v>
      </c>
      <c r="PI48" s="9">
        <f t="shared" si="174"/>
        <v>499.28862997659189</v>
      </c>
      <c r="PJ48" s="9">
        <f t="shared" si="174"/>
        <v>494.29574367682596</v>
      </c>
      <c r="PK48" s="9">
        <f t="shared" si="174"/>
        <v>489.3527862400577</v>
      </c>
      <c r="PL48" s="9">
        <f t="shared" si="174"/>
        <v>484.45925837765714</v>
      </c>
      <c r="PM48" s="9">
        <f t="shared" ref="PM48:PT48" si="175">PL48*(1+$AU$59)</f>
        <v>479.61466579388053</v>
      </c>
      <c r="PN48" s="9">
        <f t="shared" si="175"/>
        <v>474.8185191359417</v>
      </c>
      <c r="PO48" s="9">
        <f t="shared" si="175"/>
        <v>470.07033394458227</v>
      </c>
      <c r="PP48" s="9">
        <f t="shared" si="175"/>
        <v>465.36963060513642</v>
      </c>
      <c r="PQ48" s="9">
        <f t="shared" si="175"/>
        <v>460.71593429908506</v>
      </c>
      <c r="PR48" s="9">
        <f t="shared" si="175"/>
        <v>456.10877495609418</v>
      </c>
      <c r="PS48" s="9">
        <f t="shared" si="175"/>
        <v>451.54768720653323</v>
      </c>
      <c r="PT48" s="9">
        <f t="shared" si="175"/>
        <v>447.03221033446789</v>
      </c>
    </row>
    <row r="49" spans="2:50" x14ac:dyDescent="0.25">
      <c r="B49" s="24" t="s">
        <v>3</v>
      </c>
      <c r="C49" s="2">
        <v>3047</v>
      </c>
      <c r="D49" s="2">
        <v>3021</v>
      </c>
      <c r="E49" s="2">
        <v>2996</v>
      </c>
      <c r="F49" s="2">
        <v>2978</v>
      </c>
      <c r="G49" s="2">
        <v>2967</v>
      </c>
      <c r="H49" s="2">
        <v>2960</v>
      </c>
      <c r="I49" s="2">
        <v>2941</v>
      </c>
      <c r="J49" s="2">
        <v>2914</v>
      </c>
      <c r="K49" s="2">
        <v>2886</v>
      </c>
      <c r="L49" s="2">
        <v>2869</v>
      </c>
      <c r="M49" s="2">
        <v>2861</v>
      </c>
      <c r="N49" s="2">
        <v>2855</v>
      </c>
      <c r="O49" s="2">
        <v>2849</v>
      </c>
      <c r="P49" s="2">
        <v>2848</v>
      </c>
      <c r="Q49" s="2">
        <v>2849</v>
      </c>
      <c r="R49" s="2">
        <v>2826</v>
      </c>
      <c r="S49" s="2">
        <v>2829</v>
      </c>
      <c r="T49" s="2">
        <v>2812</v>
      </c>
      <c r="U49" s="2">
        <v>2797</v>
      </c>
      <c r="V49" s="2">
        <v>2782</v>
      </c>
      <c r="W49" s="2">
        <v>2765</v>
      </c>
      <c r="X49" s="2">
        <v>2745</v>
      </c>
      <c r="Y49" s="2">
        <v>2711</v>
      </c>
      <c r="Z49" s="2">
        <v>2707</v>
      </c>
      <c r="AA49" s="2">
        <v>2704</v>
      </c>
      <c r="AB49" s="2">
        <f>X49*0.98</f>
        <v>2690.1</v>
      </c>
      <c r="AC49" s="2">
        <f t="shared" ref="AC49:AD49" si="176">Y49*0.98</f>
        <v>2656.7799999999997</v>
      </c>
      <c r="AD49" s="2">
        <f t="shared" si="176"/>
        <v>2652.86</v>
      </c>
      <c r="AH49" s="2">
        <f>F49</f>
        <v>2978</v>
      </c>
      <c r="AI49" s="2">
        <f>J49</f>
        <v>2914</v>
      </c>
      <c r="AJ49" s="2">
        <f>N49</f>
        <v>2855</v>
      </c>
      <c r="AK49" s="2">
        <f>R49</f>
        <v>2826</v>
      </c>
      <c r="AL49" s="2">
        <f>V49</f>
        <v>2782</v>
      </c>
      <c r="AM49" s="2">
        <f>Z49</f>
        <v>2707</v>
      </c>
      <c r="AN49" s="2">
        <f>AD49</f>
        <v>2652.86</v>
      </c>
      <c r="AO49" s="2">
        <f t="shared" ref="AO49" si="177">AN49*0.99</f>
        <v>2626.3314</v>
      </c>
      <c r="AP49" s="2">
        <f t="shared" ref="AP49" si="178">AO49*0.99</f>
        <v>2600.0680860000002</v>
      </c>
      <c r="AQ49" s="2">
        <f t="shared" ref="AQ49" si="179">AP49*0.99</f>
        <v>2574.0674051400001</v>
      </c>
    </row>
    <row r="50" spans="2:50" x14ac:dyDescent="0.25">
      <c r="B50" s="24" t="s">
        <v>30</v>
      </c>
      <c r="C50" s="10">
        <f>C48/C49</f>
        <v>0.99737446668854612</v>
      </c>
      <c r="D50" s="10">
        <f>D48/D49</f>
        <v>0.95961602118503808</v>
      </c>
      <c r="E50" s="10">
        <f>E48/E49</f>
        <v>0.58377837116154874</v>
      </c>
      <c r="F50" s="10">
        <f>F48/F49</f>
        <v>0.73035594358629952</v>
      </c>
      <c r="G50" s="10">
        <f t="shared" ref="G50:H50" si="180">G48/G49</f>
        <v>0.71924502864846651</v>
      </c>
      <c r="H50" s="10">
        <f t="shared" si="180"/>
        <v>-0.29087837837837838</v>
      </c>
      <c r="I50" s="10">
        <f t="shared" ref="I50:P50" si="181">I48/I49</f>
        <v>0.58143488609316563</v>
      </c>
      <c r="J50" s="10">
        <f t="shared" si="181"/>
        <v>1.2652711050102952</v>
      </c>
      <c r="K50" s="10">
        <f t="shared" si="181"/>
        <v>1.3312543312543312</v>
      </c>
      <c r="L50" s="10">
        <f t="shared" si="181"/>
        <v>1.2582781456953642</v>
      </c>
      <c r="M50" s="10">
        <f t="shared" si="181"/>
        <v>1.1492485145054177</v>
      </c>
      <c r="N50" s="10">
        <f t="shared" si="181"/>
        <v>1.4504378283712784</v>
      </c>
      <c r="O50" s="10">
        <f t="shared" si="181"/>
        <v>1.4004914004914004</v>
      </c>
      <c r="P50" s="10">
        <f t="shared" si="181"/>
        <v>2.273876404494382</v>
      </c>
      <c r="Q50" s="10">
        <f t="shared" ref="Q50:AD50" si="182">Q48/Q49</f>
        <v>1.8023868023868024</v>
      </c>
      <c r="R50" s="10">
        <f t="shared" si="182"/>
        <v>-0.73991507430997872</v>
      </c>
      <c r="S50" s="10">
        <f t="shared" si="182"/>
        <v>0.96500530222693526</v>
      </c>
      <c r="T50" s="10">
        <f t="shared" si="182"/>
        <v>1.5206258890469417</v>
      </c>
      <c r="U50" s="10">
        <f t="shared" si="182"/>
        <v>1.1101179835538078</v>
      </c>
      <c r="V50" s="10">
        <f t="shared" si="182"/>
        <v>1.280373831775701</v>
      </c>
      <c r="W50" s="10">
        <f t="shared" si="182"/>
        <v>0.74285714285714288</v>
      </c>
      <c r="X50" s="10">
        <f t="shared" si="182"/>
        <v>1.8757741347905281</v>
      </c>
      <c r="Y50" s="10">
        <f t="shared" si="182"/>
        <v>-0.6632239026189598</v>
      </c>
      <c r="Z50" s="10">
        <f t="shared" si="182"/>
        <v>2.3180642777983005</v>
      </c>
      <c r="AA50" s="10">
        <f t="shared" si="182"/>
        <v>0.61871301775147924</v>
      </c>
      <c r="AB50" s="10">
        <f t="shared" si="182"/>
        <v>1.4457001598453623</v>
      </c>
      <c r="AC50" s="10">
        <f t="shared" si="182"/>
        <v>-0.74007708579558573</v>
      </c>
      <c r="AD50" s="10">
        <f t="shared" si="182"/>
        <v>2.2021799114917444</v>
      </c>
      <c r="AH50" s="10">
        <f>AH48/AH49</f>
        <v>3.3116185359301546</v>
      </c>
      <c r="AI50" s="10">
        <f>AI48/AI49</f>
        <v>2.2889498970487301</v>
      </c>
      <c r="AJ50" s="10">
        <f>AJ48/AJ49</f>
        <v>36.640630472854639</v>
      </c>
      <c r="AK50" s="10">
        <f>AK48/AK49</f>
        <v>4.780608634111819</v>
      </c>
      <c r="AL50" s="10">
        <f t="shared" ref="AL50:AO50" si="183">AL48/AL49</f>
        <v>4.9148094895758447</v>
      </c>
      <c r="AM50" s="10">
        <f t="shared" si="183"/>
        <v>4.3147395640930917</v>
      </c>
      <c r="AN50" s="10">
        <f t="shared" si="183"/>
        <v>3.5576438259086283</v>
      </c>
      <c r="AO50" s="10">
        <f t="shared" si="183"/>
        <v>7.0301628347435541</v>
      </c>
      <c r="AP50" s="10">
        <f t="shared" ref="AP50:AR50" si="184">AP48/AP49</f>
        <v>7.6206321200544149</v>
      </c>
      <c r="AQ50" s="10">
        <f t="shared" si="184"/>
        <v>8.2366038046629502</v>
      </c>
      <c r="AR50" s="10" t="e">
        <f t="shared" si="184"/>
        <v>#DIV/0!</v>
      </c>
    </row>
    <row r="51" spans="2:50" x14ac:dyDescent="0.25">
      <c r="B51" s="24"/>
    </row>
    <row r="52" spans="2:50" x14ac:dyDescent="0.25">
      <c r="B52" s="30" t="s">
        <v>135</v>
      </c>
      <c r="C52" s="10">
        <f>2.04/4</f>
        <v>0.51</v>
      </c>
      <c r="D52" s="10">
        <f>2.04/4</f>
        <v>0.51</v>
      </c>
      <c r="E52" s="10">
        <f>2.04/4</f>
        <v>0.51</v>
      </c>
      <c r="F52" s="10">
        <f>2.04/4</f>
        <v>0.51</v>
      </c>
      <c r="G52" s="10">
        <f>2.08/4</f>
        <v>0.52</v>
      </c>
      <c r="H52" s="10">
        <f>2.08/4</f>
        <v>0.52</v>
      </c>
      <c r="I52" s="10">
        <f>2.08/4</f>
        <v>0.52</v>
      </c>
      <c r="J52" s="10">
        <f>2.08/4</f>
        <v>0.52</v>
      </c>
      <c r="K52" s="10">
        <f>2.12/4</f>
        <v>0.53</v>
      </c>
      <c r="L52" s="10">
        <f>2.12/4</f>
        <v>0.53</v>
      </c>
      <c r="M52" s="10">
        <f>2.12/4</f>
        <v>0.53</v>
      </c>
      <c r="N52" s="10">
        <f>2.12/4</f>
        <v>0.53</v>
      </c>
      <c r="O52" s="10">
        <f>2.16/4</f>
        <v>0.54</v>
      </c>
      <c r="P52" s="10">
        <f>2.16/4</f>
        <v>0.54</v>
      </c>
      <c r="Q52" s="10">
        <f>2.16/4</f>
        <v>0.54</v>
      </c>
      <c r="R52" s="10">
        <f>2.16/4</f>
        <v>0.54</v>
      </c>
      <c r="S52" s="10">
        <f>2.2/4</f>
        <v>0.55000000000000004</v>
      </c>
      <c r="T52" s="10">
        <f>2.2/4</f>
        <v>0.55000000000000004</v>
      </c>
      <c r="U52" s="10">
        <f>2.2/4</f>
        <v>0.55000000000000004</v>
      </c>
      <c r="V52" s="10">
        <f>2.2/4</f>
        <v>0.55000000000000004</v>
      </c>
      <c r="W52" s="10">
        <f>2.24/4</f>
        <v>0.56000000000000005</v>
      </c>
      <c r="X52" s="10">
        <f t="shared" ref="X52:Z52" si="185">2.24/4</f>
        <v>0.56000000000000005</v>
      </c>
      <c r="Y52" s="10">
        <f t="shared" si="185"/>
        <v>0.56000000000000005</v>
      </c>
      <c r="Z52" s="10">
        <f t="shared" si="185"/>
        <v>0.56000000000000005</v>
      </c>
      <c r="AA52" s="10">
        <f>2.28/4</f>
        <v>0.56999999999999995</v>
      </c>
      <c r="AH52" s="10">
        <f>SUM(C52:F52)</f>
        <v>2.04</v>
      </c>
      <c r="AI52" s="10">
        <f>SUM(G52:J52)</f>
        <v>2.08</v>
      </c>
      <c r="AJ52" s="10">
        <f>SUM(K52:N52)</f>
        <v>2.12</v>
      </c>
      <c r="AK52" s="10">
        <f>SUM(O52:R52)</f>
        <v>2.16</v>
      </c>
      <c r="AL52" s="10">
        <f>SUM(S52:V52)</f>
        <v>2.2000000000000002</v>
      </c>
      <c r="AM52" s="10">
        <f>SUM(W52:Z52)</f>
        <v>2.2400000000000002</v>
      </c>
    </row>
    <row r="53" spans="2:50" x14ac:dyDescent="0.25">
      <c r="B53" s="30" t="s">
        <v>136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H53" s="6">
        <f>AH52/AH50</f>
        <v>0.61601297911174202</v>
      </c>
      <c r="AI53" s="6">
        <f t="shared" ref="AI53:AM53" si="186">AI52/AI50</f>
        <v>0.90871364317841086</v>
      </c>
      <c r="AJ53" s="6">
        <f t="shared" si="186"/>
        <v>5.7859266411111859E-2</v>
      </c>
      <c r="AK53" s="6">
        <f t="shared" si="186"/>
        <v>0.45182531458179126</v>
      </c>
      <c r="AL53" s="6">
        <f t="shared" si="186"/>
        <v>0.44762670957361228</v>
      </c>
      <c r="AM53" s="6">
        <f t="shared" si="186"/>
        <v>0.51915068493150696</v>
      </c>
    </row>
    <row r="54" spans="2:50" x14ac:dyDescent="0.25">
      <c r="B54" s="3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H54" s="6"/>
      <c r="AI54" s="6"/>
      <c r="AJ54" s="6"/>
      <c r="AK54" s="6"/>
      <c r="AL54" s="6"/>
      <c r="AM54" s="6"/>
    </row>
    <row r="55" spans="2:50" x14ac:dyDescent="0.25">
      <c r="B55" s="30" t="s">
        <v>144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H55" s="2">
        <f t="shared" ref="AH55:AN55" si="187">AH48+AH46+AH40+AH108</f>
        <v>26969</v>
      </c>
      <c r="AI55" s="2">
        <f t="shared" si="187"/>
        <v>23604</v>
      </c>
      <c r="AJ55" s="2">
        <f t="shared" si="187"/>
        <v>122773</v>
      </c>
      <c r="AK55" s="2">
        <f t="shared" si="187"/>
        <v>33496</v>
      </c>
      <c r="AL55" s="2">
        <f t="shared" si="187"/>
        <v>30761</v>
      </c>
      <c r="AM55" s="2">
        <f t="shared" si="187"/>
        <v>19191</v>
      </c>
      <c r="AN55" s="2">
        <f t="shared" si="187"/>
        <v>15365.749999999965</v>
      </c>
    </row>
    <row r="56" spans="2:50" x14ac:dyDescent="0.25">
      <c r="B56" s="30" t="s">
        <v>145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H56" s="6"/>
      <c r="AI56" s="6">
        <f>AI55/AH55-1</f>
        <v>-0.12477288738922465</v>
      </c>
      <c r="AJ56" s="6">
        <f t="shared" ref="AJ56:AN56" si="188">AJ55/AI55-1</f>
        <v>4.2013641755634641</v>
      </c>
      <c r="AK56" s="6">
        <f t="shared" si="188"/>
        <v>-0.72717128358841121</v>
      </c>
      <c r="AL56" s="6">
        <f t="shared" si="188"/>
        <v>-8.1651540482445717E-2</v>
      </c>
      <c r="AM56" s="6">
        <f>AM55/AL55-1</f>
        <v>-0.37612561360163843</v>
      </c>
      <c r="AN56" s="6">
        <f t="shared" si="188"/>
        <v>-0.19932520452295532</v>
      </c>
    </row>
    <row r="57" spans="2:50" x14ac:dyDescent="0.25">
      <c r="B57" s="24"/>
    </row>
    <row r="58" spans="2:50" x14ac:dyDescent="0.25">
      <c r="B58" s="24" t="s">
        <v>50</v>
      </c>
      <c r="G58" s="6">
        <f>G34/C34-1</f>
        <v>4.3797110819962182E-2</v>
      </c>
      <c r="H58" s="6">
        <f t="shared" ref="H58:R58" si="189">H34/D34-1</f>
        <v>3.7882534149406233E-2</v>
      </c>
      <c r="I58" s="6">
        <f t="shared" si="189"/>
        <v>1.3922827754730971E-2</v>
      </c>
      <c r="J58" s="6">
        <f t="shared" si="189"/>
        <v>1.8537136650840003E-2</v>
      </c>
      <c r="K58" s="6">
        <f t="shared" si="189"/>
        <v>1.0066020050533808E-2</v>
      </c>
      <c r="L58" s="6">
        <f t="shared" si="189"/>
        <v>1.8347548973661976E-2</v>
      </c>
      <c r="M58" s="6">
        <f t="shared" si="189"/>
        <v>2.4797027879641886E-2</v>
      </c>
      <c r="N58" s="6">
        <f t="shared" si="189"/>
        <v>2.0735916076459082E-2</v>
      </c>
      <c r="O58" s="6">
        <f t="shared" si="189"/>
        <v>8.6318337704256676E-2</v>
      </c>
      <c r="P58" s="6">
        <f t="shared" si="189"/>
        <v>5.6490025081110895E-2</v>
      </c>
      <c r="Q58" s="6">
        <f t="shared" si="189"/>
        <v>5.2480252517755233E-2</v>
      </c>
      <c r="R58" s="6">
        <f t="shared" si="189"/>
        <v>7.3465988099187474E-2</v>
      </c>
      <c r="S58" s="6">
        <f t="shared" ref="S58:Z59" si="190">S34/O34-1</f>
        <v>2.7395225148935554E-2</v>
      </c>
      <c r="T58" s="6">
        <f t="shared" si="190"/>
        <v>2.4001393910354052E-2</v>
      </c>
      <c r="U58" s="6">
        <f t="shared" si="190"/>
        <v>4.3182290584078187E-2</v>
      </c>
      <c r="V58" s="6">
        <f t="shared" si="190"/>
        <v>5.2078196200657789E-3</v>
      </c>
      <c r="W58" s="6">
        <f>W34/S34-1</f>
        <v>2.3563010628298686E-2</v>
      </c>
      <c r="X58" s="6">
        <f>X34/T34-1</f>
        <v>8.3737451080483138E-2</v>
      </c>
      <c r="Y58" s="6">
        <f t="shared" si="190"/>
        <v>8.7443515388720972E-2</v>
      </c>
      <c r="Z58" s="6">
        <f t="shared" si="190"/>
        <v>7.3113932662179248E-2</v>
      </c>
      <c r="AA58" s="6">
        <f t="shared" ref="AA58:AA59" si="191">AA34/W34-1</f>
        <v>7.5807556739116544E-2</v>
      </c>
      <c r="AB58" s="6">
        <f t="shared" ref="AB58:AB59" si="192">AB34/X34-1</f>
        <v>6.3368398327871001E-2</v>
      </c>
      <c r="AC58" s="6">
        <f t="shared" ref="AC58:AC59" si="193">AC34/Y34-1</f>
        <v>6.3361036037510088E-2</v>
      </c>
      <c r="AD58" s="6">
        <f t="shared" ref="AD58:AD59" si="194">AD34/Z34-1</f>
        <v>6.3548961279625393E-2</v>
      </c>
      <c r="AI58" s="6">
        <f>AI34/AH34-1</f>
        <v>2.8104720161968855E-2</v>
      </c>
      <c r="AJ58" s="6">
        <f>AJ34/AI34-1</f>
        <v>0.19301328719588651</v>
      </c>
      <c r="AK58" s="6">
        <f>AK34/AJ34-1</f>
        <v>-8.8873571759123471E-2</v>
      </c>
      <c r="AL58" s="6">
        <f>AL34/AK34-1</f>
        <v>2.4327954345069625E-2</v>
      </c>
      <c r="AM58" s="6">
        <f t="shared" ref="AM58:AO58" si="195">AM34/AL34-1</f>
        <v>6.7280193590965709E-2</v>
      </c>
      <c r="AN58" s="6">
        <f t="shared" si="195"/>
        <v>6.6295810983021175E-2</v>
      </c>
      <c r="AO58" s="6">
        <f t="shared" si="195"/>
        <v>2.0000000000000018E-2</v>
      </c>
      <c r="AP58" s="6">
        <f>AP34/AO34-1</f>
        <v>2.0000000000000018E-2</v>
      </c>
      <c r="AQ58" s="6">
        <f>AQ34/AP34-1</f>
        <v>2.0000000000000018E-2</v>
      </c>
      <c r="AT58" s="32" t="s">
        <v>141</v>
      </c>
      <c r="AW58" s="32" t="s">
        <v>142</v>
      </c>
    </row>
    <row r="59" spans="2:50" x14ac:dyDescent="0.25">
      <c r="B59" s="24" t="s">
        <v>51</v>
      </c>
      <c r="G59" s="6">
        <f>G35/C35-1</f>
        <v>4.5832953197700865E-2</v>
      </c>
      <c r="H59" s="6">
        <f t="shared" ref="H59:R59" si="196">H35/D35-1</f>
        <v>4.4252138853377865E-2</v>
      </c>
      <c r="I59" s="6">
        <f t="shared" si="196"/>
        <v>1.713873747910899E-2</v>
      </c>
      <c r="J59" s="6">
        <f t="shared" si="196"/>
        <v>2.208690568978966E-2</v>
      </c>
      <c r="K59" s="6">
        <f t="shared" si="196"/>
        <v>1.4469996837755073E-2</v>
      </c>
      <c r="L59" s="6">
        <f t="shared" si="196"/>
        <v>2.4609975829487984E-2</v>
      </c>
      <c r="M59" s="6">
        <f t="shared" si="196"/>
        <v>2.9898191503071381E-2</v>
      </c>
      <c r="N59" s="6">
        <f t="shared" si="196"/>
        <v>2.7081128999971504E-2</v>
      </c>
      <c r="O59" s="6">
        <f t="shared" si="196"/>
        <v>9.6652836597372893E-2</v>
      </c>
      <c r="P59" s="6">
        <f t="shared" si="196"/>
        <v>4.8670894478314519E-2</v>
      </c>
      <c r="Q59" s="6">
        <f t="shared" si="196"/>
        <v>4.628779979144948E-2</v>
      </c>
      <c r="R59" s="6">
        <f t="shared" si="196"/>
        <v>6.9727512343616516E-2</v>
      </c>
      <c r="S59" s="6">
        <f t="shared" si="190"/>
        <v>1.2212573265638182E-2</v>
      </c>
      <c r="T59" s="6">
        <f t="shared" si="190"/>
        <v>2.4286924597571202E-2</v>
      </c>
      <c r="U59" s="6">
        <f t="shared" si="190"/>
        <v>4.6681748871326256E-2</v>
      </c>
      <c r="V59" s="6">
        <f t="shared" si="190"/>
        <v>2.2644259550064216E-3</v>
      </c>
      <c r="W59" s="6">
        <f t="shared" si="190"/>
        <v>3.4617321248741284E-2</v>
      </c>
      <c r="X59" s="6">
        <f t="shared" si="190"/>
        <v>0.10129963967561295</v>
      </c>
      <c r="Y59" s="6">
        <f t="shared" si="190"/>
        <v>0.10083505517838942</v>
      </c>
      <c r="Z59" s="6">
        <f t="shared" si="190"/>
        <v>8.570661865272422E-2</v>
      </c>
      <c r="AA59" s="6">
        <f t="shared" si="191"/>
        <v>7.8963377539846613E-2</v>
      </c>
      <c r="AB59" s="6">
        <f t="shared" si="192"/>
        <v>8.0000000000000071E-2</v>
      </c>
      <c r="AC59" s="6">
        <f t="shared" si="193"/>
        <v>8.0000000000000071E-2</v>
      </c>
      <c r="AD59" s="6">
        <f t="shared" si="194"/>
        <v>8.0000000000000071E-2</v>
      </c>
      <c r="AI59" s="6">
        <f>AI35/AH35-1</f>
        <v>3.1883041060964734E-2</v>
      </c>
      <c r="AJ59" s="6">
        <f>AJ35/AI35-1</f>
        <v>2.4147354925110553E-2</v>
      </c>
      <c r="AK59" s="6">
        <f>AK35/AJ35-1</f>
        <v>6.5153761356292916E-2</v>
      </c>
      <c r="AL59" s="6">
        <f t="shared" ref="AL59:AO59" si="197">AL35/AK35-1</f>
        <v>2.0663074122979186E-2</v>
      </c>
      <c r="AM59" s="6">
        <f t="shared" si="197"/>
        <v>8.0934731934731996E-2</v>
      </c>
      <c r="AN59" s="6">
        <f t="shared" si="197"/>
        <v>7.976114948428048E-2</v>
      </c>
      <c r="AO59" s="6">
        <f t="shared" si="197"/>
        <v>-4.1331910627656621E-3</v>
      </c>
      <c r="AP59" s="6">
        <f>AP35/AO35-1</f>
        <v>2.0000000000000018E-2</v>
      </c>
      <c r="AQ59" s="6">
        <f>AQ35/AP35-1</f>
        <v>2.0000000000000018E-2</v>
      </c>
      <c r="AT59" s="11" t="s">
        <v>57</v>
      </c>
      <c r="AU59" s="12">
        <v>-0.01</v>
      </c>
      <c r="AW59" s="11" t="s">
        <v>57</v>
      </c>
      <c r="AX59" s="12">
        <v>-0.01</v>
      </c>
    </row>
    <row r="60" spans="2:50" x14ac:dyDescent="0.25">
      <c r="B60" s="24" t="s">
        <v>52</v>
      </c>
      <c r="G60" s="6">
        <f>G37/C37-1</f>
        <v>4.9234269001096731E-2</v>
      </c>
      <c r="H60" s="6">
        <f t="shared" ref="H60:R60" si="198">H37/D37-1</f>
        <v>3.2553643920355757E-2</v>
      </c>
      <c r="I60" s="6">
        <f t="shared" si="198"/>
        <v>-2.828643739764769E-3</v>
      </c>
      <c r="J60" s="6">
        <f t="shared" si="198"/>
        <v>-4.5987654320987614E-2</v>
      </c>
      <c r="K60" s="6">
        <f t="shared" si="198"/>
        <v>4.5297920941578251E-3</v>
      </c>
      <c r="L60" s="6">
        <f t="shared" si="198"/>
        <v>6.1407121728385139E-3</v>
      </c>
      <c r="M60" s="6">
        <f t="shared" si="198"/>
        <v>2.1685577784413157E-2</v>
      </c>
      <c r="N60" s="6">
        <f t="shared" si="198"/>
        <v>2.8110284338042302E-2</v>
      </c>
      <c r="O60" s="6">
        <f t="shared" si="198"/>
        <v>5.49603021660372E-2</v>
      </c>
      <c r="P60" s="6">
        <f t="shared" si="198"/>
        <v>7.9007108034684137E-2</v>
      </c>
      <c r="Q60" s="6">
        <f t="shared" si="198"/>
        <v>4.4496401563584476E-2</v>
      </c>
      <c r="R60" s="6">
        <f t="shared" si="198"/>
        <v>9.5451207999720289E-2</v>
      </c>
      <c r="S60" s="6">
        <f t="shared" ref="S60:Z61" si="199">S37/O37-1</f>
        <v>2.7655998830922179E-2</v>
      </c>
      <c r="T60" s="6">
        <f t="shared" si="199"/>
        <v>-1.6658619024625732E-2</v>
      </c>
      <c r="U60" s="6">
        <f t="shared" si="199"/>
        <v>3.9138190339617296E-2</v>
      </c>
      <c r="V60" s="6">
        <f t="shared" si="199"/>
        <v>4.1811624269891823E-3</v>
      </c>
      <c r="W60" s="6">
        <f t="shared" si="199"/>
        <v>4.5326886842760095E-2</v>
      </c>
      <c r="X60" s="6">
        <f t="shared" si="199"/>
        <v>5.8082845217635404E-2</v>
      </c>
      <c r="Y60" s="6">
        <f t="shared" si="199"/>
        <v>0.16139347021204986</v>
      </c>
      <c r="Z60" s="6">
        <f t="shared" si="199"/>
        <v>5.0918568431759015E-2</v>
      </c>
      <c r="AA60" s="6">
        <f t="shared" ref="AA60:AA62" si="200">AA37/W37-1</f>
        <v>4.6694327302407856E-2</v>
      </c>
      <c r="AB60" s="6">
        <f t="shared" ref="AB60:AB62" si="201">AB37/X37-1</f>
        <v>5.0000000000000044E-2</v>
      </c>
      <c r="AC60" s="6">
        <f t="shared" ref="AC60:AC62" si="202">AC37/Y37-1</f>
        <v>5.0000000000000044E-2</v>
      </c>
      <c r="AD60" s="6">
        <f t="shared" ref="AD60:AD62" si="203">AD37/Z37-1</f>
        <v>5.0000000000000044E-2</v>
      </c>
      <c r="AI60" s="6">
        <f>AI37/AH37-1</f>
        <v>5.980659093042906E-3</v>
      </c>
      <c r="AJ60" s="6">
        <f t="shared" ref="AJ60:AK60" si="204">AJ37/AI37-1</f>
        <v>1.5343406721606723E-2</v>
      </c>
      <c r="AK60" s="6">
        <f t="shared" si="204"/>
        <v>6.8911950437076541E-2</v>
      </c>
      <c r="AL60" s="6">
        <f t="shared" ref="AL60:AO60" si="205">AL37/AK37-1</f>
        <v>1.3105393505778773E-2</v>
      </c>
      <c r="AM60" s="6">
        <f t="shared" si="205"/>
        <v>7.9176993854615851E-2</v>
      </c>
      <c r="AN60" s="6">
        <f t="shared" si="205"/>
        <v>4.9235488437942454E-2</v>
      </c>
      <c r="AO60" s="6">
        <f t="shared" si="205"/>
        <v>1.0000000000000009E-2</v>
      </c>
      <c r="AP60" s="6">
        <f t="shared" ref="AP60:AQ62" si="206">AP37/AO37-1</f>
        <v>1.0000000000000009E-2</v>
      </c>
      <c r="AQ60" s="6">
        <f t="shared" si="206"/>
        <v>1.0000000000000009E-2</v>
      </c>
      <c r="AT60" s="11" t="s">
        <v>19</v>
      </c>
      <c r="AU60" s="23">
        <f>WACC!C18</f>
        <v>3.6335730040211976E-2</v>
      </c>
      <c r="AW60" s="11" t="s">
        <v>19</v>
      </c>
      <c r="AX60" s="23">
        <f>WACC!C18</f>
        <v>3.6335730040211976E-2</v>
      </c>
    </row>
    <row r="61" spans="2:50" x14ac:dyDescent="0.25">
      <c r="B61" s="24" t="s">
        <v>53</v>
      </c>
      <c r="G61" s="6">
        <f>G38/C38-1</f>
        <v>4.9234269001096731E-2</v>
      </c>
      <c r="H61" s="6">
        <f t="shared" ref="H61:R61" si="207">H38/D38-1</f>
        <v>3.2553643920355757E-2</v>
      </c>
      <c r="I61" s="6">
        <f t="shared" si="207"/>
        <v>-2.828643739764769E-3</v>
      </c>
      <c r="J61" s="6">
        <f t="shared" si="207"/>
        <v>-4.5987654320987614E-2</v>
      </c>
      <c r="K61" s="6">
        <f t="shared" si="207"/>
        <v>4.5297920941578251E-3</v>
      </c>
      <c r="L61" s="6">
        <f t="shared" si="207"/>
        <v>6.1407121728385139E-3</v>
      </c>
      <c r="M61" s="6">
        <f t="shared" si="207"/>
        <v>2.1685577784413157E-2</v>
      </c>
      <c r="N61" s="6">
        <f t="shared" si="207"/>
        <v>2.8110284338042302E-2</v>
      </c>
      <c r="O61" s="6">
        <f t="shared" si="207"/>
        <v>5.49603021660372E-2</v>
      </c>
      <c r="P61" s="6">
        <f t="shared" si="207"/>
        <v>7.9007108034684137E-2</v>
      </c>
      <c r="Q61" s="6">
        <f t="shared" si="207"/>
        <v>4.4496401563584476E-2</v>
      </c>
      <c r="R61" s="6">
        <f t="shared" si="207"/>
        <v>9.5451207999720289E-2</v>
      </c>
      <c r="S61" s="6">
        <f t="shared" si="199"/>
        <v>2.7655998830922179E-2</v>
      </c>
      <c r="T61" s="6">
        <f t="shared" si="199"/>
        <v>-1.6658619024625732E-2</v>
      </c>
      <c r="U61" s="6">
        <f t="shared" si="199"/>
        <v>3.9138190339617296E-2</v>
      </c>
      <c r="V61" s="6">
        <f t="shared" si="199"/>
        <v>4.1811624269891823E-3</v>
      </c>
      <c r="W61" s="6">
        <f t="shared" si="199"/>
        <v>4.5326886842760095E-2</v>
      </c>
      <c r="X61" s="6">
        <f t="shared" si="199"/>
        <v>5.8082845217635404E-2</v>
      </c>
      <c r="Y61" s="6">
        <f t="shared" si="199"/>
        <v>0.16139347021204986</v>
      </c>
      <c r="Z61" s="6">
        <f t="shared" si="199"/>
        <v>5.0918568431759015E-2</v>
      </c>
      <c r="AA61" s="6">
        <f t="shared" si="200"/>
        <v>4.6694327302407856E-2</v>
      </c>
      <c r="AB61" s="6">
        <f t="shared" si="201"/>
        <v>5.0000000000000044E-2</v>
      </c>
      <c r="AC61" s="6">
        <f t="shared" si="202"/>
        <v>5.0000000000000044E-2</v>
      </c>
      <c r="AD61" s="6">
        <f t="shared" si="203"/>
        <v>5.0000000000000044E-2</v>
      </c>
      <c r="AI61" s="6">
        <f>AI38/AH38-1</f>
        <v>5.980659093042906E-3</v>
      </c>
      <c r="AJ61" s="6">
        <f t="shared" ref="AJ61:AK61" si="208">AJ38/AI38-1</f>
        <v>1.5343406721606723E-2</v>
      </c>
      <c r="AK61" s="6">
        <f t="shared" si="208"/>
        <v>6.8911950437076541E-2</v>
      </c>
      <c r="AL61" s="6">
        <f t="shared" ref="AL61:AO61" si="209">AL38/AK38-1</f>
        <v>1.3105393505778773E-2</v>
      </c>
      <c r="AM61" s="6">
        <f t="shared" si="209"/>
        <v>7.9176993854615851E-2</v>
      </c>
      <c r="AN61" s="6">
        <f t="shared" si="209"/>
        <v>4.9235488437942454E-2</v>
      </c>
      <c r="AO61" s="6">
        <f t="shared" si="209"/>
        <v>1.0000000000000009E-2</v>
      </c>
      <c r="AP61" s="6">
        <f t="shared" si="206"/>
        <v>1.0000000000000009E-2</v>
      </c>
      <c r="AQ61" s="6">
        <f t="shared" si="206"/>
        <v>1.0000000000000009E-2</v>
      </c>
      <c r="AT61" s="11" t="s">
        <v>3</v>
      </c>
      <c r="AU61" s="13">
        <f>Main!C5</f>
        <v>2704</v>
      </c>
      <c r="AW61" s="11" t="s">
        <v>3</v>
      </c>
      <c r="AX61" s="2">
        <f>Main!C5</f>
        <v>2704</v>
      </c>
    </row>
    <row r="62" spans="2:50" x14ac:dyDescent="0.25">
      <c r="B62" s="26" t="s">
        <v>78</v>
      </c>
      <c r="G62" s="6">
        <f>G39/C39-1</f>
        <v>-1.5848768378842859E-2</v>
      </c>
      <c r="H62" s="6">
        <f t="shared" ref="H62:Z62" si="210">H39/D39-1</f>
        <v>-3.6689562740827575E-2</v>
      </c>
      <c r="I62" s="6">
        <f t="shared" si="210"/>
        <v>4.6599496221662484E-2</v>
      </c>
      <c r="J62" s="6">
        <f t="shared" si="210"/>
        <v>0.3581822252070741</v>
      </c>
      <c r="K62" s="6">
        <f t="shared" si="210"/>
        <v>-4.0551028327512562E-2</v>
      </c>
      <c r="L62" s="6">
        <f t="shared" si="210"/>
        <v>-2.9043478260869615E-2</v>
      </c>
      <c r="M62" s="6">
        <f t="shared" si="210"/>
        <v>-5.3750501403931006E-2</v>
      </c>
      <c r="N62" s="6">
        <f t="shared" si="210"/>
        <v>-0.12279545079940668</v>
      </c>
      <c r="O62" s="6">
        <f t="shared" si="210"/>
        <v>5.6420626895854475E-2</v>
      </c>
      <c r="P62" s="6">
        <f t="shared" si="210"/>
        <v>8.5258821422174558E-2</v>
      </c>
      <c r="Q62" s="6">
        <f t="shared" si="210"/>
        <v>0.22467147096227214</v>
      </c>
      <c r="R62" s="6">
        <f t="shared" si="210"/>
        <v>3.1003382187147599E-2</v>
      </c>
      <c r="S62" s="6">
        <f t="shared" si="210"/>
        <v>0.32254977029096477</v>
      </c>
      <c r="T62" s="6">
        <f t="shared" si="210"/>
        <v>0.21373163888430424</v>
      </c>
      <c r="U62" s="6">
        <f t="shared" si="210"/>
        <v>2.4229837313949343E-3</v>
      </c>
      <c r="V62" s="6">
        <f t="shared" si="210"/>
        <v>7.2899580827410215E-2</v>
      </c>
      <c r="W62" s="6">
        <f t="shared" si="210"/>
        <v>-0.23027934578086551</v>
      </c>
      <c r="X62" s="6">
        <f t="shared" si="210"/>
        <v>-6.7990209409845015E-2</v>
      </c>
      <c r="Y62" s="6">
        <f t="shared" si="210"/>
        <v>-0.53470303867403313</v>
      </c>
      <c r="Z62" s="6">
        <f t="shared" si="210"/>
        <v>-5.5376252760319322E-2</v>
      </c>
      <c r="AA62" s="6">
        <f t="shared" si="200"/>
        <v>0.17337344866491167</v>
      </c>
      <c r="AB62" s="6">
        <f t="shared" si="201"/>
        <v>-0.15887948643127925</v>
      </c>
      <c r="AC62" s="6">
        <f t="shared" si="202"/>
        <v>-0.47936920222634294</v>
      </c>
      <c r="AD62" s="6">
        <f t="shared" si="203"/>
        <v>-0.22693040819996646</v>
      </c>
      <c r="AI62" s="6">
        <f>AI39/AH39-1</f>
        <v>7.4374908254636107E-2</v>
      </c>
      <c r="AJ62" s="6">
        <f t="shared" ref="AJ62:AO62" si="211">AJ39/AI39-1</f>
        <v>4.0232727603953178</v>
      </c>
      <c r="AK62" s="6">
        <f t="shared" si="211"/>
        <v>-0.79556828896786824</v>
      </c>
      <c r="AL62" s="6">
        <f t="shared" si="211"/>
        <v>0.1505233280113536</v>
      </c>
      <c r="AM62" s="6">
        <f>AM39/AL39-1</f>
        <v>-0.212551075476062</v>
      </c>
      <c r="AN62" s="6">
        <f t="shared" si="211"/>
        <v>-0.13319071862150167</v>
      </c>
      <c r="AO62" s="6">
        <f t="shared" si="211"/>
        <v>0.77775351580545737</v>
      </c>
      <c r="AP62" s="6">
        <f t="shared" si="206"/>
        <v>6.2801166358468885E-2</v>
      </c>
      <c r="AQ62" s="6">
        <f t="shared" si="206"/>
        <v>6.0674755909586153E-2</v>
      </c>
      <c r="AT62" s="11" t="s">
        <v>58</v>
      </c>
      <c r="AU62" s="13">
        <f>NPV(AU60,AL48:PT48)</f>
        <v>482581.04573805077</v>
      </c>
      <c r="AW62" s="11" t="s">
        <v>58</v>
      </c>
      <c r="AX62" s="2">
        <f>NPV(AX60,AL138:PS138)</f>
        <v>804713.75987971143</v>
      </c>
    </row>
    <row r="63" spans="2:50" x14ac:dyDescent="0.25">
      <c r="B63" s="24" t="s">
        <v>54</v>
      </c>
      <c r="G63" s="6">
        <f>G48/C48-1</f>
        <v>-0.29779532741033232</v>
      </c>
      <c r="H63" s="6">
        <f t="shared" ref="H63:R63" si="212">H48/D48-1</f>
        <v>-1.2969989651604001</v>
      </c>
      <c r="I63" s="6">
        <f t="shared" si="212"/>
        <v>-2.2298456260720356E-2</v>
      </c>
      <c r="J63" s="6">
        <f t="shared" si="212"/>
        <v>0.69517241379310346</v>
      </c>
      <c r="K63" s="6">
        <f t="shared" si="212"/>
        <v>0.80037488284910974</v>
      </c>
      <c r="L63" s="6">
        <f t="shared" si="212"/>
        <v>-5.1927990708478511</v>
      </c>
      <c r="M63" s="6">
        <f t="shared" si="212"/>
        <v>0.92280701754385963</v>
      </c>
      <c r="N63" s="6">
        <f t="shared" si="212"/>
        <v>0.12313534038513696</v>
      </c>
      <c r="O63" s="6">
        <f t="shared" si="212"/>
        <v>3.8521603331598042E-2</v>
      </c>
      <c r="P63" s="6">
        <f t="shared" si="212"/>
        <v>0.79390581717451525</v>
      </c>
      <c r="Q63" s="6">
        <f t="shared" si="212"/>
        <v>0.56173965936739667</v>
      </c>
      <c r="R63" s="6">
        <f t="shared" si="212"/>
        <v>-1.504950495049505</v>
      </c>
      <c r="S63" s="6">
        <f t="shared" ref="S63:Z65" si="213">S48/O48-1</f>
        <v>-0.31578947368421051</v>
      </c>
      <c r="T63" s="6">
        <f t="shared" si="213"/>
        <v>-0.33971587399629399</v>
      </c>
      <c r="U63" s="6">
        <f t="shared" si="213"/>
        <v>-0.39532619279454717</v>
      </c>
      <c r="V63" s="6">
        <f t="shared" si="213"/>
        <v>-2.7034911525585845</v>
      </c>
      <c r="W63" s="6">
        <f t="shared" si="213"/>
        <v>-0.24761904761904763</v>
      </c>
      <c r="X63" s="6">
        <f t="shared" si="213"/>
        <v>0.20416276894293728</v>
      </c>
      <c r="Y63" s="6">
        <f t="shared" si="213"/>
        <v>-1.5790660225442834</v>
      </c>
      <c r="Z63" s="6">
        <f t="shared" si="213"/>
        <v>0.76165075800112292</v>
      </c>
      <c r="AA63" s="6">
        <f t="shared" ref="AA63:AA65" si="214">AA48/W48-1</f>
        <v>-0.18549172346640697</v>
      </c>
      <c r="AB63" s="6">
        <f t="shared" ref="AB63:AB65" si="215">AB48/X48-1</f>
        <v>-0.24469256166245701</v>
      </c>
      <c r="AC63" s="6">
        <f t="shared" ref="AC63:AC65" si="216">AC48/Y48-1</f>
        <v>9.356062291434708E-2</v>
      </c>
      <c r="AD63" s="6">
        <f t="shared" ref="AD63:AD65" si="217">AD48/Z48-1</f>
        <v>-6.8992031872511572E-2</v>
      </c>
      <c r="AI63" s="6">
        <f>AI48/AH48-1</f>
        <v>-0.32366659906712636</v>
      </c>
      <c r="AJ63" s="6">
        <f t="shared" ref="AJ63:AK63" si="218">AJ48/AI48-1</f>
        <v>14.683508245877061</v>
      </c>
      <c r="AK63" s="6">
        <f t="shared" si="218"/>
        <v>-0.87085241231633992</v>
      </c>
      <c r="AL63" s="6">
        <f t="shared" ref="AL63:AO63" si="219">AL48/AK48-1</f>
        <v>1.2065136935603293E-2</v>
      </c>
      <c r="AM63" s="6">
        <f t="shared" si="219"/>
        <v>-0.1457617201784539</v>
      </c>
      <c r="AN63" s="6">
        <f t="shared" si="219"/>
        <v>-0.19195796232877016</v>
      </c>
      <c r="AO63" s="6">
        <f t="shared" si="219"/>
        <v>0.95631197134203227</v>
      </c>
      <c r="AP63" s="6">
        <f t="shared" ref="AP63:AQ65" si="220">AP48/AO48-1</f>
        <v>7.3150932090618515E-2</v>
      </c>
      <c r="AQ63" s="6">
        <f t="shared" si="220"/>
        <v>7.0021179103721742E-2</v>
      </c>
      <c r="AT63" s="11" t="s">
        <v>63</v>
      </c>
      <c r="AU63" s="2">
        <f>Main!C7-Main!C8</f>
        <v>-33231</v>
      </c>
      <c r="AW63" s="11" t="s">
        <v>63</v>
      </c>
      <c r="AX63" s="2">
        <f>Main!C7-Main!C8</f>
        <v>-33231</v>
      </c>
    </row>
    <row r="64" spans="2:50" x14ac:dyDescent="0.25">
      <c r="B64" s="24" t="s">
        <v>55</v>
      </c>
      <c r="G64" s="6">
        <f>G49/C49-1</f>
        <v>-2.625533311453887E-2</v>
      </c>
      <c r="H64" s="6">
        <f t="shared" ref="H64:R64" si="221">H49/D49-1</f>
        <v>-2.0191989407481015E-2</v>
      </c>
      <c r="I64" s="6">
        <f t="shared" si="221"/>
        <v>-1.8357810413885178E-2</v>
      </c>
      <c r="J64" s="6">
        <f t="shared" si="221"/>
        <v>-2.1490933512424482E-2</v>
      </c>
      <c r="K64" s="6">
        <f t="shared" si="221"/>
        <v>-2.7300303336703746E-2</v>
      </c>
      <c r="L64" s="6">
        <f t="shared" si="221"/>
        <v>-3.074324324324329E-2</v>
      </c>
      <c r="M64" s="6">
        <f t="shared" si="221"/>
        <v>-2.7201632097925921E-2</v>
      </c>
      <c r="N64" s="6">
        <f t="shared" si="221"/>
        <v>-2.0247083047357561E-2</v>
      </c>
      <c r="O64" s="6">
        <f t="shared" si="221"/>
        <v>-1.2820512820512775E-2</v>
      </c>
      <c r="P64" s="6">
        <f t="shared" si="221"/>
        <v>-7.319623562216826E-3</v>
      </c>
      <c r="Q64" s="6">
        <f t="shared" si="221"/>
        <v>-4.1943376441803126E-3</v>
      </c>
      <c r="R64" s="6">
        <f t="shared" si="221"/>
        <v>-1.0157618213660236E-2</v>
      </c>
      <c r="S64" s="6">
        <f t="shared" si="213"/>
        <v>-7.0200070200070463E-3</v>
      </c>
      <c r="T64" s="6">
        <f t="shared" si="213"/>
        <v>-1.2640449438202195E-2</v>
      </c>
      <c r="U64" s="6">
        <f t="shared" si="213"/>
        <v>-1.8252018252018276E-2</v>
      </c>
      <c r="V64" s="6">
        <f t="shared" si="213"/>
        <v>-1.556970983722572E-2</v>
      </c>
      <c r="W64" s="6">
        <f t="shared" si="213"/>
        <v>-2.2622834924001411E-2</v>
      </c>
      <c r="X64" s="6">
        <f t="shared" si="213"/>
        <v>-2.3826458036984355E-2</v>
      </c>
      <c r="Y64" s="6">
        <f t="shared" si="213"/>
        <v>-3.0747229174115098E-2</v>
      </c>
      <c r="Z64" s="6">
        <f t="shared" si="213"/>
        <v>-2.6959022286125123E-2</v>
      </c>
      <c r="AA64" s="6">
        <f t="shared" si="214"/>
        <v>-2.206148282097653E-2</v>
      </c>
      <c r="AB64" s="6">
        <f t="shared" si="215"/>
        <v>-2.0000000000000018E-2</v>
      </c>
      <c r="AC64" s="6">
        <f t="shared" si="216"/>
        <v>-2.0000000000000129E-2</v>
      </c>
      <c r="AD64" s="6">
        <f t="shared" si="217"/>
        <v>-1.9999999999999907E-2</v>
      </c>
      <c r="AI64" s="6">
        <f>AI49/AH49-1</f>
        <v>-2.1490933512424482E-2</v>
      </c>
      <c r="AJ64" s="6">
        <f t="shared" ref="AJ64:AK64" si="222">AJ49/AI49-1</f>
        <v>-2.0247083047357561E-2</v>
      </c>
      <c r="AK64" s="6">
        <f t="shared" si="222"/>
        <v>-1.0157618213660236E-2</v>
      </c>
      <c r="AL64" s="6">
        <f t="shared" ref="AL64:AO64" si="223">AL49/AK49-1</f>
        <v>-1.556970983722572E-2</v>
      </c>
      <c r="AM64" s="6">
        <f t="shared" si="223"/>
        <v>-2.6959022286125123E-2</v>
      </c>
      <c r="AN64" s="6">
        <f t="shared" si="223"/>
        <v>-1.9999999999999907E-2</v>
      </c>
      <c r="AO64" s="6">
        <f t="shared" si="223"/>
        <v>-1.0000000000000009E-2</v>
      </c>
      <c r="AP64" s="6">
        <f t="shared" si="220"/>
        <v>-9.9999999999998979E-3</v>
      </c>
      <c r="AQ64" s="6">
        <f t="shared" si="220"/>
        <v>-1.0000000000000009E-2</v>
      </c>
      <c r="AT64" s="11" t="s">
        <v>59</v>
      </c>
      <c r="AU64" s="2">
        <f>+AU62+AU63</f>
        <v>449350.04573805077</v>
      </c>
      <c r="AW64" s="11" t="s">
        <v>59</v>
      </c>
      <c r="AX64" s="2">
        <f>+AX62+AX63</f>
        <v>771482.75987971143</v>
      </c>
    </row>
    <row r="65" spans="1:50" s="15" customFormat="1" ht="14.4" x14ac:dyDescent="0.3">
      <c r="A65" s="14"/>
      <c r="B65" s="24" t="s">
        <v>56</v>
      </c>
      <c r="G65" s="6">
        <f t="shared" ref="G65:R65" si="224">G50/C50-1</f>
        <v>-0.27886159845611136</v>
      </c>
      <c r="H65" s="6">
        <f t="shared" si="224"/>
        <v>-1.3031195519424219</v>
      </c>
      <c r="I65" s="6">
        <f t="shared" si="224"/>
        <v>-4.0143403458409166E-3</v>
      </c>
      <c r="J65" s="6">
        <f t="shared" si="224"/>
        <v>0.73240337964168223</v>
      </c>
      <c r="K65" s="6">
        <f t="shared" si="224"/>
        <v>0.85090515502886621</v>
      </c>
      <c r="L65" s="6">
        <f t="shared" si="224"/>
        <v>-5.3257878179538656</v>
      </c>
      <c r="M65" s="6">
        <f t="shared" si="224"/>
        <v>0.97657302991838191</v>
      </c>
      <c r="N65" s="6">
        <f t="shared" si="224"/>
        <v>0.14634549277838493</v>
      </c>
      <c r="O65" s="6">
        <f t="shared" si="224"/>
        <v>5.2008896881359012E-2</v>
      </c>
      <c r="P65" s="6">
        <f t="shared" si="224"/>
        <v>0.80713335304553513</v>
      </c>
      <c r="Q65" s="6">
        <f t="shared" si="224"/>
        <v>0.56831771339070603</v>
      </c>
      <c r="R65" s="6">
        <f t="shared" si="224"/>
        <v>-1.5101322234134242</v>
      </c>
      <c r="S65" s="6">
        <f t="shared" si="213"/>
        <v>-0.31095235437480229</v>
      </c>
      <c r="T65" s="6">
        <f t="shared" si="213"/>
        <v>-0.33126273440307441</v>
      </c>
      <c r="U65" s="6">
        <f t="shared" si="213"/>
        <v>-0.38408449169526815</v>
      </c>
      <c r="V65" s="6">
        <f t="shared" si="213"/>
        <v>-2.7304335000469302</v>
      </c>
      <c r="W65" s="6">
        <f t="shared" si="213"/>
        <v>-0.23020408163265305</v>
      </c>
      <c r="X65" s="6">
        <f t="shared" si="213"/>
        <v>0.23355399135429478</v>
      </c>
      <c r="Y65" s="6">
        <f t="shared" si="213"/>
        <v>-1.5974355090580452</v>
      </c>
      <c r="Z65" s="6">
        <f t="shared" si="213"/>
        <v>0.81045896149210317</v>
      </c>
      <c r="AA65" s="6">
        <f t="shared" si="214"/>
        <v>-0.16711709148839338</v>
      </c>
      <c r="AB65" s="6">
        <f t="shared" si="215"/>
        <v>-0.22927812414536419</v>
      </c>
      <c r="AC65" s="6">
        <f t="shared" si="216"/>
        <v>0.1158781866472931</v>
      </c>
      <c r="AD65" s="6">
        <f t="shared" si="217"/>
        <v>-4.9991869257664967E-2</v>
      </c>
      <c r="AI65" s="6">
        <f>AI50/AH50-1</f>
        <v>-0.30881233082426307</v>
      </c>
      <c r="AJ65" s="6">
        <f>AJ50/AI50-1</f>
        <v>15.007615771798864</v>
      </c>
      <c r="AK65" s="6">
        <f>AK50/AJ50-1</f>
        <v>-0.86952711859984089</v>
      </c>
      <c r="AL65" s="6">
        <f t="shared" ref="AL65:AO65" si="225">AL50/AK50-1</f>
        <v>2.8071918396842088E-2</v>
      </c>
      <c r="AM65" s="6">
        <f t="shared" si="225"/>
        <v>-0.12209423920814888</v>
      </c>
      <c r="AN65" s="6">
        <f t="shared" si="225"/>
        <v>-0.17546730849874503</v>
      </c>
      <c r="AO65" s="6">
        <f t="shared" si="225"/>
        <v>0.9760726983252852</v>
      </c>
      <c r="AP65" s="6">
        <f t="shared" si="220"/>
        <v>8.3990840495574481E-2</v>
      </c>
      <c r="AQ65" s="6">
        <f t="shared" si="220"/>
        <v>8.082947384214334E-2</v>
      </c>
      <c r="AT65" s="11" t="s">
        <v>60</v>
      </c>
      <c r="AU65" s="16">
        <f>AU64/AU61</f>
        <v>166.17975064277024</v>
      </c>
      <c r="AW65" s="11" t="s">
        <v>60</v>
      </c>
      <c r="AX65" s="34">
        <f>AX64/AX61</f>
        <v>285.31167155314773</v>
      </c>
    </row>
    <row r="66" spans="1:50" x14ac:dyDescent="0.25">
      <c r="B66" s="24" t="s">
        <v>48</v>
      </c>
      <c r="C66" s="6">
        <f>C36/C34</f>
        <v>0.25398580932772968</v>
      </c>
      <c r="D66" s="6">
        <f t="shared" ref="D66:R66" si="226">D36/D34</f>
        <v>0.25806817721211139</v>
      </c>
      <c r="E66" s="6">
        <f t="shared" si="226"/>
        <v>0.25679701897238977</v>
      </c>
      <c r="F66" s="6">
        <f t="shared" si="226"/>
        <v>0.24677287971409073</v>
      </c>
      <c r="G66" s="6">
        <f t="shared" si="226"/>
        <v>0.25253076860379819</v>
      </c>
      <c r="H66" s="6">
        <f t="shared" si="226"/>
        <v>0.25351485612522262</v>
      </c>
      <c r="I66" s="6">
        <f t="shared" si="226"/>
        <v>0.25443976492065273</v>
      </c>
      <c r="J66" s="6">
        <f t="shared" si="226"/>
        <v>0.24414775961323698</v>
      </c>
      <c r="K66" s="6">
        <f t="shared" si="226"/>
        <v>0.24927173693766391</v>
      </c>
      <c r="L66" s="6">
        <f t="shared" si="226"/>
        <v>0.24892427345313975</v>
      </c>
      <c r="M66" s="6">
        <f t="shared" si="226"/>
        <v>0.25072856685235678</v>
      </c>
      <c r="N66" s="6">
        <f t="shared" si="226"/>
        <v>0.23944914626140848</v>
      </c>
      <c r="O66" s="6">
        <f t="shared" si="226"/>
        <v>0.24212981533478925</v>
      </c>
      <c r="P66" s="6">
        <f t="shared" si="226"/>
        <v>0.25448301897750869</v>
      </c>
      <c r="Q66" s="6">
        <f t="shared" si="226"/>
        <v>0.2551370371470143</v>
      </c>
      <c r="R66" s="6">
        <f t="shared" si="226"/>
        <v>0.24209785703483058</v>
      </c>
      <c r="S66" s="6">
        <f t="shared" ref="S66:V66" si="227">S36/S34</f>
        <v>0.25332947726122479</v>
      </c>
      <c r="T66" s="6">
        <f t="shared" si="227"/>
        <v>0.25427514037774374</v>
      </c>
      <c r="U66" s="6">
        <f t="shared" si="227"/>
        <v>0.25263832058352609</v>
      </c>
      <c r="V66" s="6">
        <f t="shared" si="227"/>
        <v>0.24431710396347248</v>
      </c>
      <c r="W66" s="6">
        <f t="shared" ref="W66:Z66" si="228">W36/W34</f>
        <v>0.24526555955046656</v>
      </c>
      <c r="X66" s="6">
        <f t="shared" si="228"/>
        <v>0.24219051544233575</v>
      </c>
      <c r="Y66" s="6">
        <f t="shared" si="228"/>
        <v>0.24343478630744766</v>
      </c>
      <c r="Z66" s="6">
        <f t="shared" si="228"/>
        <v>0.23544938066907248</v>
      </c>
      <c r="AA66" s="6">
        <f t="shared" ref="AA66:AD66" si="229">AA36/AA34</f>
        <v>0.24305158863040952</v>
      </c>
      <c r="AB66" s="6">
        <f t="shared" si="229"/>
        <v>0.23033800458124234</v>
      </c>
      <c r="AC66" s="6">
        <f t="shared" si="229"/>
        <v>0.23159641636602737</v>
      </c>
      <c r="AD66" s="6">
        <f t="shared" si="229"/>
        <v>0.2236232661222006</v>
      </c>
      <c r="AH66" s="6">
        <f>AH36/AH34</f>
        <v>0.25371994811559273</v>
      </c>
      <c r="AI66" s="6">
        <f t="shared" ref="AI66:AK66" si="230">AI36/AI34</f>
        <v>0.25097734275522204</v>
      </c>
      <c r="AJ66" s="6">
        <f t="shared" si="230"/>
        <v>0.35699829882090689</v>
      </c>
      <c r="AK66" s="6">
        <f t="shared" si="230"/>
        <v>0.24829786587165184</v>
      </c>
      <c r="AL66" s="6">
        <f t="shared" ref="AL66:AO66" si="231">AL36/AL34</f>
        <v>0.25098733487675334</v>
      </c>
      <c r="AM66" s="6">
        <f t="shared" si="231"/>
        <v>0.24140463839525986</v>
      </c>
      <c r="AN66" s="6">
        <f t="shared" si="231"/>
        <v>0.23182498589706982</v>
      </c>
      <c r="AO66" s="6">
        <f t="shared" si="231"/>
        <v>0.25</v>
      </c>
      <c r="AP66" s="6">
        <f t="shared" ref="AP66:AQ66" si="232">AP36/AP34</f>
        <v>0.25</v>
      </c>
      <c r="AQ66" s="6">
        <f t="shared" si="232"/>
        <v>0.25</v>
      </c>
      <c r="AT66" s="11" t="s">
        <v>61</v>
      </c>
      <c r="AU66" s="22">
        <f>Main!C4</f>
        <v>157.79</v>
      </c>
      <c r="AW66" s="33" t="s">
        <v>61</v>
      </c>
      <c r="AX66" s="2">
        <f>Main!C4</f>
        <v>157.79</v>
      </c>
    </row>
    <row r="67" spans="1:50" x14ac:dyDescent="0.25">
      <c r="B67" s="24" t="s">
        <v>49</v>
      </c>
      <c r="C67" s="6">
        <f>C39/C34</f>
        <v>4.4554286978271594E-2</v>
      </c>
      <c r="D67" s="6">
        <f t="shared" ref="D67:R67" si="233">D39/D34</f>
        <v>4.8388796562765998E-2</v>
      </c>
      <c r="E67" s="6">
        <f t="shared" si="233"/>
        <v>3.8675423570576156E-2</v>
      </c>
      <c r="F67" s="6">
        <f t="shared" si="233"/>
        <v>3.2781230965677678E-2</v>
      </c>
      <c r="G67" s="6">
        <f t="shared" si="233"/>
        <v>4.2008313635993152E-2</v>
      </c>
      <c r="H67" s="6">
        <f t="shared" si="233"/>
        <v>4.4912050488955538E-2</v>
      </c>
      <c r="I67" s="6">
        <f t="shared" si="233"/>
        <v>3.9921853731964704E-2</v>
      </c>
      <c r="J67" s="6">
        <f t="shared" si="233"/>
        <v>4.3712579164655277E-2</v>
      </c>
      <c r="K67" s="6">
        <f t="shared" si="233"/>
        <v>3.9903167238248938E-2</v>
      </c>
      <c r="L67" s="6">
        <f t="shared" si="233"/>
        <v>4.2821970132768818E-2</v>
      </c>
      <c r="M67" s="6">
        <f t="shared" si="233"/>
        <v>3.6861966857044633E-2</v>
      </c>
      <c r="N67" s="6">
        <f t="shared" si="233"/>
        <v>3.7565909748642982E-2</v>
      </c>
      <c r="O67" s="6">
        <f t="shared" si="233"/>
        <v>3.8804950156735157E-2</v>
      </c>
      <c r="P67" s="6">
        <f t="shared" si="233"/>
        <v>4.3988035602793629E-2</v>
      </c>
      <c r="Q67" s="6">
        <f t="shared" si="233"/>
        <v>4.2892775484752205E-2</v>
      </c>
      <c r="R67" s="6">
        <f t="shared" si="233"/>
        <v>3.6079932140532227E-2</v>
      </c>
      <c r="S67" s="6">
        <f t="shared" ref="S67:V67" si="234">S39/S34</f>
        <v>4.9953004121177064E-2</v>
      </c>
      <c r="T67" s="6">
        <f t="shared" si="234"/>
        <v>5.2138279167375644E-2</v>
      </c>
      <c r="U67" s="6">
        <f t="shared" si="234"/>
        <v>4.1216865326454369E-2</v>
      </c>
      <c r="V67" s="6">
        <f t="shared" si="234"/>
        <v>3.8509593055582811E-2</v>
      </c>
      <c r="W67" s="6">
        <f t="shared" ref="W67:Z67" si="235">W39/W34</f>
        <v>3.7564721090069156E-2</v>
      </c>
      <c r="X67" s="6">
        <f t="shared" si="235"/>
        <v>4.4838707567104327E-2</v>
      </c>
      <c r="Y67" s="6">
        <f t="shared" si="235"/>
        <v>1.7635934115552997E-2</v>
      </c>
      <c r="Z67" s="6">
        <f t="shared" si="235"/>
        <v>3.3898615039500632E-2</v>
      </c>
      <c r="AA67" s="6">
        <f t="shared" ref="AA67:AD67" si="236">AA39/AA34</f>
        <v>4.0971497232454156E-2</v>
      </c>
      <c r="AB67" s="6">
        <f t="shared" si="236"/>
        <v>3.5467253677941062E-2</v>
      </c>
      <c r="AC67" s="6">
        <f t="shared" si="236"/>
        <v>8.6347064984428519E-3</v>
      </c>
      <c r="AD67" s="6">
        <f t="shared" si="236"/>
        <v>2.4640133595394697E-2</v>
      </c>
      <c r="AH67" s="6">
        <f>AH39/AH34</f>
        <v>4.084597965795464E-2</v>
      </c>
      <c r="AI67" s="6">
        <f t="shared" ref="AI67:AK67" si="237">AI39/AI34</f>
        <v>4.268426628823592E-2</v>
      </c>
      <c r="AJ67" s="6">
        <f t="shared" si="237"/>
        <v>0.17972533453263201</v>
      </c>
      <c r="AK67" s="6">
        <f t="shared" si="237"/>
        <v>4.032542193432543E-2</v>
      </c>
      <c r="AL67" s="6">
        <f t="shared" ref="AL67:AO67" si="238">AL39/AL34</f>
        <v>4.5293441861602016E-2</v>
      </c>
      <c r="AM67" s="6">
        <f t="shared" si="238"/>
        <v>3.3417908714208827E-2</v>
      </c>
      <c r="AN67" s="6">
        <f t="shared" si="238"/>
        <v>2.716596383421116E-2</v>
      </c>
      <c r="AO67" s="6">
        <f t="shared" si="238"/>
        <v>4.7347438937757634E-2</v>
      </c>
      <c r="AP67" s="6">
        <f t="shared" ref="AP67:AQ67" si="239">AP39/AP34</f>
        <v>4.9334228752093333E-2</v>
      </c>
      <c r="AQ67" s="6">
        <f t="shared" si="239"/>
        <v>5.1301540234915961E-2</v>
      </c>
      <c r="AT67" s="11" t="s">
        <v>62</v>
      </c>
      <c r="AU67" s="12">
        <f>AU65/AU66-1</f>
        <v>5.3170357074404206E-2</v>
      </c>
      <c r="AW67" s="11" t="s">
        <v>62</v>
      </c>
      <c r="AX67" s="12">
        <f>AX65/AX66-1</f>
        <v>0.80817334148645514</v>
      </c>
    </row>
    <row r="68" spans="1:50" x14ac:dyDescent="0.25">
      <c r="B68" s="24" t="s">
        <v>28</v>
      </c>
      <c r="C68" s="6">
        <f>C46/C45</f>
        <v>0.32563115104835261</v>
      </c>
      <c r="D68" s="6">
        <f t="shared" ref="D68:R68" si="240">D46/D45</f>
        <v>0.32609639600521062</v>
      </c>
      <c r="E68" s="6">
        <f t="shared" si="240"/>
        <v>0.33865925668634944</v>
      </c>
      <c r="F68" s="6">
        <f t="shared" si="240"/>
        <v>0.20276653171390013</v>
      </c>
      <c r="G68" s="6">
        <f t="shared" si="240"/>
        <v>0.19347980155917788</v>
      </c>
      <c r="H68" s="6">
        <f t="shared" si="240"/>
        <v>2.8266331658291457</v>
      </c>
      <c r="I68" s="6">
        <f t="shared" si="240"/>
        <v>0.29464285714285715</v>
      </c>
      <c r="J68" s="6">
        <f t="shared" si="240"/>
        <v>0.32680084745762711</v>
      </c>
      <c r="K68" s="6">
        <f t="shared" si="240"/>
        <v>0.2425828970331588</v>
      </c>
      <c r="L68" s="6">
        <f t="shared" si="240"/>
        <v>0.25096682271524529</v>
      </c>
      <c r="M68" s="6">
        <f t="shared" si="240"/>
        <v>0.24056711639606676</v>
      </c>
      <c r="N68" s="6">
        <f t="shared" si="240"/>
        <v>0.2430812621188084</v>
      </c>
      <c r="O68" s="6">
        <f t="shared" si="240"/>
        <v>0.24499629355077834</v>
      </c>
      <c r="P68" s="6">
        <f t="shared" si="240"/>
        <v>0.25526254915567892</v>
      </c>
      <c r="Q68" s="6">
        <f t="shared" si="240"/>
        <v>0.2690091356289529</v>
      </c>
      <c r="R68" s="6">
        <f t="shared" si="240"/>
        <v>-2.3861720067453627</v>
      </c>
      <c r="S68" s="6">
        <f t="shared" ref="S68:V68" si="241">S46/S45</f>
        <v>0.26873048907388136</v>
      </c>
      <c r="T68" s="6">
        <f t="shared" si="241"/>
        <v>0.26321121053520175</v>
      </c>
      <c r="U68" s="6">
        <f t="shared" si="241"/>
        <v>0.24475524475524477</v>
      </c>
      <c r="V68" s="6">
        <f t="shared" si="241"/>
        <v>0.24027603513174403</v>
      </c>
      <c r="W68" s="6">
        <f t="shared" ref="W68:Z68" si="242">W46/W45</f>
        <v>0.27507755946225437</v>
      </c>
      <c r="X68" s="6">
        <f t="shared" si="242"/>
        <v>0.225316074653823</v>
      </c>
      <c r="Y68" s="6">
        <f t="shared" si="242"/>
        <v>-0.23480083857442349</v>
      </c>
      <c r="Z68" s="6">
        <f t="shared" si="242"/>
        <v>0.34745001123343067</v>
      </c>
      <c r="AA68" s="6">
        <f t="shared" ref="AA68:AD68" si="243">AA46/AA45</f>
        <v>0.29464285714285715</v>
      </c>
      <c r="AB68" s="6">
        <f t="shared" si="243"/>
        <v>0.3</v>
      </c>
      <c r="AC68" s="6">
        <f t="shared" si="243"/>
        <v>0.3</v>
      </c>
      <c r="AD68" s="6">
        <f t="shared" si="243"/>
        <v>0.3</v>
      </c>
      <c r="AH68" s="6">
        <f>AH46/AH45</f>
        <v>0.30417245255570985</v>
      </c>
      <c r="AI68" s="6">
        <f>AI46/AI45</f>
        <v>0.37356020942408374</v>
      </c>
      <c r="AJ68" s="6">
        <f>AJ46/AJ45</f>
        <v>4.4745275117439275E-2</v>
      </c>
      <c r="AK68" s="6">
        <f>AK46/AK45</f>
        <v>0.33349542890488232</v>
      </c>
      <c r="AL68" s="6">
        <f t="shared" ref="AL68:AO68" si="244">AL46/AL45</f>
        <v>0.25438596491228072</v>
      </c>
      <c r="AM68" s="6">
        <f t="shared" si="244"/>
        <v>0.33638928067700985</v>
      </c>
      <c r="AN68" s="6">
        <f t="shared" si="244"/>
        <v>0.29890496211853418</v>
      </c>
      <c r="AO68" s="6">
        <f t="shared" si="244"/>
        <v>0.3</v>
      </c>
      <c r="AP68" s="6">
        <f t="shared" ref="AP68:AQ68" si="245">AP46/AP45</f>
        <v>0.3</v>
      </c>
      <c r="AQ68" s="6">
        <f t="shared" si="245"/>
        <v>0.3</v>
      </c>
    </row>
    <row r="71" spans="1:50" s="9" customFormat="1" x14ac:dyDescent="0.25">
      <c r="A71" s="3"/>
      <c r="B71" s="3" t="s">
        <v>63</v>
      </c>
      <c r="C71" s="9">
        <f t="shared" ref="C71:V71" si="246">C72-C84-C89-C94</f>
        <v>-33102</v>
      </c>
      <c r="D71" s="9">
        <f t="shared" si="246"/>
        <v>-33753</v>
      </c>
      <c r="E71" s="9">
        <f t="shared" si="246"/>
        <v>-35551</v>
      </c>
      <c r="F71" s="9">
        <f t="shared" si="246"/>
        <v>-32284</v>
      </c>
      <c r="G71" s="9">
        <f t="shared" si="246"/>
        <v>-30930</v>
      </c>
      <c r="H71" s="9">
        <f t="shared" si="246"/>
        <v>-30652</v>
      </c>
      <c r="I71" s="9">
        <f t="shared" si="246"/>
        <v>-44487</v>
      </c>
      <c r="J71" s="9">
        <f t="shared" si="246"/>
        <v>-42899</v>
      </c>
      <c r="K71" s="9">
        <f t="shared" si="246"/>
        <v>-44462</v>
      </c>
      <c r="L71" s="9">
        <f t="shared" si="246"/>
        <v>-43198</v>
      </c>
      <c r="M71" s="9">
        <f t="shared" si="246"/>
        <v>-45325</v>
      </c>
      <c r="N71" s="9">
        <f t="shared" si="246"/>
        <v>-40186</v>
      </c>
      <c r="O71" s="9">
        <f t="shared" si="246"/>
        <v>-38107</v>
      </c>
      <c r="P71" s="9">
        <f t="shared" si="246"/>
        <v>-29963</v>
      </c>
      <c r="Q71" s="9">
        <f t="shared" si="246"/>
        <v>-31122</v>
      </c>
      <c r="R71" s="9">
        <f t="shared" si="246"/>
        <v>-26792</v>
      </c>
      <c r="S71" s="9">
        <f t="shared" si="246"/>
        <v>-21289</v>
      </c>
      <c r="T71" s="9">
        <f t="shared" si="246"/>
        <v>-19038</v>
      </c>
      <c r="U71" s="9">
        <f t="shared" si="246"/>
        <v>-22336</v>
      </c>
      <c r="V71" s="9">
        <f t="shared" si="246"/>
        <v>-23317</v>
      </c>
      <c r="W71" s="9">
        <f>W72-W84-W89-W94</f>
        <v>-35369</v>
      </c>
      <c r="X71" s="9">
        <f t="shared" ref="X71:Z71" si="247">X72-X84-X89-X94</f>
        <v>-31828</v>
      </c>
      <c r="Y71" s="9">
        <f t="shared" si="247"/>
        <v>0</v>
      </c>
      <c r="Z71" s="9">
        <f t="shared" si="247"/>
        <v>-30587</v>
      </c>
      <c r="AA71" s="9">
        <f t="shared" ref="AA71:AD71" si="248">AA72-AA84-AA89-AA94</f>
        <v>-33231</v>
      </c>
      <c r="AB71" s="9">
        <f t="shared" si="248"/>
        <v>0</v>
      </c>
      <c r="AC71" s="9">
        <f t="shared" si="248"/>
        <v>0</v>
      </c>
      <c r="AD71" s="9">
        <f t="shared" si="248"/>
        <v>0</v>
      </c>
      <c r="AH71" s="9">
        <f t="shared" ref="AH71:AL71" si="249">AH72-AH84-AH89-AH94</f>
        <v>-32284</v>
      </c>
      <c r="AI71" s="9">
        <f t="shared" si="249"/>
        <v>-42899</v>
      </c>
      <c r="AJ71" s="9">
        <f t="shared" si="249"/>
        <v>-40186</v>
      </c>
      <c r="AK71" s="9">
        <f t="shared" si="249"/>
        <v>-26792</v>
      </c>
      <c r="AL71" s="9">
        <f t="shared" si="249"/>
        <v>-23317</v>
      </c>
    </row>
    <row r="72" spans="1:50" x14ac:dyDescent="0.25">
      <c r="B72" s="20" t="s">
        <v>82</v>
      </c>
      <c r="C72" s="29">
        <v>6545</v>
      </c>
      <c r="D72" s="29">
        <v>6469</v>
      </c>
      <c r="E72" s="29">
        <v>7026</v>
      </c>
      <c r="F72" s="29">
        <v>6756</v>
      </c>
      <c r="G72" s="29">
        <v>7885</v>
      </c>
      <c r="H72" s="29">
        <v>15840</v>
      </c>
      <c r="I72" s="29">
        <v>9174</v>
      </c>
      <c r="J72" s="29">
        <v>7722</v>
      </c>
      <c r="K72" s="29">
        <v>9255</v>
      </c>
      <c r="L72" s="29">
        <v>9283</v>
      </c>
      <c r="M72" s="29">
        <v>8606</v>
      </c>
      <c r="N72" s="29">
        <v>9465</v>
      </c>
      <c r="O72" s="29">
        <v>14930</v>
      </c>
      <c r="P72" s="29">
        <v>16906</v>
      </c>
      <c r="Q72" s="29">
        <v>14325</v>
      </c>
      <c r="R72" s="29">
        <v>17741</v>
      </c>
      <c r="S72" s="29">
        <v>22846</v>
      </c>
      <c r="T72" s="29">
        <v>22831</v>
      </c>
      <c r="U72" s="29">
        <v>16111</v>
      </c>
      <c r="V72" s="29">
        <v>14760</v>
      </c>
      <c r="W72" s="29">
        <v>11817</v>
      </c>
      <c r="X72" s="2">
        <v>13923</v>
      </c>
      <c r="Z72" s="2">
        <v>8625</v>
      </c>
      <c r="AA72" s="2">
        <v>10575</v>
      </c>
      <c r="AH72" s="2">
        <f>F72</f>
        <v>6756</v>
      </c>
      <c r="AI72" s="2">
        <f>J72</f>
        <v>7722</v>
      </c>
      <c r="AJ72" s="2">
        <f>N72</f>
        <v>9465</v>
      </c>
      <c r="AK72" s="2">
        <f>R72</f>
        <v>17741</v>
      </c>
      <c r="AL72" s="2">
        <f>V72</f>
        <v>14760</v>
      </c>
    </row>
    <row r="73" spans="1:50" x14ac:dyDescent="0.25">
      <c r="B73" s="20" t="s">
        <v>83</v>
      </c>
      <c r="C73" s="29">
        <v>5252</v>
      </c>
      <c r="D73" s="29">
        <v>5395</v>
      </c>
      <c r="E73" s="29">
        <v>5865</v>
      </c>
      <c r="F73" s="29">
        <v>5614</v>
      </c>
      <c r="G73" s="29">
        <v>4568</v>
      </c>
      <c r="H73" s="29">
        <v>5002</v>
      </c>
      <c r="I73" s="29">
        <v>5785</v>
      </c>
      <c r="J73" s="29">
        <v>6283</v>
      </c>
      <c r="K73" s="29">
        <v>5342</v>
      </c>
      <c r="L73" s="29">
        <v>5382</v>
      </c>
      <c r="M73" s="29">
        <v>5612</v>
      </c>
      <c r="N73" s="29">
        <v>6284</v>
      </c>
      <c r="O73" s="29">
        <v>5029</v>
      </c>
      <c r="P73" s="29">
        <v>5111</v>
      </c>
      <c r="Q73" s="29">
        <v>5770</v>
      </c>
      <c r="R73" s="29">
        <v>6516</v>
      </c>
      <c r="S73" s="29">
        <v>5797</v>
      </c>
      <c r="T73" s="29">
        <v>6103</v>
      </c>
      <c r="U73" s="29">
        <v>7349</v>
      </c>
      <c r="V73" s="29">
        <v>8280</v>
      </c>
      <c r="W73" s="29">
        <v>7674</v>
      </c>
      <c r="X73" s="2">
        <v>7522</v>
      </c>
      <c r="Z73" s="2">
        <v>7933</v>
      </c>
      <c r="AA73" s="2">
        <v>7647</v>
      </c>
      <c r="AH73" s="2">
        <f>F73</f>
        <v>5614</v>
      </c>
      <c r="AI73" s="2">
        <f t="shared" ref="AI73:AI75" si="250">J73</f>
        <v>6283</v>
      </c>
      <c r="AJ73" s="2">
        <f t="shared" ref="AJ73:AJ75" si="251">N73</f>
        <v>6284</v>
      </c>
      <c r="AK73" s="2">
        <f t="shared" ref="AK73:AK75" si="252">R73</f>
        <v>6516</v>
      </c>
      <c r="AL73" s="2">
        <f t="shared" ref="AL73:AL75" si="253">V73</f>
        <v>8280</v>
      </c>
    </row>
    <row r="74" spans="1:50" x14ac:dyDescent="0.25">
      <c r="B74" s="20" t="s">
        <v>84</v>
      </c>
      <c r="C74" s="29">
        <v>43361</v>
      </c>
      <c r="D74" s="29">
        <v>43442</v>
      </c>
      <c r="E74" s="29">
        <v>50147</v>
      </c>
      <c r="F74" s="29">
        <v>43783</v>
      </c>
      <c r="G74" s="29">
        <v>43303</v>
      </c>
      <c r="H74" s="29">
        <v>41985</v>
      </c>
      <c r="I74" s="29">
        <v>50380</v>
      </c>
      <c r="J74" s="29">
        <v>44269</v>
      </c>
      <c r="K74" s="29">
        <v>44751</v>
      </c>
      <c r="L74" s="29">
        <v>44134</v>
      </c>
      <c r="M74" s="29">
        <v>51546</v>
      </c>
      <c r="N74" s="29">
        <v>44435</v>
      </c>
      <c r="O74" s="29">
        <v>41217</v>
      </c>
      <c r="P74" s="29">
        <v>41084</v>
      </c>
      <c r="Q74" s="29">
        <v>51842</v>
      </c>
      <c r="R74" s="29">
        <v>44949</v>
      </c>
      <c r="S74" s="29">
        <v>46383</v>
      </c>
      <c r="T74" s="29">
        <v>47754</v>
      </c>
      <c r="U74" s="29">
        <v>57484</v>
      </c>
      <c r="V74" s="29">
        <v>56511</v>
      </c>
      <c r="W74" s="29">
        <v>61229</v>
      </c>
      <c r="X74" s="2">
        <v>59921</v>
      </c>
      <c r="Z74" s="2">
        <v>56576</v>
      </c>
      <c r="AA74" s="2">
        <v>56932</v>
      </c>
      <c r="AH74" s="2">
        <f>F74</f>
        <v>43783</v>
      </c>
      <c r="AI74" s="2">
        <f t="shared" si="250"/>
        <v>44269</v>
      </c>
      <c r="AJ74" s="2">
        <f t="shared" si="251"/>
        <v>44435</v>
      </c>
      <c r="AK74" s="2">
        <f t="shared" si="252"/>
        <v>44949</v>
      </c>
      <c r="AL74" s="2">
        <f t="shared" si="253"/>
        <v>56511</v>
      </c>
    </row>
    <row r="75" spans="1:50" x14ac:dyDescent="0.25">
      <c r="B75" s="20" t="s">
        <v>85</v>
      </c>
      <c r="C75" s="29">
        <v>2178</v>
      </c>
      <c r="D75" s="29">
        <v>1457</v>
      </c>
      <c r="E75" s="29">
        <v>2330</v>
      </c>
      <c r="F75" s="29">
        <v>3511</v>
      </c>
      <c r="G75" s="29">
        <v>3486</v>
      </c>
      <c r="H75" s="29">
        <v>3543</v>
      </c>
      <c r="I75" s="29">
        <v>4107</v>
      </c>
      <c r="J75" s="29">
        <v>3623</v>
      </c>
      <c r="K75" s="29">
        <v>2391</v>
      </c>
      <c r="L75" s="29">
        <v>2572</v>
      </c>
      <c r="M75" s="29">
        <v>2148</v>
      </c>
      <c r="N75" s="29">
        <v>1622</v>
      </c>
      <c r="O75" s="29">
        <v>2152</v>
      </c>
      <c r="P75" s="29">
        <v>1895</v>
      </c>
      <c r="Q75" s="29">
        <v>1665</v>
      </c>
      <c r="R75" s="29">
        <v>20861</v>
      </c>
      <c r="S75" s="29">
        <v>1565</v>
      </c>
      <c r="T75" s="29">
        <v>1555</v>
      </c>
      <c r="U75" s="29">
        <v>2020</v>
      </c>
      <c r="V75" s="29">
        <v>1519</v>
      </c>
      <c r="W75" s="29">
        <v>2500</v>
      </c>
      <c r="X75" s="2">
        <v>2798</v>
      </c>
      <c r="Z75" s="2">
        <v>2521</v>
      </c>
      <c r="AA75" s="2">
        <v>3357</v>
      </c>
      <c r="AH75" s="2">
        <f>F75</f>
        <v>3511</v>
      </c>
      <c r="AI75" s="2">
        <f t="shared" si="250"/>
        <v>3623</v>
      </c>
      <c r="AJ75" s="2">
        <f t="shared" si="251"/>
        <v>1622</v>
      </c>
      <c r="AK75" s="2">
        <f t="shared" si="252"/>
        <v>20861</v>
      </c>
      <c r="AL75" s="2">
        <f t="shared" si="253"/>
        <v>1519</v>
      </c>
    </row>
    <row r="76" spans="1:50" s="9" customFormat="1" x14ac:dyDescent="0.25">
      <c r="A76" s="3"/>
      <c r="B76" s="3" t="s">
        <v>86</v>
      </c>
      <c r="C76" s="9">
        <f>SUM(C72:C75)</f>
        <v>57336</v>
      </c>
      <c r="D76" s="9">
        <f t="shared" ref="D76:V76" si="254">SUM(D72:D75)</f>
        <v>56763</v>
      </c>
      <c r="E76" s="9">
        <f t="shared" si="254"/>
        <v>65368</v>
      </c>
      <c r="F76" s="9">
        <f t="shared" si="254"/>
        <v>59664</v>
      </c>
      <c r="G76" s="9">
        <f t="shared" si="254"/>
        <v>59242</v>
      </c>
      <c r="H76" s="9">
        <f t="shared" si="254"/>
        <v>66370</v>
      </c>
      <c r="I76" s="9">
        <f t="shared" si="254"/>
        <v>69446</v>
      </c>
      <c r="J76" s="9">
        <f t="shared" si="254"/>
        <v>61897</v>
      </c>
      <c r="K76" s="9">
        <f t="shared" si="254"/>
        <v>61739</v>
      </c>
      <c r="L76" s="9">
        <f t="shared" si="254"/>
        <v>61371</v>
      </c>
      <c r="M76" s="9">
        <f t="shared" si="254"/>
        <v>67912</v>
      </c>
      <c r="N76" s="9">
        <f t="shared" si="254"/>
        <v>61806</v>
      </c>
      <c r="O76" s="9">
        <f t="shared" si="254"/>
        <v>63328</v>
      </c>
      <c r="P76" s="9">
        <f t="shared" si="254"/>
        <v>64996</v>
      </c>
      <c r="Q76" s="9">
        <f t="shared" si="254"/>
        <v>73602</v>
      </c>
      <c r="R76" s="9">
        <f t="shared" si="254"/>
        <v>90067</v>
      </c>
      <c r="S76" s="9">
        <f t="shared" si="254"/>
        <v>76591</v>
      </c>
      <c r="T76" s="9">
        <f t="shared" si="254"/>
        <v>78243</v>
      </c>
      <c r="U76" s="9">
        <f t="shared" si="254"/>
        <v>82964</v>
      </c>
      <c r="V76" s="9">
        <f t="shared" si="254"/>
        <v>81070</v>
      </c>
      <c r="W76" s="9">
        <f>SUM(W72:W75)</f>
        <v>83220</v>
      </c>
      <c r="X76" s="9">
        <f t="shared" ref="X76:Z76" si="255">SUM(X72:X75)</f>
        <v>84164</v>
      </c>
      <c r="Y76" s="9">
        <f t="shared" si="255"/>
        <v>0</v>
      </c>
      <c r="Z76" s="9">
        <f t="shared" si="255"/>
        <v>75655</v>
      </c>
      <c r="AA76" s="9">
        <f t="shared" ref="AA76:AD76" si="256">SUM(AA72:AA75)</f>
        <v>78511</v>
      </c>
      <c r="AB76" s="9">
        <f t="shared" si="256"/>
        <v>0</v>
      </c>
      <c r="AC76" s="9">
        <f t="shared" si="256"/>
        <v>0</v>
      </c>
      <c r="AD76" s="9">
        <f t="shared" si="256"/>
        <v>0</v>
      </c>
      <c r="AH76" s="9">
        <f t="shared" ref="AH76:AL76" si="257">SUM(AH72:AH75)</f>
        <v>59664</v>
      </c>
      <c r="AI76" s="9">
        <f t="shared" si="257"/>
        <v>61897</v>
      </c>
      <c r="AJ76" s="9">
        <f t="shared" si="257"/>
        <v>61806</v>
      </c>
      <c r="AK76" s="9">
        <f t="shared" si="257"/>
        <v>90067</v>
      </c>
      <c r="AL76" s="9">
        <f t="shared" si="257"/>
        <v>81070</v>
      </c>
    </row>
    <row r="77" spans="1:50" x14ac:dyDescent="0.25">
      <c r="B77" s="20" t="s">
        <v>87</v>
      </c>
      <c r="C77" s="29">
        <v>107450</v>
      </c>
      <c r="D77" s="29">
        <v>108170</v>
      </c>
      <c r="E77" s="29">
        <v>108155</v>
      </c>
      <c r="F77" s="29">
        <v>107675</v>
      </c>
      <c r="G77" s="29">
        <v>107622</v>
      </c>
      <c r="H77" s="29">
        <v>104019</v>
      </c>
      <c r="I77" s="29">
        <v>104358</v>
      </c>
      <c r="J77" s="29">
        <v>104317</v>
      </c>
      <c r="K77" s="29">
        <v>104604</v>
      </c>
      <c r="L77" s="29">
        <v>104674</v>
      </c>
      <c r="M77" s="29">
        <v>104326</v>
      </c>
      <c r="N77" s="29">
        <v>105208</v>
      </c>
      <c r="O77" s="29">
        <v>101872</v>
      </c>
      <c r="P77" s="29">
        <v>101182</v>
      </c>
      <c r="Q77" s="29">
        <v>102232</v>
      </c>
      <c r="R77" s="29">
        <v>92201</v>
      </c>
      <c r="S77" s="29">
        <v>90996</v>
      </c>
      <c r="T77" s="29">
        <v>91621</v>
      </c>
      <c r="U77" s="29">
        <v>92242</v>
      </c>
      <c r="V77" s="29">
        <v>94515</v>
      </c>
      <c r="W77" s="29">
        <v>94741</v>
      </c>
      <c r="X77" s="2">
        <v>96006</v>
      </c>
      <c r="Z77" s="2">
        <v>100760</v>
      </c>
      <c r="AA77" s="2">
        <v>102335</v>
      </c>
      <c r="AH77" s="2">
        <f t="shared" ref="AH77:AH82" si="258">F77</f>
        <v>107675</v>
      </c>
      <c r="AI77" s="2">
        <f t="shared" ref="AI77:AI82" si="259">J77</f>
        <v>104317</v>
      </c>
      <c r="AJ77" s="2">
        <f t="shared" ref="AJ77:AJ82" si="260">N77</f>
        <v>105208</v>
      </c>
      <c r="AK77" s="2">
        <f t="shared" ref="AK77:AK82" si="261">R77</f>
        <v>92201</v>
      </c>
      <c r="AL77" s="2">
        <f t="shared" ref="AL77:AL82" si="262">V77</f>
        <v>94515</v>
      </c>
    </row>
    <row r="78" spans="1:50" x14ac:dyDescent="0.25">
      <c r="B78" s="20" t="s">
        <v>88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16833</v>
      </c>
      <c r="L78" s="29">
        <v>17239</v>
      </c>
      <c r="M78" s="29">
        <v>16944</v>
      </c>
      <c r="N78" s="29">
        <v>17424</v>
      </c>
      <c r="O78" s="29">
        <v>16895</v>
      </c>
      <c r="P78" s="29">
        <v>16869</v>
      </c>
      <c r="Q78" s="29">
        <v>17128</v>
      </c>
      <c r="R78" s="29">
        <v>13642</v>
      </c>
      <c r="S78" s="29">
        <v>13650</v>
      </c>
      <c r="T78" s="29">
        <v>13868</v>
      </c>
      <c r="U78" s="29">
        <v>13863</v>
      </c>
      <c r="V78" s="29">
        <v>13758</v>
      </c>
      <c r="W78" s="29">
        <v>13971</v>
      </c>
      <c r="X78" s="2">
        <v>13872</v>
      </c>
      <c r="Z78" s="2">
        <v>13555</v>
      </c>
      <c r="AA78" s="2">
        <v>13679</v>
      </c>
      <c r="AH78" s="2">
        <f t="shared" si="258"/>
        <v>0</v>
      </c>
      <c r="AI78" s="2">
        <f t="shared" si="259"/>
        <v>0</v>
      </c>
      <c r="AJ78" s="2">
        <f t="shared" si="260"/>
        <v>17424</v>
      </c>
      <c r="AK78" s="2">
        <f t="shared" si="261"/>
        <v>13642</v>
      </c>
      <c r="AL78" s="2">
        <f t="shared" si="262"/>
        <v>13758</v>
      </c>
    </row>
    <row r="79" spans="1:50" x14ac:dyDescent="0.25">
      <c r="B79" s="20" t="s">
        <v>89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3804</v>
      </c>
      <c r="L79" s="29">
        <v>3949</v>
      </c>
      <c r="M79" s="29">
        <v>4155</v>
      </c>
      <c r="N79" s="29">
        <v>4417</v>
      </c>
      <c r="O79" s="29">
        <v>4611</v>
      </c>
      <c r="P79" s="29">
        <v>4843</v>
      </c>
      <c r="Q79" s="29">
        <v>4929</v>
      </c>
      <c r="R79" s="29">
        <v>4005</v>
      </c>
      <c r="S79" s="29">
        <v>3979</v>
      </c>
      <c r="T79" s="29">
        <v>4109</v>
      </c>
      <c r="U79" s="29">
        <v>4226</v>
      </c>
      <c r="V79" s="29">
        <v>4351</v>
      </c>
      <c r="W79" s="29">
        <v>4505</v>
      </c>
      <c r="X79" s="2">
        <v>4514</v>
      </c>
      <c r="Z79" s="2">
        <v>4919</v>
      </c>
      <c r="AA79" s="2">
        <v>5124</v>
      </c>
      <c r="AH79" s="2">
        <f t="shared" si="258"/>
        <v>0</v>
      </c>
      <c r="AI79" s="2">
        <f t="shared" si="259"/>
        <v>0</v>
      </c>
      <c r="AJ79" s="2">
        <f t="shared" si="260"/>
        <v>4417</v>
      </c>
      <c r="AK79" s="2">
        <f t="shared" si="261"/>
        <v>4005</v>
      </c>
      <c r="AL79" s="2">
        <f t="shared" si="262"/>
        <v>4351</v>
      </c>
    </row>
    <row r="80" spans="1:50" x14ac:dyDescent="0.25">
      <c r="B80" s="28" t="s">
        <v>110</v>
      </c>
      <c r="C80" s="29">
        <v>6719</v>
      </c>
      <c r="D80" s="29">
        <v>7183</v>
      </c>
      <c r="E80" s="29">
        <v>7144</v>
      </c>
      <c r="F80" s="29">
        <v>7143</v>
      </c>
      <c r="G80" s="29">
        <v>7178</v>
      </c>
      <c r="H80" s="29">
        <v>6998</v>
      </c>
      <c r="I80" s="29">
        <v>6991</v>
      </c>
      <c r="J80" s="29">
        <v>7078</v>
      </c>
      <c r="K80" s="29">
        <v>0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">
        <v>0</v>
      </c>
      <c r="Z80" s="2">
        <v>0</v>
      </c>
      <c r="AA80" s="2">
        <v>0</v>
      </c>
      <c r="AH80" s="2">
        <f t="shared" si="258"/>
        <v>7143</v>
      </c>
      <c r="AI80" s="2">
        <f t="shared" si="259"/>
        <v>7078</v>
      </c>
      <c r="AJ80" s="2">
        <f t="shared" si="260"/>
        <v>0</v>
      </c>
      <c r="AK80" s="2">
        <f t="shared" si="261"/>
        <v>0</v>
      </c>
      <c r="AL80" s="2">
        <f t="shared" si="262"/>
        <v>0</v>
      </c>
    </row>
    <row r="81" spans="1:38" x14ac:dyDescent="0.25">
      <c r="B81" s="20" t="s">
        <v>90</v>
      </c>
      <c r="C81" s="29">
        <v>17575</v>
      </c>
      <c r="D81" s="29">
        <v>18037</v>
      </c>
      <c r="E81" s="29">
        <v>18204</v>
      </c>
      <c r="F81" s="29">
        <v>18242</v>
      </c>
      <c r="G81" s="29">
        <v>18850</v>
      </c>
      <c r="H81" s="29">
        <v>17840</v>
      </c>
      <c r="I81" s="29">
        <v>31044</v>
      </c>
      <c r="J81" s="29">
        <v>31181</v>
      </c>
      <c r="K81" s="29">
        <v>31416</v>
      </c>
      <c r="L81" s="29">
        <v>31454</v>
      </c>
      <c r="M81" s="29">
        <v>30716</v>
      </c>
      <c r="N81" s="29">
        <v>31073</v>
      </c>
      <c r="O81" s="29">
        <v>29416</v>
      </c>
      <c r="P81" s="29">
        <v>29542</v>
      </c>
      <c r="Q81" s="29">
        <v>30236</v>
      </c>
      <c r="R81" s="29">
        <v>28983</v>
      </c>
      <c r="S81" s="29">
        <v>28872</v>
      </c>
      <c r="T81" s="29">
        <v>29159</v>
      </c>
      <c r="U81" s="29">
        <v>28923</v>
      </c>
      <c r="V81" s="29">
        <v>29014</v>
      </c>
      <c r="W81" s="29">
        <v>29438</v>
      </c>
      <c r="X81" s="2">
        <v>28664</v>
      </c>
      <c r="Z81" s="2">
        <v>28174</v>
      </c>
      <c r="AA81" s="2">
        <v>28306</v>
      </c>
      <c r="AH81" s="2">
        <f t="shared" si="258"/>
        <v>18242</v>
      </c>
      <c r="AI81" s="2">
        <f t="shared" si="259"/>
        <v>31181</v>
      </c>
      <c r="AJ81" s="2">
        <f t="shared" si="260"/>
        <v>31073</v>
      </c>
      <c r="AK81" s="2">
        <f t="shared" si="261"/>
        <v>28983</v>
      </c>
      <c r="AL81" s="2">
        <f t="shared" si="262"/>
        <v>29014</v>
      </c>
    </row>
    <row r="82" spans="1:38" x14ac:dyDescent="0.25">
      <c r="B82" s="20" t="s">
        <v>91</v>
      </c>
      <c r="C82" s="29">
        <v>10638</v>
      </c>
      <c r="D82" s="29">
        <v>11413</v>
      </c>
      <c r="E82" s="29">
        <v>10543</v>
      </c>
      <c r="F82" s="29">
        <v>11798</v>
      </c>
      <c r="G82" s="29">
        <v>12035</v>
      </c>
      <c r="H82" s="29">
        <v>10835</v>
      </c>
      <c r="I82" s="29">
        <v>14744</v>
      </c>
      <c r="J82" s="29">
        <v>14822</v>
      </c>
      <c r="K82" s="29">
        <v>16148</v>
      </c>
      <c r="L82" s="29">
        <v>16174</v>
      </c>
      <c r="M82" s="29">
        <v>15777</v>
      </c>
      <c r="N82" s="29">
        <v>16567</v>
      </c>
      <c r="O82" s="29">
        <v>16770</v>
      </c>
      <c r="P82" s="29">
        <v>19950</v>
      </c>
      <c r="Q82" s="29">
        <v>22736</v>
      </c>
      <c r="R82" s="29">
        <v>23598</v>
      </c>
      <c r="S82" s="29">
        <v>22493</v>
      </c>
      <c r="T82" s="29">
        <v>21552</v>
      </c>
      <c r="U82" s="29">
        <v>22633</v>
      </c>
      <c r="V82" s="29">
        <v>22152</v>
      </c>
      <c r="W82" s="29">
        <v>20267</v>
      </c>
      <c r="X82" s="2">
        <v>19979</v>
      </c>
      <c r="Z82" s="2">
        <v>20134</v>
      </c>
      <c r="AA82" s="2">
        <v>17098</v>
      </c>
      <c r="AH82" s="2">
        <f t="shared" si="258"/>
        <v>11798</v>
      </c>
      <c r="AI82" s="2">
        <f t="shared" si="259"/>
        <v>14822</v>
      </c>
      <c r="AJ82" s="2">
        <f t="shared" si="260"/>
        <v>16567</v>
      </c>
      <c r="AK82" s="2">
        <f t="shared" si="261"/>
        <v>23598</v>
      </c>
      <c r="AL82" s="2">
        <f t="shared" si="262"/>
        <v>22152</v>
      </c>
    </row>
    <row r="83" spans="1:38" s="9" customFormat="1" x14ac:dyDescent="0.25">
      <c r="A83" s="3"/>
      <c r="B83" s="3" t="s">
        <v>92</v>
      </c>
      <c r="C83" s="9">
        <f>SUM(C76:C82)</f>
        <v>199718</v>
      </c>
      <c r="D83" s="9">
        <f t="shared" ref="D83:U83" si="263">SUM(D76:D82)</f>
        <v>201566</v>
      </c>
      <c r="E83" s="9">
        <f t="shared" si="263"/>
        <v>209414</v>
      </c>
      <c r="F83" s="9">
        <f t="shared" si="263"/>
        <v>204522</v>
      </c>
      <c r="G83" s="9">
        <f t="shared" si="263"/>
        <v>204927</v>
      </c>
      <c r="H83" s="9">
        <f t="shared" si="263"/>
        <v>206062</v>
      </c>
      <c r="I83" s="9">
        <f t="shared" si="263"/>
        <v>226583</v>
      </c>
      <c r="J83" s="9">
        <f t="shared" si="263"/>
        <v>219295</v>
      </c>
      <c r="K83" s="9">
        <f t="shared" si="263"/>
        <v>234544</v>
      </c>
      <c r="L83" s="9">
        <f t="shared" si="263"/>
        <v>234861</v>
      </c>
      <c r="M83" s="9">
        <f t="shared" si="263"/>
        <v>239830</v>
      </c>
      <c r="N83" s="9">
        <f t="shared" si="263"/>
        <v>236495</v>
      </c>
      <c r="O83" s="9">
        <f t="shared" si="263"/>
        <v>232892</v>
      </c>
      <c r="P83" s="9">
        <f t="shared" si="263"/>
        <v>237382</v>
      </c>
      <c r="Q83" s="9">
        <f t="shared" si="263"/>
        <v>250863</v>
      </c>
      <c r="R83" s="9">
        <f t="shared" si="263"/>
        <v>252496</v>
      </c>
      <c r="S83" s="9">
        <f t="shared" si="263"/>
        <v>236581</v>
      </c>
      <c r="T83" s="9">
        <f t="shared" si="263"/>
        <v>238552</v>
      </c>
      <c r="U83" s="9">
        <f t="shared" si="263"/>
        <v>244851</v>
      </c>
      <c r="V83" s="9">
        <f>SUM(V76:V82)</f>
        <v>244860</v>
      </c>
      <c r="W83" s="9">
        <f>SUM(W76:W82)</f>
        <v>246142</v>
      </c>
      <c r="X83" s="9">
        <f t="shared" ref="X83:Z83" si="264">SUM(X76:X82)</f>
        <v>247199</v>
      </c>
      <c r="Y83" s="9">
        <f t="shared" si="264"/>
        <v>0</v>
      </c>
      <c r="Z83" s="9">
        <f t="shared" si="264"/>
        <v>243197</v>
      </c>
      <c r="AA83" s="9">
        <f t="shared" ref="AA83:AD83" si="265">SUM(AA76:AA82)</f>
        <v>245053</v>
      </c>
      <c r="AB83" s="9">
        <f t="shared" si="265"/>
        <v>0</v>
      </c>
      <c r="AC83" s="9">
        <f t="shared" si="265"/>
        <v>0</v>
      </c>
      <c r="AD83" s="9">
        <f t="shared" si="265"/>
        <v>0</v>
      </c>
      <c r="AH83" s="9">
        <f t="shared" ref="AH83:AL83" si="266">SUM(AH76:AH82)</f>
        <v>204522</v>
      </c>
      <c r="AI83" s="9">
        <f t="shared" si="266"/>
        <v>219295</v>
      </c>
      <c r="AJ83" s="9">
        <f t="shared" si="266"/>
        <v>236495</v>
      </c>
      <c r="AK83" s="9">
        <f t="shared" si="266"/>
        <v>252496</v>
      </c>
      <c r="AL83" s="9">
        <f t="shared" si="266"/>
        <v>244860</v>
      </c>
    </row>
    <row r="84" spans="1:38" x14ac:dyDescent="0.25">
      <c r="B84" s="20" t="s">
        <v>93</v>
      </c>
      <c r="C84" s="29">
        <v>2617</v>
      </c>
      <c r="D84" s="29">
        <v>3262</v>
      </c>
      <c r="E84" s="29">
        <v>5114</v>
      </c>
      <c r="F84" s="29">
        <v>5257</v>
      </c>
      <c r="G84" s="29">
        <v>7762</v>
      </c>
      <c r="H84" s="29">
        <v>444</v>
      </c>
      <c r="I84" s="29">
        <v>7795</v>
      </c>
      <c r="J84" s="29">
        <v>5225</v>
      </c>
      <c r="K84" s="29">
        <v>4828</v>
      </c>
      <c r="L84" s="29">
        <v>3681</v>
      </c>
      <c r="M84" s="29">
        <v>4926</v>
      </c>
      <c r="N84" s="29">
        <v>575</v>
      </c>
      <c r="O84" s="29">
        <v>4048</v>
      </c>
      <c r="P84" s="29">
        <v>357</v>
      </c>
      <c r="Q84" s="29">
        <v>240</v>
      </c>
      <c r="R84" s="29">
        <v>224</v>
      </c>
      <c r="S84" s="29">
        <v>362</v>
      </c>
      <c r="T84" s="29">
        <v>671</v>
      </c>
      <c r="U84" s="29">
        <v>447</v>
      </c>
      <c r="V84" s="29">
        <v>410</v>
      </c>
      <c r="W84" s="29">
        <v>11432</v>
      </c>
      <c r="X84" s="2">
        <v>10634</v>
      </c>
      <c r="Z84" s="2">
        <v>372</v>
      </c>
      <c r="AA84" s="2">
        <v>1711</v>
      </c>
      <c r="AH84" s="2">
        <f t="shared" ref="AH84:AH92" si="267">F84</f>
        <v>5257</v>
      </c>
      <c r="AI84" s="2">
        <f t="shared" ref="AI84:AI92" si="268">J84</f>
        <v>5225</v>
      </c>
      <c r="AJ84" s="2">
        <f t="shared" ref="AJ84:AJ92" si="269">N84</f>
        <v>575</v>
      </c>
      <c r="AK84" s="2">
        <f t="shared" ref="AK84:AK92" si="270">R84</f>
        <v>224</v>
      </c>
      <c r="AL84" s="2">
        <f t="shared" ref="AL84:AL92" si="271">V84</f>
        <v>410</v>
      </c>
    </row>
    <row r="85" spans="1:38" x14ac:dyDescent="0.25">
      <c r="B85" s="20" t="s">
        <v>94</v>
      </c>
      <c r="C85" s="29">
        <v>41367</v>
      </c>
      <c r="D85" s="29">
        <v>42389</v>
      </c>
      <c r="E85" s="29">
        <v>47587</v>
      </c>
      <c r="F85" s="29">
        <v>46092</v>
      </c>
      <c r="G85" s="29">
        <v>44612</v>
      </c>
      <c r="H85" s="29">
        <v>43128</v>
      </c>
      <c r="I85" s="29">
        <v>49729</v>
      </c>
      <c r="J85" s="29">
        <v>47060</v>
      </c>
      <c r="K85" s="29">
        <v>45110</v>
      </c>
      <c r="L85" s="29">
        <v>45871</v>
      </c>
      <c r="M85" s="29">
        <v>49750</v>
      </c>
      <c r="N85" s="29">
        <v>46973</v>
      </c>
      <c r="O85" s="29">
        <v>44096</v>
      </c>
      <c r="P85" s="29">
        <v>46326</v>
      </c>
      <c r="Q85" s="29">
        <v>54152</v>
      </c>
      <c r="R85" s="29">
        <v>49141</v>
      </c>
      <c r="S85" s="29">
        <v>48151</v>
      </c>
      <c r="T85" s="29">
        <v>49601</v>
      </c>
      <c r="U85" s="29">
        <v>57156</v>
      </c>
      <c r="V85" s="29">
        <v>55261</v>
      </c>
      <c r="W85" s="29">
        <v>52926</v>
      </c>
      <c r="X85" s="2">
        <v>54191</v>
      </c>
      <c r="Z85" s="2">
        <v>53742</v>
      </c>
      <c r="AA85" s="2">
        <v>54268</v>
      </c>
      <c r="AH85" s="2">
        <f t="shared" si="267"/>
        <v>46092</v>
      </c>
      <c r="AI85" s="2">
        <f t="shared" si="268"/>
        <v>47060</v>
      </c>
      <c r="AJ85" s="2">
        <f t="shared" si="269"/>
        <v>46973</v>
      </c>
      <c r="AK85" s="2">
        <f t="shared" si="270"/>
        <v>49141</v>
      </c>
      <c r="AL85" s="2">
        <f t="shared" si="271"/>
        <v>55261</v>
      </c>
    </row>
    <row r="86" spans="1:38" x14ac:dyDescent="0.25">
      <c r="B86" s="20" t="s">
        <v>64</v>
      </c>
      <c r="C86" s="29">
        <v>4628</v>
      </c>
      <c r="D86" s="29">
        <v>3057</v>
      </c>
      <c r="E86" s="29">
        <v>1530</v>
      </c>
      <c r="F86" s="29">
        <v>0</v>
      </c>
      <c r="G86" s="29">
        <v>4607</v>
      </c>
      <c r="H86" s="29">
        <v>3057</v>
      </c>
      <c r="I86" s="29">
        <v>1516</v>
      </c>
      <c r="J86" s="29">
        <v>0</v>
      </c>
      <c r="K86" s="29">
        <v>4551</v>
      </c>
      <c r="L86" s="29">
        <v>3023</v>
      </c>
      <c r="M86" s="29">
        <v>1507</v>
      </c>
      <c r="N86" s="29">
        <v>0</v>
      </c>
      <c r="O86" s="29">
        <v>4588</v>
      </c>
      <c r="P86" s="29">
        <v>3060</v>
      </c>
      <c r="Q86" s="29">
        <v>1529</v>
      </c>
      <c r="R86" s="29">
        <v>0</v>
      </c>
      <c r="S86" s="29">
        <v>4651</v>
      </c>
      <c r="T86" s="29">
        <v>3109</v>
      </c>
      <c r="U86" s="29">
        <v>1528</v>
      </c>
      <c r="V86" s="29">
        <v>0</v>
      </c>
      <c r="W86" s="29">
        <v>4631</v>
      </c>
      <c r="X86" s="2">
        <v>3049</v>
      </c>
      <c r="Z86" s="2">
        <v>0</v>
      </c>
      <c r="AA86" s="2">
        <v>4602</v>
      </c>
      <c r="AH86" s="2">
        <f t="shared" si="267"/>
        <v>0</v>
      </c>
      <c r="AI86" s="2">
        <f t="shared" si="268"/>
        <v>0</v>
      </c>
      <c r="AJ86" s="2">
        <f t="shared" si="269"/>
        <v>0</v>
      </c>
      <c r="AK86" s="2">
        <f t="shared" si="270"/>
        <v>0</v>
      </c>
      <c r="AL86" s="2">
        <f t="shared" si="271"/>
        <v>0</v>
      </c>
    </row>
    <row r="87" spans="1:38" x14ac:dyDescent="0.25">
      <c r="B87" s="20" t="s">
        <v>95</v>
      </c>
      <c r="C87" s="29">
        <v>19708</v>
      </c>
      <c r="D87" s="29">
        <v>19686</v>
      </c>
      <c r="E87" s="29">
        <v>21757</v>
      </c>
      <c r="F87" s="29">
        <v>22122</v>
      </c>
      <c r="G87" s="29">
        <v>20782</v>
      </c>
      <c r="H87" s="29">
        <v>22846</v>
      </c>
      <c r="I87" s="29">
        <v>22795</v>
      </c>
      <c r="J87" s="29">
        <v>22159</v>
      </c>
      <c r="K87" s="29">
        <v>21023</v>
      </c>
      <c r="L87" s="29">
        <v>20691</v>
      </c>
      <c r="M87" s="29">
        <v>20973</v>
      </c>
      <c r="N87" s="29">
        <v>22296</v>
      </c>
      <c r="O87" s="29">
        <v>20377</v>
      </c>
      <c r="P87" s="29">
        <v>23768</v>
      </c>
      <c r="Q87" s="29">
        <v>24995</v>
      </c>
      <c r="R87" s="29">
        <v>37966</v>
      </c>
      <c r="S87" s="29">
        <v>21371</v>
      </c>
      <c r="T87" s="29">
        <v>23915</v>
      </c>
      <c r="U87" s="29">
        <v>24474</v>
      </c>
      <c r="V87" s="29">
        <v>26060</v>
      </c>
      <c r="W87" s="29">
        <v>21061</v>
      </c>
      <c r="X87" s="2">
        <v>23843</v>
      </c>
      <c r="Z87" s="2">
        <v>31126</v>
      </c>
      <c r="AA87" s="2">
        <v>27527</v>
      </c>
      <c r="AH87" s="2">
        <f t="shared" si="267"/>
        <v>22122</v>
      </c>
      <c r="AI87" s="2">
        <f t="shared" si="268"/>
        <v>22159</v>
      </c>
      <c r="AJ87" s="2">
        <f t="shared" si="269"/>
        <v>22296</v>
      </c>
      <c r="AK87" s="2">
        <f t="shared" si="270"/>
        <v>37966</v>
      </c>
      <c r="AL87" s="2">
        <f t="shared" si="271"/>
        <v>26060</v>
      </c>
    </row>
    <row r="88" spans="1:38" x14ac:dyDescent="0.25">
      <c r="B88" s="20" t="s">
        <v>96</v>
      </c>
      <c r="C88" s="29">
        <v>2018</v>
      </c>
      <c r="D88" s="29">
        <v>505</v>
      </c>
      <c r="E88" s="29">
        <v>540</v>
      </c>
      <c r="F88" s="29">
        <v>645</v>
      </c>
      <c r="G88" s="29">
        <v>718</v>
      </c>
      <c r="H88" s="29">
        <v>424</v>
      </c>
      <c r="I88" s="29">
        <v>616</v>
      </c>
      <c r="J88" s="29">
        <v>428</v>
      </c>
      <c r="K88" s="29">
        <v>729</v>
      </c>
      <c r="L88" s="29">
        <v>387</v>
      </c>
      <c r="M88" s="29">
        <v>327</v>
      </c>
      <c r="N88" s="29">
        <v>280</v>
      </c>
      <c r="O88" s="29">
        <v>1303</v>
      </c>
      <c r="P88" s="29">
        <v>610</v>
      </c>
      <c r="Q88" s="29">
        <v>548</v>
      </c>
      <c r="R88" s="29">
        <v>242</v>
      </c>
      <c r="S88" s="29">
        <v>851</v>
      </c>
      <c r="T88" s="29">
        <v>267</v>
      </c>
      <c r="U88" s="29">
        <v>446</v>
      </c>
      <c r="V88" s="29">
        <v>851</v>
      </c>
      <c r="W88" s="29">
        <v>904</v>
      </c>
      <c r="X88" s="2">
        <v>868</v>
      </c>
      <c r="Z88" s="2">
        <v>727</v>
      </c>
      <c r="AA88" s="2">
        <v>1325</v>
      </c>
      <c r="AH88" s="2">
        <f t="shared" si="267"/>
        <v>645</v>
      </c>
      <c r="AI88" s="2">
        <f t="shared" si="268"/>
        <v>428</v>
      </c>
      <c r="AJ88" s="2">
        <f t="shared" si="269"/>
        <v>280</v>
      </c>
      <c r="AK88" s="2">
        <f t="shared" si="270"/>
        <v>242</v>
      </c>
      <c r="AL88" s="2">
        <f t="shared" si="271"/>
        <v>851</v>
      </c>
    </row>
    <row r="89" spans="1:38" x14ac:dyDescent="0.25">
      <c r="B89" s="20" t="s">
        <v>97</v>
      </c>
      <c r="C89" s="29">
        <v>3256</v>
      </c>
      <c r="D89" s="29">
        <v>3254</v>
      </c>
      <c r="E89" s="29">
        <v>3257</v>
      </c>
      <c r="F89" s="29">
        <v>3738</v>
      </c>
      <c r="G89" s="29">
        <v>1576</v>
      </c>
      <c r="H89" s="29">
        <v>1090</v>
      </c>
      <c r="I89" s="29">
        <v>2591</v>
      </c>
      <c r="J89" s="29">
        <v>1876</v>
      </c>
      <c r="K89" s="29">
        <v>1464</v>
      </c>
      <c r="L89" s="29">
        <v>4396</v>
      </c>
      <c r="M89" s="29">
        <v>4093</v>
      </c>
      <c r="N89" s="29">
        <v>5362</v>
      </c>
      <c r="O89" s="29">
        <v>5983</v>
      </c>
      <c r="P89" s="29">
        <v>5553</v>
      </c>
      <c r="Q89" s="29">
        <v>4358</v>
      </c>
      <c r="R89" s="29">
        <v>3115</v>
      </c>
      <c r="S89" s="29">
        <v>3500</v>
      </c>
      <c r="T89" s="29">
        <v>1617</v>
      </c>
      <c r="U89" s="29">
        <v>1575</v>
      </c>
      <c r="V89" s="29">
        <v>2803</v>
      </c>
      <c r="W89" s="29">
        <v>3580</v>
      </c>
      <c r="X89" s="2">
        <v>5316</v>
      </c>
      <c r="Z89" s="2">
        <v>4191</v>
      </c>
      <c r="AA89" s="2">
        <v>3975</v>
      </c>
      <c r="AH89" s="2">
        <f t="shared" si="267"/>
        <v>3738</v>
      </c>
      <c r="AI89" s="2">
        <f t="shared" si="268"/>
        <v>1876</v>
      </c>
      <c r="AJ89" s="2">
        <f t="shared" si="269"/>
        <v>5362</v>
      </c>
      <c r="AK89" s="2">
        <f t="shared" si="270"/>
        <v>3115</v>
      </c>
      <c r="AL89" s="2">
        <f t="shared" si="271"/>
        <v>2803</v>
      </c>
    </row>
    <row r="90" spans="1:38" x14ac:dyDescent="0.25">
      <c r="B90" s="20" t="s">
        <v>98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0</v>
      </c>
      <c r="I90" s="29">
        <v>0</v>
      </c>
      <c r="J90" s="29">
        <v>0</v>
      </c>
      <c r="K90" s="29">
        <v>1748</v>
      </c>
      <c r="L90" s="29">
        <v>1795</v>
      </c>
      <c r="M90" s="29">
        <v>1740</v>
      </c>
      <c r="N90" s="29">
        <v>1793</v>
      </c>
      <c r="O90" s="29">
        <v>1729</v>
      </c>
      <c r="P90" s="29">
        <v>1734</v>
      </c>
      <c r="Q90" s="29">
        <v>1725</v>
      </c>
      <c r="R90" s="29">
        <v>1466</v>
      </c>
      <c r="S90" s="29">
        <v>1448</v>
      </c>
      <c r="T90" s="29">
        <v>1441</v>
      </c>
      <c r="U90" s="29">
        <v>1486</v>
      </c>
      <c r="V90" s="29">
        <v>1483</v>
      </c>
      <c r="W90" s="29">
        <v>1485</v>
      </c>
      <c r="X90" s="2">
        <v>1464</v>
      </c>
      <c r="Z90" s="2">
        <v>1473</v>
      </c>
      <c r="AA90" s="2">
        <v>1490</v>
      </c>
      <c r="AH90" s="2">
        <f t="shared" si="267"/>
        <v>0</v>
      </c>
      <c r="AI90" s="2">
        <f t="shared" si="268"/>
        <v>0</v>
      </c>
      <c r="AJ90" s="2">
        <f t="shared" si="269"/>
        <v>1793</v>
      </c>
      <c r="AK90" s="2">
        <f t="shared" si="270"/>
        <v>1466</v>
      </c>
      <c r="AL90" s="2">
        <f t="shared" si="271"/>
        <v>1483</v>
      </c>
    </row>
    <row r="91" spans="1:38" x14ac:dyDescent="0.25">
      <c r="B91" s="20" t="s">
        <v>99</v>
      </c>
      <c r="C91" s="29">
        <v>0</v>
      </c>
      <c r="D91" s="29">
        <v>0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435</v>
      </c>
      <c r="L91" s="29">
        <v>439</v>
      </c>
      <c r="M91" s="29">
        <v>468</v>
      </c>
      <c r="N91" s="29">
        <v>511</v>
      </c>
      <c r="O91" s="29">
        <v>523</v>
      </c>
      <c r="P91" s="29">
        <v>549</v>
      </c>
      <c r="Q91" s="29">
        <v>574</v>
      </c>
      <c r="R91" s="29">
        <v>491</v>
      </c>
      <c r="S91" s="29">
        <v>507</v>
      </c>
      <c r="T91" s="29">
        <v>501</v>
      </c>
      <c r="U91" s="29">
        <v>508</v>
      </c>
      <c r="V91" s="29">
        <v>511</v>
      </c>
      <c r="W91" s="29">
        <v>511</v>
      </c>
      <c r="X91" s="2">
        <v>534</v>
      </c>
      <c r="Z91" s="2">
        <v>567</v>
      </c>
      <c r="AA91" s="2">
        <v>607</v>
      </c>
      <c r="AH91" s="2">
        <f t="shared" si="267"/>
        <v>0</v>
      </c>
      <c r="AI91" s="2">
        <f t="shared" si="268"/>
        <v>0</v>
      </c>
      <c r="AJ91" s="2">
        <f t="shared" si="269"/>
        <v>511</v>
      </c>
      <c r="AK91" s="2">
        <f t="shared" si="270"/>
        <v>491</v>
      </c>
      <c r="AL91" s="2">
        <f t="shared" si="271"/>
        <v>511</v>
      </c>
    </row>
    <row r="92" spans="1:38" x14ac:dyDescent="0.25">
      <c r="B92" s="28" t="s">
        <v>111</v>
      </c>
      <c r="C92" s="29">
        <v>599</v>
      </c>
      <c r="D92" s="29">
        <v>658</v>
      </c>
      <c r="E92" s="29">
        <v>650</v>
      </c>
      <c r="F92" s="29">
        <v>667</v>
      </c>
      <c r="G92" s="29">
        <v>700</v>
      </c>
      <c r="H92" s="29">
        <v>694</v>
      </c>
      <c r="I92" s="29">
        <v>709</v>
      </c>
      <c r="J92" s="29">
        <v>729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">
        <v>0</v>
      </c>
      <c r="Z92" s="2">
        <v>0</v>
      </c>
      <c r="AA92" s="2">
        <v>0</v>
      </c>
      <c r="AH92" s="2">
        <f t="shared" si="267"/>
        <v>667</v>
      </c>
      <c r="AI92" s="2">
        <f t="shared" si="268"/>
        <v>729</v>
      </c>
      <c r="AJ92" s="2">
        <f t="shared" si="269"/>
        <v>0</v>
      </c>
      <c r="AK92" s="2">
        <f t="shared" si="270"/>
        <v>0</v>
      </c>
      <c r="AL92" s="2">
        <f t="shared" si="271"/>
        <v>0</v>
      </c>
    </row>
    <row r="93" spans="1:38" s="9" customFormat="1" x14ac:dyDescent="0.25">
      <c r="A93" s="3"/>
      <c r="B93" s="3" t="s">
        <v>100</v>
      </c>
      <c r="C93" s="9">
        <f>SUM(C84:C92)</f>
        <v>74193</v>
      </c>
      <c r="D93" s="9">
        <f t="shared" ref="D93:Z93" si="272">SUM(D84:D92)</f>
        <v>72811</v>
      </c>
      <c r="E93" s="9">
        <f t="shared" si="272"/>
        <v>80435</v>
      </c>
      <c r="F93" s="9">
        <f t="shared" si="272"/>
        <v>78521</v>
      </c>
      <c r="G93" s="9">
        <f t="shared" si="272"/>
        <v>80757</v>
      </c>
      <c r="H93" s="9">
        <f t="shared" si="272"/>
        <v>71683</v>
      </c>
      <c r="I93" s="9">
        <f t="shared" si="272"/>
        <v>85751</v>
      </c>
      <c r="J93" s="9">
        <f t="shared" si="272"/>
        <v>77477</v>
      </c>
      <c r="K93" s="9">
        <f t="shared" si="272"/>
        <v>79888</v>
      </c>
      <c r="L93" s="9">
        <f t="shared" si="272"/>
        <v>80283</v>
      </c>
      <c r="M93" s="9">
        <f t="shared" si="272"/>
        <v>83784</v>
      </c>
      <c r="N93" s="9">
        <f t="shared" si="272"/>
        <v>77790</v>
      </c>
      <c r="O93" s="9">
        <f t="shared" si="272"/>
        <v>82647</v>
      </c>
      <c r="P93" s="9">
        <f t="shared" si="272"/>
        <v>81957</v>
      </c>
      <c r="Q93" s="9">
        <f t="shared" si="272"/>
        <v>88121</v>
      </c>
      <c r="R93" s="9">
        <f t="shared" si="272"/>
        <v>92645</v>
      </c>
      <c r="S93" s="9">
        <f t="shared" si="272"/>
        <v>80841</v>
      </c>
      <c r="T93" s="9">
        <f t="shared" si="272"/>
        <v>81122</v>
      </c>
      <c r="U93" s="9">
        <f t="shared" si="272"/>
        <v>87620</v>
      </c>
      <c r="V93" s="9">
        <f t="shared" si="272"/>
        <v>87379</v>
      </c>
      <c r="W93" s="9">
        <f t="shared" si="272"/>
        <v>96530</v>
      </c>
      <c r="X93" s="9">
        <f t="shared" si="272"/>
        <v>99899</v>
      </c>
      <c r="Y93" s="9">
        <f t="shared" si="272"/>
        <v>0</v>
      </c>
      <c r="Z93" s="9">
        <f t="shared" si="272"/>
        <v>92198</v>
      </c>
      <c r="AA93" s="9">
        <f t="shared" ref="AA93:AD93" si="273">SUM(AA84:AA92)</f>
        <v>95505</v>
      </c>
      <c r="AB93" s="9">
        <f t="shared" si="273"/>
        <v>0</v>
      </c>
      <c r="AC93" s="9">
        <f t="shared" si="273"/>
        <v>0</v>
      </c>
      <c r="AD93" s="9">
        <f t="shared" si="273"/>
        <v>0</v>
      </c>
      <c r="AH93" s="9">
        <f t="shared" ref="AH93:AL93" si="274">SUM(AH84:AH92)</f>
        <v>78521</v>
      </c>
      <c r="AI93" s="9">
        <f t="shared" si="274"/>
        <v>77477</v>
      </c>
      <c r="AJ93" s="9">
        <f t="shared" si="274"/>
        <v>77790</v>
      </c>
      <c r="AK93" s="9">
        <f t="shared" si="274"/>
        <v>92645</v>
      </c>
      <c r="AL93" s="9">
        <f t="shared" si="274"/>
        <v>87379</v>
      </c>
    </row>
    <row r="94" spans="1:38" x14ac:dyDescent="0.25">
      <c r="B94" s="20" t="s">
        <v>101</v>
      </c>
      <c r="C94" s="29">
        <v>33774</v>
      </c>
      <c r="D94" s="29">
        <v>33706</v>
      </c>
      <c r="E94" s="29">
        <v>34206</v>
      </c>
      <c r="F94" s="29">
        <v>30045</v>
      </c>
      <c r="G94" s="29">
        <v>29477</v>
      </c>
      <c r="H94" s="29">
        <v>44958</v>
      </c>
      <c r="I94" s="29">
        <v>43275</v>
      </c>
      <c r="J94" s="29">
        <v>43520</v>
      </c>
      <c r="K94" s="29">
        <v>47425</v>
      </c>
      <c r="L94" s="29">
        <v>44404</v>
      </c>
      <c r="M94" s="29">
        <v>44912</v>
      </c>
      <c r="N94" s="29">
        <v>43714</v>
      </c>
      <c r="O94" s="29">
        <v>43006</v>
      </c>
      <c r="P94" s="29">
        <v>40959</v>
      </c>
      <c r="Q94" s="29">
        <v>40849</v>
      </c>
      <c r="R94" s="29">
        <v>41194</v>
      </c>
      <c r="S94" s="29">
        <v>40273</v>
      </c>
      <c r="T94" s="29">
        <v>39581</v>
      </c>
      <c r="U94" s="29">
        <v>36425</v>
      </c>
      <c r="V94" s="29">
        <v>34864</v>
      </c>
      <c r="W94" s="29">
        <v>32174</v>
      </c>
      <c r="X94" s="2">
        <v>29801</v>
      </c>
      <c r="Z94" s="2">
        <v>34649</v>
      </c>
      <c r="AA94" s="2">
        <v>38120</v>
      </c>
      <c r="AH94" s="2">
        <f t="shared" ref="AH94:AH100" si="275">F94</f>
        <v>30045</v>
      </c>
      <c r="AI94" s="2">
        <f t="shared" ref="AI94:AI100" si="276">J94</f>
        <v>43520</v>
      </c>
      <c r="AJ94" s="2">
        <f t="shared" ref="AJ94:AJ100" si="277">N94</f>
        <v>43714</v>
      </c>
      <c r="AK94" s="2">
        <f t="shared" ref="AK94:AK100" si="278">R94</f>
        <v>41194</v>
      </c>
      <c r="AL94" s="2">
        <f t="shared" ref="AL94:AL100" si="279">V94</f>
        <v>34864</v>
      </c>
    </row>
    <row r="95" spans="1:38" x14ac:dyDescent="0.25">
      <c r="B95" s="20" t="s">
        <v>102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15719</v>
      </c>
      <c r="L95" s="29">
        <v>16079</v>
      </c>
      <c r="M95" s="29">
        <v>15741</v>
      </c>
      <c r="N95" s="29">
        <v>16171</v>
      </c>
      <c r="O95" s="29">
        <v>15669</v>
      </c>
      <c r="P95" s="29">
        <v>15669</v>
      </c>
      <c r="Q95" s="29">
        <v>15982</v>
      </c>
      <c r="R95" s="29">
        <v>12909</v>
      </c>
      <c r="S95" s="29">
        <v>12930</v>
      </c>
      <c r="T95" s="29">
        <v>13116</v>
      </c>
      <c r="U95" s="29">
        <v>13095</v>
      </c>
      <c r="V95" s="29">
        <v>13009</v>
      </c>
      <c r="W95" s="29">
        <v>13226</v>
      </c>
      <c r="X95" s="2">
        <v>13140</v>
      </c>
      <c r="Z95" s="2">
        <v>12828</v>
      </c>
      <c r="AA95" s="2">
        <v>12925</v>
      </c>
      <c r="AH95" s="2">
        <f t="shared" si="275"/>
        <v>0</v>
      </c>
      <c r="AI95" s="2">
        <f t="shared" si="276"/>
        <v>0</v>
      </c>
      <c r="AJ95" s="2">
        <f t="shared" si="277"/>
        <v>16171</v>
      </c>
      <c r="AK95" s="2">
        <f t="shared" si="278"/>
        <v>12909</v>
      </c>
      <c r="AL95" s="2">
        <f t="shared" si="279"/>
        <v>13009</v>
      </c>
    </row>
    <row r="96" spans="1:38" x14ac:dyDescent="0.25">
      <c r="B96" s="20" t="s">
        <v>103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3810</v>
      </c>
      <c r="L96" s="29">
        <v>3915</v>
      </c>
      <c r="M96" s="29">
        <v>4068</v>
      </c>
      <c r="N96" s="29">
        <v>4307</v>
      </c>
      <c r="O96" s="29">
        <v>4474</v>
      </c>
      <c r="P96" s="29">
        <v>4673</v>
      </c>
      <c r="Q96" s="29">
        <v>4750</v>
      </c>
      <c r="R96" s="29">
        <v>3847</v>
      </c>
      <c r="S96" s="29">
        <v>3802</v>
      </c>
      <c r="T96" s="29">
        <v>3952</v>
      </c>
      <c r="U96" s="29">
        <v>4061</v>
      </c>
      <c r="V96" s="29">
        <v>4243</v>
      </c>
      <c r="W96" s="29">
        <v>4409</v>
      </c>
      <c r="X96" s="2">
        <v>4420</v>
      </c>
      <c r="Z96" s="2">
        <v>4843</v>
      </c>
      <c r="AA96" s="2">
        <v>5039</v>
      </c>
      <c r="AH96" s="2">
        <f t="shared" si="275"/>
        <v>0</v>
      </c>
      <c r="AI96" s="2">
        <f t="shared" si="276"/>
        <v>0</v>
      </c>
      <c r="AJ96" s="2">
        <f t="shared" si="277"/>
        <v>4307</v>
      </c>
      <c r="AK96" s="2">
        <f t="shared" si="278"/>
        <v>3847</v>
      </c>
      <c r="AL96" s="2">
        <f t="shared" si="279"/>
        <v>4243</v>
      </c>
    </row>
    <row r="97" spans="1:38" x14ac:dyDescent="0.25">
      <c r="B97" s="28" t="s">
        <v>112</v>
      </c>
      <c r="C97" s="29">
        <v>6251</v>
      </c>
      <c r="D97" s="29">
        <v>6763</v>
      </c>
      <c r="E97" s="29">
        <v>6700</v>
      </c>
      <c r="F97" s="29">
        <v>6780</v>
      </c>
      <c r="G97" s="29">
        <v>6828</v>
      </c>
      <c r="H97" s="29">
        <v>6610</v>
      </c>
      <c r="I97" s="29">
        <v>6621</v>
      </c>
      <c r="J97" s="29">
        <v>6683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">
        <v>0</v>
      </c>
      <c r="Z97" s="2">
        <v>0</v>
      </c>
      <c r="AA97" s="2">
        <v>0</v>
      </c>
      <c r="AH97" s="2">
        <f t="shared" si="275"/>
        <v>6780</v>
      </c>
      <c r="AI97" s="2">
        <f t="shared" si="276"/>
        <v>6683</v>
      </c>
      <c r="AJ97" s="2">
        <f t="shared" si="277"/>
        <v>0</v>
      </c>
      <c r="AK97" s="2">
        <f t="shared" si="278"/>
        <v>0</v>
      </c>
      <c r="AL97" s="2">
        <f t="shared" si="279"/>
        <v>0</v>
      </c>
    </row>
    <row r="98" spans="1:38" x14ac:dyDescent="0.25">
      <c r="B98" s="20" t="s">
        <v>104</v>
      </c>
      <c r="C98" s="29">
        <v>9386</v>
      </c>
      <c r="D98" s="29">
        <v>9240</v>
      </c>
      <c r="E98" s="29">
        <v>9167</v>
      </c>
      <c r="F98" s="29">
        <v>8354</v>
      </c>
      <c r="G98" s="29">
        <v>9541</v>
      </c>
      <c r="H98" s="29">
        <v>8999</v>
      </c>
      <c r="I98" s="29">
        <v>11467</v>
      </c>
      <c r="J98" s="29">
        <v>11981</v>
      </c>
      <c r="K98" s="29">
        <v>12792</v>
      </c>
      <c r="L98" s="29">
        <v>13049</v>
      </c>
      <c r="M98" s="29">
        <v>13018</v>
      </c>
      <c r="N98" s="29">
        <v>12961</v>
      </c>
      <c r="O98" s="29">
        <v>12986</v>
      </c>
      <c r="P98" s="29">
        <v>12927</v>
      </c>
      <c r="Q98" s="29">
        <v>13657</v>
      </c>
      <c r="R98" s="29">
        <v>14370</v>
      </c>
      <c r="S98" s="29">
        <v>14143</v>
      </c>
      <c r="T98" s="29">
        <v>13654</v>
      </c>
      <c r="U98" s="29">
        <v>12893</v>
      </c>
      <c r="V98" s="29">
        <v>13474</v>
      </c>
      <c r="W98" s="29">
        <v>13943</v>
      </c>
      <c r="X98" s="2">
        <v>14092</v>
      </c>
      <c r="Z98" s="79">
        <v>14688</v>
      </c>
      <c r="AA98" s="2">
        <v>13999</v>
      </c>
      <c r="AH98" s="2">
        <f t="shared" si="275"/>
        <v>8354</v>
      </c>
      <c r="AI98" s="2">
        <f t="shared" si="276"/>
        <v>11981</v>
      </c>
      <c r="AJ98" s="2">
        <f t="shared" si="277"/>
        <v>12961</v>
      </c>
      <c r="AK98" s="2">
        <f t="shared" si="278"/>
        <v>14370</v>
      </c>
      <c r="AL98" s="2">
        <f t="shared" si="279"/>
        <v>13474</v>
      </c>
    </row>
    <row r="99" spans="1:38" x14ac:dyDescent="0.25">
      <c r="B99" s="20" t="s">
        <v>105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">
        <v>0</v>
      </c>
      <c r="Z99" s="2">
        <v>0</v>
      </c>
      <c r="AA99" s="2">
        <v>0</v>
      </c>
      <c r="AH99" s="2">
        <f t="shared" si="275"/>
        <v>0</v>
      </c>
      <c r="AI99" s="2">
        <f t="shared" si="276"/>
        <v>0</v>
      </c>
      <c r="AJ99" s="2">
        <f t="shared" si="277"/>
        <v>0</v>
      </c>
      <c r="AK99" s="2">
        <f t="shared" si="278"/>
        <v>0</v>
      </c>
      <c r="AL99" s="2">
        <f t="shared" si="279"/>
        <v>0</v>
      </c>
    </row>
    <row r="100" spans="1:38" x14ac:dyDescent="0.25">
      <c r="B100" s="20" t="s">
        <v>106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260</v>
      </c>
      <c r="X100" s="2">
        <v>260</v>
      </c>
      <c r="Z100" s="2">
        <v>237</v>
      </c>
      <c r="AA100" s="2">
        <v>234</v>
      </c>
      <c r="AH100" s="2">
        <f t="shared" si="275"/>
        <v>0</v>
      </c>
      <c r="AI100" s="2">
        <f t="shared" si="276"/>
        <v>0</v>
      </c>
      <c r="AJ100" s="2">
        <f t="shared" si="277"/>
        <v>0</v>
      </c>
      <c r="AK100" s="2">
        <f t="shared" si="278"/>
        <v>0</v>
      </c>
      <c r="AL100" s="2">
        <f t="shared" si="279"/>
        <v>0</v>
      </c>
    </row>
    <row r="101" spans="1:38" s="9" customFormat="1" x14ac:dyDescent="0.25">
      <c r="A101" s="3"/>
      <c r="B101" s="3" t="s">
        <v>107</v>
      </c>
      <c r="C101" s="9">
        <f t="shared" ref="C101:V101" si="280">SUM(C93:C100)</f>
        <v>123604</v>
      </c>
      <c r="D101" s="9">
        <f t="shared" si="280"/>
        <v>122520</v>
      </c>
      <c r="E101" s="9">
        <f t="shared" si="280"/>
        <v>130508</v>
      </c>
      <c r="F101" s="9">
        <f t="shared" si="280"/>
        <v>123700</v>
      </c>
      <c r="G101" s="9">
        <f t="shared" si="280"/>
        <v>126603</v>
      </c>
      <c r="H101" s="9">
        <f t="shared" si="280"/>
        <v>132250</v>
      </c>
      <c r="I101" s="9">
        <f t="shared" si="280"/>
        <v>147114</v>
      </c>
      <c r="J101" s="9">
        <f t="shared" si="280"/>
        <v>139661</v>
      </c>
      <c r="K101" s="9">
        <f t="shared" si="280"/>
        <v>159634</v>
      </c>
      <c r="L101" s="9">
        <f t="shared" si="280"/>
        <v>157730</v>
      </c>
      <c r="M101" s="9">
        <f t="shared" si="280"/>
        <v>161523</v>
      </c>
      <c r="N101" s="9">
        <f t="shared" si="280"/>
        <v>154943</v>
      </c>
      <c r="O101" s="9">
        <f t="shared" si="280"/>
        <v>158782</v>
      </c>
      <c r="P101" s="9">
        <f t="shared" si="280"/>
        <v>156185</v>
      </c>
      <c r="Q101" s="9">
        <f t="shared" si="280"/>
        <v>163359</v>
      </c>
      <c r="R101" s="9">
        <f t="shared" si="280"/>
        <v>164965</v>
      </c>
      <c r="S101" s="9">
        <f t="shared" si="280"/>
        <v>151989</v>
      </c>
      <c r="T101" s="9">
        <f t="shared" si="280"/>
        <v>151425</v>
      </c>
      <c r="U101" s="9">
        <f t="shared" si="280"/>
        <v>154094</v>
      </c>
      <c r="V101" s="9">
        <f t="shared" si="280"/>
        <v>152969</v>
      </c>
      <c r="W101" s="9">
        <f>SUM(W93:W100)</f>
        <v>160542</v>
      </c>
      <c r="X101" s="9">
        <f t="shared" ref="X101:Y101" si="281">SUM(X93:X100)</f>
        <v>161612</v>
      </c>
      <c r="Y101" s="9">
        <f t="shared" si="281"/>
        <v>0</v>
      </c>
      <c r="Z101" s="9">
        <f>SUM(Z93:Z100)</f>
        <v>159443</v>
      </c>
      <c r="AA101" s="9">
        <f>SUM(AA93:AA100)</f>
        <v>165822</v>
      </c>
      <c r="AB101" s="9">
        <f t="shared" ref="AB101:AD101" si="282">SUM(AB93:AB100)</f>
        <v>0</v>
      </c>
      <c r="AC101" s="9">
        <f t="shared" si="282"/>
        <v>0</v>
      </c>
      <c r="AD101" s="9">
        <f t="shared" si="282"/>
        <v>0</v>
      </c>
      <c r="AH101" s="9">
        <f t="shared" ref="AH101:AL101" si="283">SUM(AH93:AH100)</f>
        <v>123700</v>
      </c>
      <c r="AI101" s="9">
        <f t="shared" si="283"/>
        <v>139661</v>
      </c>
      <c r="AJ101" s="9">
        <f t="shared" si="283"/>
        <v>154943</v>
      </c>
      <c r="AK101" s="9">
        <f t="shared" si="283"/>
        <v>164965</v>
      </c>
      <c r="AL101" s="9">
        <f t="shared" si="283"/>
        <v>152969</v>
      </c>
    </row>
    <row r="102" spans="1:38" x14ac:dyDescent="0.25">
      <c r="B102" s="20" t="s">
        <v>108</v>
      </c>
      <c r="C102" s="29">
        <v>76114</v>
      </c>
      <c r="D102" s="29">
        <v>79046</v>
      </c>
      <c r="E102" s="29">
        <v>78906</v>
      </c>
      <c r="F102" s="29">
        <v>80822</v>
      </c>
      <c r="G102" s="29">
        <v>78324</v>
      </c>
      <c r="H102" s="29">
        <v>73812</v>
      </c>
      <c r="I102" s="29">
        <v>79469</v>
      </c>
      <c r="J102" s="29">
        <v>79634</v>
      </c>
      <c r="K102" s="29">
        <v>74910</v>
      </c>
      <c r="L102" s="29">
        <v>77131</v>
      </c>
      <c r="M102" s="29">
        <v>78307</v>
      </c>
      <c r="N102" s="29">
        <v>81552</v>
      </c>
      <c r="O102" s="29">
        <v>74110</v>
      </c>
      <c r="P102" s="29">
        <v>81197</v>
      </c>
      <c r="Q102" s="29">
        <v>87504</v>
      </c>
      <c r="R102" s="29">
        <v>87531</v>
      </c>
      <c r="S102" s="29">
        <v>84592</v>
      </c>
      <c r="T102" s="29">
        <v>87127</v>
      </c>
      <c r="U102" s="29">
        <v>90757</v>
      </c>
      <c r="V102" s="29">
        <v>91891</v>
      </c>
      <c r="W102" s="29">
        <v>85600</v>
      </c>
      <c r="X102" s="2">
        <v>85587</v>
      </c>
      <c r="Z102" s="2">
        <v>83754</v>
      </c>
      <c r="AA102" s="2">
        <v>79231</v>
      </c>
      <c r="AH102" s="2">
        <f>F102</f>
        <v>80822</v>
      </c>
      <c r="AI102" s="2">
        <f>J102</f>
        <v>79634</v>
      </c>
      <c r="AJ102" s="2">
        <f>N102</f>
        <v>81552</v>
      </c>
      <c r="AK102" s="2">
        <f>R102</f>
        <v>87531</v>
      </c>
      <c r="AL102" s="2">
        <f>V102</f>
        <v>91891</v>
      </c>
    </row>
    <row r="103" spans="1:38" s="9" customFormat="1" x14ac:dyDescent="0.25">
      <c r="A103" s="3"/>
      <c r="B103" s="3" t="s">
        <v>109</v>
      </c>
      <c r="C103" s="9">
        <f t="shared" ref="C103:V103" si="284">C101+C102</f>
        <v>199718</v>
      </c>
      <c r="D103" s="9">
        <f t="shared" si="284"/>
        <v>201566</v>
      </c>
      <c r="E103" s="9">
        <f t="shared" si="284"/>
        <v>209414</v>
      </c>
      <c r="F103" s="9">
        <f t="shared" si="284"/>
        <v>204522</v>
      </c>
      <c r="G103" s="9">
        <f t="shared" si="284"/>
        <v>204927</v>
      </c>
      <c r="H103" s="9">
        <f t="shared" si="284"/>
        <v>206062</v>
      </c>
      <c r="I103" s="9">
        <f t="shared" si="284"/>
        <v>226583</v>
      </c>
      <c r="J103" s="9">
        <f t="shared" si="284"/>
        <v>219295</v>
      </c>
      <c r="K103" s="9">
        <f t="shared" si="284"/>
        <v>234544</v>
      </c>
      <c r="L103" s="9">
        <f t="shared" si="284"/>
        <v>234861</v>
      </c>
      <c r="M103" s="9">
        <f t="shared" si="284"/>
        <v>239830</v>
      </c>
      <c r="N103" s="9">
        <f t="shared" si="284"/>
        <v>236495</v>
      </c>
      <c r="O103" s="9">
        <f t="shared" si="284"/>
        <v>232892</v>
      </c>
      <c r="P103" s="9">
        <f t="shared" si="284"/>
        <v>237382</v>
      </c>
      <c r="Q103" s="9">
        <f t="shared" si="284"/>
        <v>250863</v>
      </c>
      <c r="R103" s="9">
        <f t="shared" si="284"/>
        <v>252496</v>
      </c>
      <c r="S103" s="9">
        <f t="shared" si="284"/>
        <v>236581</v>
      </c>
      <c r="T103" s="9">
        <f t="shared" si="284"/>
        <v>238552</v>
      </c>
      <c r="U103" s="9">
        <f t="shared" si="284"/>
        <v>244851</v>
      </c>
      <c r="V103" s="9">
        <f t="shared" si="284"/>
        <v>244860</v>
      </c>
      <c r="W103" s="9">
        <f>W101+W102</f>
        <v>246142</v>
      </c>
      <c r="X103" s="9">
        <f t="shared" ref="X103:Y103" si="285">X101+X102</f>
        <v>247199</v>
      </c>
      <c r="Y103" s="9">
        <f t="shared" si="285"/>
        <v>0</v>
      </c>
      <c r="Z103" s="9">
        <f>Z101+Z102</f>
        <v>243197</v>
      </c>
      <c r="AA103" s="9">
        <f>AA101+AA102</f>
        <v>245053</v>
      </c>
      <c r="AB103" s="9">
        <f t="shared" ref="AB103:AD103" si="286">AB101+AB102</f>
        <v>0</v>
      </c>
      <c r="AC103" s="9">
        <f t="shared" si="286"/>
        <v>0</v>
      </c>
      <c r="AD103" s="9">
        <f t="shared" si="286"/>
        <v>0</v>
      </c>
      <c r="AH103" s="9">
        <f t="shared" ref="AH103:AL103" si="287">AH101+AH102</f>
        <v>204522</v>
      </c>
      <c r="AI103" s="9">
        <f t="shared" si="287"/>
        <v>219295</v>
      </c>
      <c r="AJ103" s="9">
        <f t="shared" si="287"/>
        <v>236495</v>
      </c>
      <c r="AK103" s="9">
        <f t="shared" si="287"/>
        <v>252496</v>
      </c>
      <c r="AL103" s="9">
        <f t="shared" si="287"/>
        <v>244860</v>
      </c>
    </row>
    <row r="106" spans="1:38" x14ac:dyDescent="0.25">
      <c r="B106" s="28" t="s">
        <v>113</v>
      </c>
      <c r="C106" s="29">
        <f>C48</f>
        <v>3039</v>
      </c>
      <c r="D106" s="29">
        <f t="shared" ref="D106:Z106" si="288">D48</f>
        <v>2899</v>
      </c>
      <c r="E106" s="29">
        <f t="shared" si="288"/>
        <v>1749</v>
      </c>
      <c r="F106" s="29">
        <f t="shared" si="288"/>
        <v>2175</v>
      </c>
      <c r="G106" s="29">
        <f t="shared" si="288"/>
        <v>2134</v>
      </c>
      <c r="H106" s="29">
        <f t="shared" si="288"/>
        <v>-861</v>
      </c>
      <c r="I106" s="29">
        <f t="shared" si="288"/>
        <v>1710</v>
      </c>
      <c r="J106" s="29">
        <f t="shared" si="288"/>
        <v>3687</v>
      </c>
      <c r="K106" s="29">
        <f t="shared" si="288"/>
        <v>3842</v>
      </c>
      <c r="L106" s="29">
        <f t="shared" si="288"/>
        <v>3610</v>
      </c>
      <c r="M106" s="29">
        <f t="shared" si="288"/>
        <v>3288</v>
      </c>
      <c r="N106" s="29">
        <f t="shared" si="288"/>
        <v>4141</v>
      </c>
      <c r="O106" s="29">
        <f t="shared" si="288"/>
        <v>3990</v>
      </c>
      <c r="P106" s="29">
        <f t="shared" si="288"/>
        <v>6476</v>
      </c>
      <c r="Q106" s="29">
        <f t="shared" si="288"/>
        <v>5135</v>
      </c>
      <c r="R106" s="29">
        <f t="shared" si="288"/>
        <v>-2091</v>
      </c>
      <c r="S106" s="29">
        <f t="shared" si="288"/>
        <v>2730</v>
      </c>
      <c r="T106" s="29">
        <f t="shared" si="288"/>
        <v>4276</v>
      </c>
      <c r="U106" s="29">
        <f t="shared" si="288"/>
        <v>3105</v>
      </c>
      <c r="V106" s="29">
        <f t="shared" si="288"/>
        <v>3562</v>
      </c>
      <c r="W106" s="29">
        <f t="shared" si="288"/>
        <v>2054</v>
      </c>
      <c r="X106" s="2">
        <f t="shared" si="288"/>
        <v>5149</v>
      </c>
      <c r="Y106" s="2">
        <f t="shared" si="288"/>
        <v>-1798</v>
      </c>
      <c r="Z106" s="2">
        <f t="shared" si="288"/>
        <v>6275</v>
      </c>
      <c r="AA106" s="2">
        <f>AA48</f>
        <v>1673</v>
      </c>
      <c r="AH106" s="2">
        <f t="shared" ref="AH106:AK106" si="289">AH48</f>
        <v>9862</v>
      </c>
      <c r="AI106" s="2">
        <f t="shared" si="289"/>
        <v>6670</v>
      </c>
      <c r="AJ106" s="2">
        <f t="shared" si="289"/>
        <v>104609</v>
      </c>
      <c r="AK106" s="2">
        <f t="shared" si="289"/>
        <v>13510</v>
      </c>
      <c r="AL106" s="2">
        <f>AL48</f>
        <v>13673</v>
      </c>
    </row>
    <row r="107" spans="1:38" ht="14.4" x14ac:dyDescent="0.3">
      <c r="B107" s="28" t="s">
        <v>114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s="29">
        <v>2811</v>
      </c>
      <c r="T107"/>
      <c r="U107"/>
      <c r="V107"/>
      <c r="W107" s="29">
        <v>2103</v>
      </c>
      <c r="AA107" s="2">
        <v>1896</v>
      </c>
      <c r="AH107" s="2">
        <v>10523</v>
      </c>
      <c r="AI107" s="2">
        <v>7179</v>
      </c>
      <c r="AJ107" s="2">
        <v>15201</v>
      </c>
      <c r="AK107" s="2">
        <v>13706</v>
      </c>
      <c r="AL107" s="2">
        <v>13940</v>
      </c>
    </row>
    <row r="108" spans="1:38" ht="14.4" x14ac:dyDescent="0.3">
      <c r="B108" s="28" t="s">
        <v>115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s="29">
        <v>2661</v>
      </c>
      <c r="T108"/>
      <c r="U108"/>
      <c r="V108"/>
      <c r="W108" s="29">
        <v>2680</v>
      </c>
      <c r="AA108" s="2">
        <v>2845</v>
      </c>
      <c r="AH108" s="2">
        <v>10529</v>
      </c>
      <c r="AI108" s="2">
        <v>10678</v>
      </c>
      <c r="AJ108" s="2">
        <v>10987</v>
      </c>
      <c r="AK108" s="2">
        <v>11152</v>
      </c>
      <c r="AL108" s="2">
        <v>10658</v>
      </c>
    </row>
    <row r="109" spans="1:38" ht="14.4" x14ac:dyDescent="0.3">
      <c r="B109" s="28" t="s">
        <v>116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s="29">
        <v>2077</v>
      </c>
      <c r="T109"/>
      <c r="U109"/>
      <c r="V109"/>
      <c r="W109" s="29">
        <v>1989</v>
      </c>
      <c r="AA109" s="2">
        <v>3062</v>
      </c>
      <c r="AH109" s="2">
        <v>0</v>
      </c>
      <c r="AI109" s="2">
        <v>3516</v>
      </c>
      <c r="AJ109" s="2">
        <v>-1886</v>
      </c>
      <c r="AK109" s="2">
        <v>-8589</v>
      </c>
      <c r="AL109" s="2">
        <v>2440</v>
      </c>
    </row>
    <row r="110" spans="1:38" ht="14.4" x14ac:dyDescent="0.3">
      <c r="B110" s="28" t="s">
        <v>117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s="29">
        <v>433</v>
      </c>
      <c r="T110"/>
      <c r="U110"/>
      <c r="V110"/>
      <c r="W110" s="29">
        <v>0</v>
      </c>
      <c r="AA110" s="2">
        <v>0</v>
      </c>
      <c r="AH110" s="2">
        <v>0</v>
      </c>
      <c r="AI110" s="2">
        <v>4850</v>
      </c>
      <c r="AJ110" s="2">
        <v>15</v>
      </c>
      <c r="AK110" s="2">
        <v>8401</v>
      </c>
      <c r="AL110" s="2">
        <v>433</v>
      </c>
    </row>
    <row r="111" spans="1:38" ht="14.4" x14ac:dyDescent="0.3">
      <c r="B111" s="31" t="s">
        <v>137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s="29">
        <v>0</v>
      </c>
      <c r="T111"/>
      <c r="U111"/>
      <c r="V111"/>
      <c r="W111" s="29">
        <v>0</v>
      </c>
      <c r="AA111" s="2">
        <v>0</v>
      </c>
      <c r="AH111" s="2">
        <v>0</v>
      </c>
      <c r="AI111" s="2">
        <v>0</v>
      </c>
      <c r="AJ111" s="2">
        <v>-1036</v>
      </c>
      <c r="AK111" s="2">
        <v>0</v>
      </c>
      <c r="AL111" s="2">
        <v>0</v>
      </c>
    </row>
    <row r="112" spans="1:38" ht="14.4" x14ac:dyDescent="0.3">
      <c r="B112" s="28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s="29">
        <v>-155</v>
      </c>
      <c r="T112"/>
      <c r="U112"/>
      <c r="V112"/>
      <c r="W112" s="29">
        <v>-69</v>
      </c>
      <c r="AA112" s="2">
        <v>-725</v>
      </c>
      <c r="AH112" s="2">
        <v>-304</v>
      </c>
      <c r="AI112" s="2">
        <v>-499</v>
      </c>
      <c r="AJ112" s="2">
        <v>320</v>
      </c>
      <c r="AK112" s="2">
        <v>1911</v>
      </c>
      <c r="AL112" s="2">
        <v>-755</v>
      </c>
    </row>
    <row r="113" spans="2:38" ht="14.4" x14ac:dyDescent="0.3">
      <c r="B113" s="31" t="s">
        <v>69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s="29">
        <v>0</v>
      </c>
      <c r="T113"/>
      <c r="U113"/>
      <c r="V113"/>
      <c r="W113" s="29">
        <v>0</v>
      </c>
      <c r="AA113" s="2">
        <v>0</v>
      </c>
      <c r="AH113" s="2">
        <v>3136</v>
      </c>
      <c r="AI113" s="2">
        <v>0</v>
      </c>
      <c r="AJ113" s="2">
        <v>0</v>
      </c>
      <c r="AK113" s="2">
        <v>0</v>
      </c>
      <c r="AL113" s="2">
        <v>2410</v>
      </c>
    </row>
    <row r="114" spans="2:38" ht="14.4" x14ac:dyDescent="0.3">
      <c r="B114" s="28" t="s">
        <v>119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s="29">
        <v>270</v>
      </c>
      <c r="T114"/>
      <c r="U114"/>
      <c r="V114"/>
      <c r="W114" s="29">
        <v>-59</v>
      </c>
      <c r="AA114" s="2">
        <v>249</v>
      </c>
      <c r="AH114" s="2">
        <v>1210</v>
      </c>
      <c r="AI114" s="2">
        <v>1734</v>
      </c>
      <c r="AJ114" s="2">
        <v>1981</v>
      </c>
      <c r="AK114" s="2">
        <v>1521</v>
      </c>
      <c r="AL114" s="2">
        <v>1652</v>
      </c>
    </row>
    <row r="115" spans="2:38" ht="14.4" x14ac:dyDescent="0.3">
      <c r="B115" s="28" t="s">
        <v>83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s="29">
        <v>828</v>
      </c>
      <c r="T115"/>
      <c r="U115"/>
      <c r="V115"/>
      <c r="W115" s="29">
        <v>837</v>
      </c>
      <c r="AA115" s="2">
        <v>376</v>
      </c>
      <c r="AH115" s="2">
        <v>-1074</v>
      </c>
      <c r="AI115" s="2">
        <v>-368</v>
      </c>
      <c r="AJ115" s="2">
        <v>154</v>
      </c>
      <c r="AK115" s="2">
        <v>-1086</v>
      </c>
      <c r="AL115" s="2">
        <v>-1796</v>
      </c>
    </row>
    <row r="116" spans="2:38" ht="14.4" x14ac:dyDescent="0.3">
      <c r="B116" s="28" t="s">
        <v>84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s="29">
        <v>-1487</v>
      </c>
      <c r="T116"/>
      <c r="U116"/>
      <c r="V116"/>
      <c r="W116" s="29">
        <v>-4699</v>
      </c>
      <c r="AA116" s="2">
        <v>-154</v>
      </c>
      <c r="AH116" s="2">
        <v>-140</v>
      </c>
      <c r="AI116" s="2">
        <v>-1311</v>
      </c>
      <c r="AJ116" s="2">
        <v>-300</v>
      </c>
      <c r="AK116" s="2">
        <v>-2395</v>
      </c>
      <c r="AL116" s="2">
        <v>-11764</v>
      </c>
    </row>
    <row r="117" spans="2:38" ht="14.4" x14ac:dyDescent="0.3">
      <c r="B117" s="28" t="s">
        <v>94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s="29">
        <v>-1004</v>
      </c>
      <c r="T117"/>
      <c r="U117"/>
      <c r="V117"/>
      <c r="W117" s="29">
        <v>-1640</v>
      </c>
      <c r="AA117" s="2">
        <v>971</v>
      </c>
      <c r="AH117" s="2">
        <v>4086</v>
      </c>
      <c r="AI117" s="2">
        <v>1831</v>
      </c>
      <c r="AJ117" s="2">
        <v>-274</v>
      </c>
      <c r="AK117" s="2">
        <v>6966</v>
      </c>
      <c r="AL117" s="2">
        <v>5520</v>
      </c>
    </row>
    <row r="118" spans="2:38" ht="14.4" x14ac:dyDescent="0.3">
      <c r="B118" s="28" t="s">
        <v>95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s="29">
        <v>-4004</v>
      </c>
      <c r="T118"/>
      <c r="U118"/>
      <c r="V118"/>
      <c r="W118" s="29">
        <v>-4949</v>
      </c>
      <c r="AA118" s="2">
        <v>-4447</v>
      </c>
      <c r="AH118" s="2">
        <v>928</v>
      </c>
      <c r="AI118" s="2">
        <v>183</v>
      </c>
      <c r="AJ118" s="2">
        <v>186</v>
      </c>
      <c r="AK118" s="2">
        <v>4623</v>
      </c>
      <c r="AL118" s="2">
        <v>1404</v>
      </c>
    </row>
    <row r="119" spans="2:38" ht="14.4" x14ac:dyDescent="0.3">
      <c r="B119" s="28" t="s">
        <v>96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s="29">
        <v>428</v>
      </c>
      <c r="T119"/>
      <c r="U119"/>
      <c r="V119"/>
      <c r="W119" s="29">
        <v>49</v>
      </c>
      <c r="AA119" s="2">
        <v>560</v>
      </c>
      <c r="AH119" s="2">
        <v>-557</v>
      </c>
      <c r="AI119" s="2">
        <v>-40</v>
      </c>
      <c r="AJ119" s="2">
        <v>-93</v>
      </c>
      <c r="AK119" s="2">
        <v>-136</v>
      </c>
      <c r="AL119" s="2">
        <v>39</v>
      </c>
    </row>
    <row r="120" spans="2:38" x14ac:dyDescent="0.25">
      <c r="B120" s="3" t="s">
        <v>120</v>
      </c>
      <c r="C120" s="9">
        <f t="shared" ref="C120:Z120" si="290">SUM(C107:C119)</f>
        <v>0</v>
      </c>
      <c r="D120" s="9">
        <f t="shared" si="290"/>
        <v>0</v>
      </c>
      <c r="E120" s="9">
        <f t="shared" si="290"/>
        <v>0</v>
      </c>
      <c r="F120" s="9">
        <f t="shared" si="290"/>
        <v>0</v>
      </c>
      <c r="G120" s="9">
        <f t="shared" si="290"/>
        <v>0</v>
      </c>
      <c r="H120" s="9">
        <f t="shared" si="290"/>
        <v>0</v>
      </c>
      <c r="I120" s="9">
        <f t="shared" si="290"/>
        <v>0</v>
      </c>
      <c r="J120" s="9">
        <f t="shared" si="290"/>
        <v>0</v>
      </c>
      <c r="K120" s="9">
        <f t="shared" si="290"/>
        <v>0</v>
      </c>
      <c r="L120" s="9">
        <f t="shared" si="290"/>
        <v>0</v>
      </c>
      <c r="M120" s="9">
        <f t="shared" si="290"/>
        <v>0</v>
      </c>
      <c r="N120" s="9">
        <f t="shared" si="290"/>
        <v>0</v>
      </c>
      <c r="O120" s="9">
        <f t="shared" si="290"/>
        <v>0</v>
      </c>
      <c r="P120" s="9">
        <f t="shared" si="290"/>
        <v>0</v>
      </c>
      <c r="Q120" s="9">
        <f t="shared" si="290"/>
        <v>0</v>
      </c>
      <c r="R120" s="9">
        <f t="shared" si="290"/>
        <v>0</v>
      </c>
      <c r="S120" s="9">
        <f t="shared" si="290"/>
        <v>2858</v>
      </c>
      <c r="T120" s="9">
        <f t="shared" si="290"/>
        <v>0</v>
      </c>
      <c r="U120" s="9">
        <f t="shared" si="290"/>
        <v>0</v>
      </c>
      <c r="V120" s="9">
        <f t="shared" si="290"/>
        <v>0</v>
      </c>
      <c r="W120" s="9">
        <f t="shared" si="290"/>
        <v>-3758</v>
      </c>
      <c r="X120" s="9">
        <f t="shared" si="290"/>
        <v>0</v>
      </c>
      <c r="Y120" s="9">
        <f t="shared" si="290"/>
        <v>0</v>
      </c>
      <c r="Z120" s="9">
        <f t="shared" si="290"/>
        <v>0</v>
      </c>
      <c r="AA120" s="9">
        <f>SUM(AA107:AA119)</f>
        <v>4633</v>
      </c>
      <c r="AH120" s="9">
        <f>SUM(AH107:AH119)</f>
        <v>28337</v>
      </c>
      <c r="AI120" s="9">
        <f t="shared" ref="AI120:AL120" si="291">SUM(AI107:AI119)</f>
        <v>27753</v>
      </c>
      <c r="AJ120" s="9">
        <f t="shared" si="291"/>
        <v>25255</v>
      </c>
      <c r="AK120" s="9">
        <f t="shared" si="291"/>
        <v>36074</v>
      </c>
      <c r="AL120" s="9">
        <f t="shared" si="291"/>
        <v>24181</v>
      </c>
    </row>
    <row r="121" spans="2:38" ht="14.4" x14ac:dyDescent="0.3">
      <c r="B121" s="28" t="s">
        <v>121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s="29">
        <v>-2214</v>
      </c>
      <c r="T121"/>
      <c r="U121"/>
      <c r="V121"/>
      <c r="W121" s="29">
        <v>-3539</v>
      </c>
      <c r="AA121" s="2">
        <v>-4429</v>
      </c>
      <c r="AH121" s="2">
        <v>-10051</v>
      </c>
      <c r="AI121" s="2">
        <v>-10344</v>
      </c>
      <c r="AJ121" s="2">
        <v>-10705</v>
      </c>
      <c r="AK121" s="2">
        <v>-10264</v>
      </c>
      <c r="AL121" s="2">
        <v>-13106</v>
      </c>
    </row>
    <row r="122" spans="2:38" ht="14.4" x14ac:dyDescent="0.3">
      <c r="B122" s="28" t="s">
        <v>122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s="29">
        <v>72</v>
      </c>
      <c r="T122"/>
      <c r="U122"/>
      <c r="V122"/>
      <c r="W122" s="29">
        <v>35</v>
      </c>
      <c r="AA122" s="2">
        <v>47</v>
      </c>
      <c r="AH122" s="2">
        <v>378</v>
      </c>
      <c r="AI122" s="2">
        <v>519</v>
      </c>
      <c r="AJ122" s="2">
        <v>321</v>
      </c>
      <c r="AK122" s="2">
        <v>215</v>
      </c>
      <c r="AL122" s="2">
        <v>394</v>
      </c>
    </row>
    <row r="123" spans="2:38" ht="14.4" x14ac:dyDescent="0.3">
      <c r="B123" s="28" t="s">
        <v>123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s="29">
        <v>7935</v>
      </c>
      <c r="T123"/>
      <c r="U123"/>
      <c r="V123"/>
      <c r="W123" s="29">
        <v>0</v>
      </c>
      <c r="AA123" s="2">
        <v>48</v>
      </c>
      <c r="AH123" s="2">
        <v>1046</v>
      </c>
      <c r="AI123" s="2">
        <v>876</v>
      </c>
      <c r="AJ123" s="2">
        <v>833</v>
      </c>
      <c r="AK123" s="2">
        <v>56</v>
      </c>
      <c r="AL123" s="2">
        <v>7935</v>
      </c>
    </row>
    <row r="124" spans="2:38" ht="14.4" x14ac:dyDescent="0.3">
      <c r="B124" s="28" t="s">
        <v>124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s="29">
        <v>0</v>
      </c>
      <c r="T124"/>
      <c r="U124"/>
      <c r="V124"/>
      <c r="W124" s="29">
        <v>-598</v>
      </c>
      <c r="AA124" s="2">
        <v>0</v>
      </c>
      <c r="AH124" s="2">
        <v>-375</v>
      </c>
      <c r="AI124" s="2">
        <v>-14656</v>
      </c>
      <c r="AJ124" s="2">
        <v>-56</v>
      </c>
      <c r="AK124" s="2">
        <v>-180</v>
      </c>
      <c r="AL124" s="2">
        <v>-359</v>
      </c>
    </row>
    <row r="125" spans="2:38" ht="14.4" x14ac:dyDescent="0.3">
      <c r="B125" s="28" t="s">
        <v>125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s="29">
        <v>57</v>
      </c>
      <c r="T125"/>
      <c r="U125"/>
      <c r="V125"/>
      <c r="W125" s="29">
        <v>-456</v>
      </c>
      <c r="AA125" s="2">
        <v>-526</v>
      </c>
      <c r="AH125" s="2">
        <v>-77</v>
      </c>
      <c r="AI125" s="2">
        <v>-431</v>
      </c>
      <c r="AJ125" s="2">
        <v>479</v>
      </c>
      <c r="AK125" s="2">
        <v>102</v>
      </c>
      <c r="AL125" s="2">
        <v>-879</v>
      </c>
    </row>
    <row r="126" spans="2:38" x14ac:dyDescent="0.25">
      <c r="B126" s="3" t="s">
        <v>126</v>
      </c>
      <c r="C126" s="9">
        <f t="shared" ref="C126:V126" si="292">SUM(C121:C125)</f>
        <v>0</v>
      </c>
      <c r="D126" s="9">
        <f t="shared" si="292"/>
        <v>0</v>
      </c>
      <c r="E126" s="9">
        <f t="shared" si="292"/>
        <v>0</v>
      </c>
      <c r="F126" s="9">
        <f t="shared" si="292"/>
        <v>0</v>
      </c>
      <c r="G126" s="9">
        <f t="shared" si="292"/>
        <v>0</v>
      </c>
      <c r="H126" s="9">
        <f t="shared" si="292"/>
        <v>0</v>
      </c>
      <c r="I126" s="9">
        <f t="shared" si="292"/>
        <v>0</v>
      </c>
      <c r="J126" s="9">
        <f t="shared" si="292"/>
        <v>0</v>
      </c>
      <c r="K126" s="9">
        <f t="shared" si="292"/>
        <v>0</v>
      </c>
      <c r="L126" s="9">
        <f t="shared" si="292"/>
        <v>0</v>
      </c>
      <c r="M126" s="9">
        <f t="shared" si="292"/>
        <v>0</v>
      </c>
      <c r="N126" s="9">
        <f t="shared" si="292"/>
        <v>0</v>
      </c>
      <c r="O126" s="9">
        <f t="shared" si="292"/>
        <v>0</v>
      </c>
      <c r="P126" s="9">
        <f t="shared" si="292"/>
        <v>0</v>
      </c>
      <c r="Q126" s="9">
        <f t="shared" si="292"/>
        <v>0</v>
      </c>
      <c r="R126" s="9">
        <f t="shared" si="292"/>
        <v>0</v>
      </c>
      <c r="S126" s="9">
        <f>SUM(S121:S125)</f>
        <v>5850</v>
      </c>
      <c r="T126" s="9">
        <f t="shared" si="292"/>
        <v>0</v>
      </c>
      <c r="U126" s="9">
        <f t="shared" si="292"/>
        <v>0</v>
      </c>
      <c r="V126" s="9">
        <f t="shared" si="292"/>
        <v>0</v>
      </c>
      <c r="W126" s="9">
        <f>SUM(W121:W125)</f>
        <v>-4558</v>
      </c>
      <c r="X126" s="9">
        <f t="shared" ref="X126:AA126" si="293">SUM(X121:X125)</f>
        <v>0</v>
      </c>
      <c r="Y126" s="9">
        <f t="shared" si="293"/>
        <v>0</v>
      </c>
      <c r="Z126" s="9">
        <f t="shared" si="293"/>
        <v>0</v>
      </c>
      <c r="AA126" s="9">
        <f t="shared" si="293"/>
        <v>-4860</v>
      </c>
      <c r="AH126" s="9">
        <f t="shared" ref="AH126:AL126" si="294">SUM(AH121:AH125)</f>
        <v>-9079</v>
      </c>
      <c r="AI126" s="9">
        <f t="shared" si="294"/>
        <v>-24036</v>
      </c>
      <c r="AJ126" s="9">
        <f t="shared" si="294"/>
        <v>-9128</v>
      </c>
      <c r="AK126" s="9">
        <f t="shared" si="294"/>
        <v>-10071</v>
      </c>
      <c r="AL126" s="9">
        <f t="shared" si="294"/>
        <v>-6015</v>
      </c>
    </row>
    <row r="127" spans="2:38" ht="14.4" x14ac:dyDescent="0.3">
      <c r="B127" s="28" t="s">
        <v>127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s="29">
        <v>138</v>
      </c>
      <c r="T127"/>
      <c r="U127"/>
      <c r="V127"/>
      <c r="W127" s="29">
        <v>10995</v>
      </c>
      <c r="AA127" s="2">
        <v>1343</v>
      </c>
      <c r="AH127" s="2">
        <v>4148</v>
      </c>
      <c r="AI127" s="2">
        <v>-53</v>
      </c>
      <c r="AJ127" s="2">
        <v>-4656</v>
      </c>
      <c r="AK127" s="2">
        <v>-324</v>
      </c>
      <c r="AL127" s="2">
        <v>193</v>
      </c>
    </row>
    <row r="128" spans="2:38" ht="14.4" x14ac:dyDescent="0.3">
      <c r="B128" s="31" t="s">
        <v>138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s="29">
        <v>0</v>
      </c>
      <c r="T128"/>
      <c r="U128"/>
      <c r="V128"/>
      <c r="W128" s="29">
        <v>0</v>
      </c>
      <c r="AA128" s="2">
        <v>4967</v>
      </c>
      <c r="AH128" s="2">
        <v>7476</v>
      </c>
      <c r="AI128" s="2">
        <v>15872</v>
      </c>
      <c r="AJ128" s="2">
        <v>5492</v>
      </c>
      <c r="AK128" s="2">
        <v>0</v>
      </c>
      <c r="AL128" s="2">
        <v>6945</v>
      </c>
    </row>
    <row r="129" spans="2:435" ht="14.4" x14ac:dyDescent="0.3">
      <c r="B129" s="28" t="s">
        <v>128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s="29">
        <v>-510</v>
      </c>
      <c r="T129"/>
      <c r="U129"/>
      <c r="V129"/>
      <c r="W129" s="29">
        <v>-926</v>
      </c>
      <c r="AA129" s="2">
        <v>-1784</v>
      </c>
      <c r="AH129" s="2">
        <v>-13061</v>
      </c>
      <c r="AI129" s="2">
        <v>-3784</v>
      </c>
      <c r="AJ129" s="2">
        <v>-1907</v>
      </c>
      <c r="AK129" s="2">
        <v>-5382</v>
      </c>
      <c r="AL129" s="2">
        <v>-13010</v>
      </c>
    </row>
    <row r="130" spans="2:435" ht="14.4" x14ac:dyDescent="0.3">
      <c r="B130" s="31" t="s">
        <v>139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s="29">
        <v>0</v>
      </c>
      <c r="T130"/>
      <c r="U130"/>
      <c r="V130"/>
      <c r="W130" s="29">
        <v>0</v>
      </c>
      <c r="AA130" s="2">
        <v>0</v>
      </c>
      <c r="AH130" s="2">
        <v>-3059</v>
      </c>
      <c r="AI130" s="2">
        <v>0</v>
      </c>
      <c r="AJ130" s="2">
        <v>0</v>
      </c>
      <c r="AK130" s="2">
        <v>0</v>
      </c>
      <c r="AL130" s="2">
        <v>-2317</v>
      </c>
    </row>
    <row r="131" spans="2:435" ht="14.4" x14ac:dyDescent="0.3">
      <c r="B131" s="28" t="s">
        <v>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s="29">
        <v>-1549</v>
      </c>
      <c r="T131"/>
      <c r="U131"/>
      <c r="V131"/>
      <c r="W131" s="29">
        <v>-1543</v>
      </c>
      <c r="AA131" s="2">
        <v>-1538</v>
      </c>
      <c r="AH131" s="2">
        <v>-6124</v>
      </c>
      <c r="AI131" s="2">
        <v>-6102</v>
      </c>
      <c r="AJ131" s="2">
        <v>-6048</v>
      </c>
      <c r="AK131" s="2">
        <v>-6116</v>
      </c>
      <c r="AL131" s="2">
        <v>-6152</v>
      </c>
    </row>
    <row r="132" spans="2:435" ht="14.4" x14ac:dyDescent="0.3">
      <c r="B132" s="28" t="s">
        <v>129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s="29">
        <v>-2809</v>
      </c>
      <c r="T132"/>
      <c r="U132"/>
      <c r="V132"/>
      <c r="W132" s="29">
        <v>-2408</v>
      </c>
      <c r="AA132" s="2">
        <v>-686</v>
      </c>
      <c r="AH132" s="2">
        <v>-8296</v>
      </c>
      <c r="AI132" s="2">
        <v>-7410</v>
      </c>
      <c r="AJ132" s="2">
        <v>-5717</v>
      </c>
      <c r="AK132" s="2">
        <v>-2625</v>
      </c>
      <c r="AL132" s="2">
        <v>-9787</v>
      </c>
    </row>
    <row r="133" spans="2:435" ht="14.4" x14ac:dyDescent="0.3">
      <c r="B133" s="31" t="s">
        <v>140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s="29">
        <v>0</v>
      </c>
      <c r="T133"/>
      <c r="U133"/>
      <c r="V133"/>
      <c r="W133" s="29">
        <v>0</v>
      </c>
      <c r="AA133" s="2">
        <v>0</v>
      </c>
      <c r="AH133" s="2">
        <v>-690</v>
      </c>
      <c r="AI133" s="2">
        <v>-431</v>
      </c>
      <c r="AJ133" s="2">
        <v>-555</v>
      </c>
      <c r="AK133" s="2">
        <v>-434</v>
      </c>
      <c r="AL133" s="2">
        <v>-424</v>
      </c>
    </row>
    <row r="134" spans="2:435" ht="14.4" x14ac:dyDescent="0.3">
      <c r="B134" s="28" t="s">
        <v>130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s="29">
        <v>75</v>
      </c>
      <c r="T134"/>
      <c r="U134"/>
      <c r="V134"/>
      <c r="W134" s="29">
        <v>35</v>
      </c>
      <c r="AA134" s="2">
        <v>483</v>
      </c>
      <c r="AH134" s="2">
        <v>-8</v>
      </c>
      <c r="AI134" s="2">
        <v>0</v>
      </c>
      <c r="AJ134" s="2">
        <v>52</v>
      </c>
      <c r="AK134" s="2">
        <v>140</v>
      </c>
      <c r="AL134" s="2">
        <v>3239</v>
      </c>
    </row>
    <row r="135" spans="2:435" ht="14.4" x14ac:dyDescent="0.3">
      <c r="B135" s="28" t="s">
        <v>131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s="29">
        <v>-744</v>
      </c>
      <c r="T135"/>
      <c r="U135"/>
      <c r="V135"/>
      <c r="W135" s="29">
        <v>-838</v>
      </c>
      <c r="AA135" s="2">
        <v>-845</v>
      </c>
      <c r="AH135" s="2">
        <v>-261</v>
      </c>
      <c r="AI135" s="2">
        <v>-629</v>
      </c>
      <c r="AJ135" s="2">
        <v>-960</v>
      </c>
      <c r="AK135" s="2">
        <v>-1376</v>
      </c>
      <c r="AL135" s="2">
        <v>-1515</v>
      </c>
    </row>
    <row r="136" spans="2:435" x14ac:dyDescent="0.25">
      <c r="B136" s="3" t="s">
        <v>132</v>
      </c>
      <c r="C136" s="9">
        <f t="shared" ref="C136:AA136" si="295">SUM(C127:C135)</f>
        <v>0</v>
      </c>
      <c r="D136" s="9">
        <f t="shared" si="295"/>
        <v>0</v>
      </c>
      <c r="E136" s="9">
        <f t="shared" si="295"/>
        <v>0</v>
      </c>
      <c r="F136" s="9">
        <f t="shared" si="295"/>
        <v>0</v>
      </c>
      <c r="G136" s="9">
        <f t="shared" si="295"/>
        <v>0</v>
      </c>
      <c r="H136" s="9">
        <f t="shared" si="295"/>
        <v>0</v>
      </c>
      <c r="I136" s="9">
        <f t="shared" si="295"/>
        <v>0</v>
      </c>
      <c r="J136" s="9">
        <f t="shared" si="295"/>
        <v>0</v>
      </c>
      <c r="K136" s="9">
        <f t="shared" si="295"/>
        <v>0</v>
      </c>
      <c r="L136" s="9">
        <f t="shared" si="295"/>
        <v>0</v>
      </c>
      <c r="M136" s="9">
        <f t="shared" si="295"/>
        <v>0</v>
      </c>
      <c r="N136" s="9">
        <f t="shared" si="295"/>
        <v>0</v>
      </c>
      <c r="O136" s="9">
        <f t="shared" si="295"/>
        <v>0</v>
      </c>
      <c r="P136" s="9">
        <f t="shared" si="295"/>
        <v>0</v>
      </c>
      <c r="Q136" s="9">
        <f t="shared" si="295"/>
        <v>0</v>
      </c>
      <c r="R136" s="9">
        <f t="shared" si="295"/>
        <v>0</v>
      </c>
      <c r="S136" s="9">
        <f t="shared" si="295"/>
        <v>-5399</v>
      </c>
      <c r="T136" s="9">
        <f t="shared" si="295"/>
        <v>0</v>
      </c>
      <c r="U136" s="9">
        <f t="shared" si="295"/>
        <v>0</v>
      </c>
      <c r="V136" s="9">
        <f t="shared" si="295"/>
        <v>0</v>
      </c>
      <c r="W136" s="9">
        <f t="shared" si="295"/>
        <v>5315</v>
      </c>
      <c r="X136" s="9">
        <f t="shared" si="295"/>
        <v>0</v>
      </c>
      <c r="Y136" s="9">
        <f t="shared" si="295"/>
        <v>0</v>
      </c>
      <c r="Z136" s="9">
        <f t="shared" si="295"/>
        <v>0</v>
      </c>
      <c r="AA136" s="9">
        <f t="shared" si="295"/>
        <v>1940</v>
      </c>
      <c r="AH136" s="9">
        <f t="shared" ref="AH136:AK136" si="296">SUM(AH127:AH135)</f>
        <v>-19875</v>
      </c>
      <c r="AI136" s="9">
        <f t="shared" si="296"/>
        <v>-2537</v>
      </c>
      <c r="AJ136" s="9">
        <f t="shared" si="296"/>
        <v>-14299</v>
      </c>
      <c r="AK136" s="9">
        <f t="shared" si="296"/>
        <v>-16117</v>
      </c>
      <c r="AL136" s="9">
        <f>SUM(AL127:AL135)</f>
        <v>-22828</v>
      </c>
    </row>
    <row r="137" spans="2:435" x14ac:dyDescent="0.25">
      <c r="B137" s="28" t="s">
        <v>133</v>
      </c>
      <c r="C137" s="29">
        <f t="shared" ref="C137:V137" si="297">C120+C126+C136</f>
        <v>0</v>
      </c>
      <c r="D137" s="29">
        <f t="shared" si="297"/>
        <v>0</v>
      </c>
      <c r="E137" s="29">
        <f t="shared" si="297"/>
        <v>0</v>
      </c>
      <c r="F137" s="29">
        <f t="shared" si="297"/>
        <v>0</v>
      </c>
      <c r="G137" s="29">
        <f t="shared" si="297"/>
        <v>0</v>
      </c>
      <c r="H137" s="29">
        <f t="shared" si="297"/>
        <v>0</v>
      </c>
      <c r="I137" s="29">
        <f t="shared" si="297"/>
        <v>0</v>
      </c>
      <c r="J137" s="29">
        <f t="shared" si="297"/>
        <v>0</v>
      </c>
      <c r="K137" s="29">
        <f t="shared" si="297"/>
        <v>0</v>
      </c>
      <c r="L137" s="29">
        <f t="shared" si="297"/>
        <v>0</v>
      </c>
      <c r="M137" s="29">
        <f t="shared" si="297"/>
        <v>0</v>
      </c>
      <c r="N137" s="29">
        <f t="shared" si="297"/>
        <v>0</v>
      </c>
      <c r="O137" s="29">
        <f t="shared" si="297"/>
        <v>0</v>
      </c>
      <c r="P137" s="29">
        <f t="shared" si="297"/>
        <v>0</v>
      </c>
      <c r="Q137" s="29">
        <f t="shared" si="297"/>
        <v>0</v>
      </c>
      <c r="R137" s="29">
        <f t="shared" si="297"/>
        <v>0</v>
      </c>
      <c r="S137" s="29">
        <f>S120+S126+S136</f>
        <v>3309</v>
      </c>
      <c r="T137" s="29">
        <f t="shared" si="297"/>
        <v>0</v>
      </c>
      <c r="U137" s="29">
        <f t="shared" si="297"/>
        <v>0</v>
      </c>
      <c r="V137" s="29">
        <f t="shared" si="297"/>
        <v>0</v>
      </c>
      <c r="W137" s="29">
        <f>W120+W126+W136</f>
        <v>-3001</v>
      </c>
      <c r="X137" s="29">
        <f t="shared" ref="X137:AA137" si="298">X120+X126+X136</f>
        <v>0</v>
      </c>
      <c r="Y137" s="29">
        <f t="shared" si="298"/>
        <v>0</v>
      </c>
      <c r="Z137" s="29">
        <f t="shared" si="298"/>
        <v>0</v>
      </c>
      <c r="AA137" s="29">
        <f t="shared" si="298"/>
        <v>1713</v>
      </c>
      <c r="AH137" s="29">
        <f t="shared" ref="AH137:AL137" si="299">AH120+AH126+AH136</f>
        <v>-617</v>
      </c>
      <c r="AI137" s="29">
        <f t="shared" si="299"/>
        <v>1180</v>
      </c>
      <c r="AJ137" s="29">
        <f t="shared" si="299"/>
        <v>1828</v>
      </c>
      <c r="AK137" s="29">
        <f t="shared" si="299"/>
        <v>9886</v>
      </c>
      <c r="AL137" s="29">
        <f t="shared" si="299"/>
        <v>-4662</v>
      </c>
    </row>
    <row r="138" spans="2:435" x14ac:dyDescent="0.25">
      <c r="B138" s="28" t="s">
        <v>134</v>
      </c>
      <c r="C138" s="29">
        <f t="shared" ref="C138:V138" si="300">C120-C121</f>
        <v>0</v>
      </c>
      <c r="D138" s="29">
        <f t="shared" si="300"/>
        <v>0</v>
      </c>
      <c r="E138" s="29">
        <f t="shared" si="300"/>
        <v>0</v>
      </c>
      <c r="F138" s="29">
        <f t="shared" si="300"/>
        <v>0</v>
      </c>
      <c r="G138" s="29">
        <f t="shared" si="300"/>
        <v>0</v>
      </c>
      <c r="H138" s="29">
        <f t="shared" si="300"/>
        <v>0</v>
      </c>
      <c r="I138" s="29">
        <f t="shared" si="300"/>
        <v>0</v>
      </c>
      <c r="J138" s="29">
        <f t="shared" si="300"/>
        <v>0</v>
      </c>
      <c r="K138" s="29">
        <f t="shared" si="300"/>
        <v>0</v>
      </c>
      <c r="L138" s="29">
        <f t="shared" si="300"/>
        <v>0</v>
      </c>
      <c r="M138" s="29">
        <f t="shared" si="300"/>
        <v>0</v>
      </c>
      <c r="N138" s="29">
        <f t="shared" si="300"/>
        <v>0</v>
      </c>
      <c r="O138" s="29">
        <f t="shared" si="300"/>
        <v>0</v>
      </c>
      <c r="P138" s="29">
        <f t="shared" si="300"/>
        <v>0</v>
      </c>
      <c r="Q138" s="29">
        <f t="shared" si="300"/>
        <v>0</v>
      </c>
      <c r="R138" s="29">
        <f t="shared" si="300"/>
        <v>0</v>
      </c>
      <c r="S138" s="29">
        <f>S120-S121</f>
        <v>5072</v>
      </c>
      <c r="T138" s="29">
        <f t="shared" si="300"/>
        <v>0</v>
      </c>
      <c r="U138" s="29">
        <f t="shared" si="300"/>
        <v>0</v>
      </c>
      <c r="V138" s="29">
        <f t="shared" si="300"/>
        <v>0</v>
      </c>
      <c r="W138" s="29">
        <f>W120-W121</f>
        <v>-219</v>
      </c>
      <c r="X138" s="29">
        <f t="shared" ref="X138:AA138" si="301">X120-X121</f>
        <v>0</v>
      </c>
      <c r="Y138" s="29">
        <f t="shared" si="301"/>
        <v>0</v>
      </c>
      <c r="Z138" s="29">
        <f t="shared" si="301"/>
        <v>0</v>
      </c>
      <c r="AA138" s="29">
        <f t="shared" si="301"/>
        <v>9062</v>
      </c>
      <c r="AH138" s="29">
        <f t="shared" ref="AH138:AL138" si="302">AH120-AH121</f>
        <v>38388</v>
      </c>
      <c r="AI138" s="29">
        <f t="shared" si="302"/>
        <v>38097</v>
      </c>
      <c r="AJ138" s="29">
        <f t="shared" si="302"/>
        <v>35960</v>
      </c>
      <c r="AK138" s="29">
        <f t="shared" si="302"/>
        <v>46338</v>
      </c>
      <c r="AL138" s="29">
        <f t="shared" si="302"/>
        <v>37287</v>
      </c>
      <c r="AM138" s="2">
        <f>AL138*(1+$AX$59)</f>
        <v>36914.129999999997</v>
      </c>
      <c r="AN138" s="2">
        <f t="shared" ref="AN138:CY138" si="303">AM138*(1+$AX$59)</f>
        <v>36544.988699999994</v>
      </c>
      <c r="AO138" s="2">
        <f t="shared" si="303"/>
        <v>36179.538812999992</v>
      </c>
      <c r="AP138" s="2">
        <f t="shared" si="303"/>
        <v>35817.743424869994</v>
      </c>
      <c r="AQ138" s="2">
        <f t="shared" si="303"/>
        <v>35459.565990621297</v>
      </c>
      <c r="AR138" s="2">
        <f t="shared" si="303"/>
        <v>35104.970330715085</v>
      </c>
      <c r="AS138" s="2">
        <f t="shared" si="303"/>
        <v>34753.920627407933</v>
      </c>
      <c r="AT138" s="2">
        <f t="shared" si="303"/>
        <v>34406.381421133854</v>
      </c>
      <c r="AU138" s="2">
        <f t="shared" si="303"/>
        <v>34062.317606922516</v>
      </c>
      <c r="AV138" s="2">
        <f t="shared" si="303"/>
        <v>33721.694430853291</v>
      </c>
      <c r="AW138" s="2">
        <f t="shared" si="303"/>
        <v>33384.477486544754</v>
      </c>
      <c r="AX138" s="2">
        <f t="shared" si="303"/>
        <v>33050.632711679304</v>
      </c>
      <c r="AY138" s="2">
        <f t="shared" si="303"/>
        <v>32720.126384562511</v>
      </c>
      <c r="AZ138" s="2">
        <f t="shared" si="303"/>
        <v>32392.925120716885</v>
      </c>
      <c r="BA138" s="2">
        <f t="shared" si="303"/>
        <v>32068.995869509716</v>
      </c>
      <c r="BB138" s="2">
        <f t="shared" si="303"/>
        <v>31748.305910814619</v>
      </c>
      <c r="BC138" s="2">
        <f t="shared" si="303"/>
        <v>31430.822851706471</v>
      </c>
      <c r="BD138" s="2">
        <f t="shared" si="303"/>
        <v>31116.514623189407</v>
      </c>
      <c r="BE138" s="2">
        <f t="shared" si="303"/>
        <v>30805.349476957512</v>
      </c>
      <c r="BF138" s="2">
        <f t="shared" si="303"/>
        <v>30497.295982187938</v>
      </c>
      <c r="BG138" s="2">
        <f t="shared" si="303"/>
        <v>30192.323022366058</v>
      </c>
      <c r="BH138" s="2">
        <f t="shared" si="303"/>
        <v>29890.399792142398</v>
      </c>
      <c r="BI138" s="2">
        <f t="shared" si="303"/>
        <v>29591.495794220973</v>
      </c>
      <c r="BJ138" s="2">
        <f t="shared" si="303"/>
        <v>29295.580836278765</v>
      </c>
      <c r="BK138" s="2">
        <f t="shared" si="303"/>
        <v>29002.625027915976</v>
      </c>
      <c r="BL138" s="2">
        <f t="shared" si="303"/>
        <v>28712.598777636817</v>
      </c>
      <c r="BM138" s="2">
        <f t="shared" si="303"/>
        <v>28425.472789860447</v>
      </c>
      <c r="BN138" s="2">
        <f t="shared" si="303"/>
        <v>28141.218061961841</v>
      </c>
      <c r="BO138" s="2">
        <f t="shared" si="303"/>
        <v>27859.805881342221</v>
      </c>
      <c r="BP138" s="2">
        <f t="shared" si="303"/>
        <v>27581.207822528799</v>
      </c>
      <c r="BQ138" s="2">
        <f t="shared" si="303"/>
        <v>27305.395744303511</v>
      </c>
      <c r="BR138" s="2">
        <f t="shared" si="303"/>
        <v>27032.341786860474</v>
      </c>
      <c r="BS138" s="2">
        <f t="shared" si="303"/>
        <v>26762.01836899187</v>
      </c>
      <c r="BT138" s="2">
        <f t="shared" si="303"/>
        <v>26494.39818530195</v>
      </c>
      <c r="BU138" s="2">
        <f t="shared" si="303"/>
        <v>26229.454203448931</v>
      </c>
      <c r="BV138" s="2">
        <f t="shared" si="303"/>
        <v>25967.15966141444</v>
      </c>
      <c r="BW138" s="2">
        <f t="shared" si="303"/>
        <v>25707.488064800295</v>
      </c>
      <c r="BX138" s="2">
        <f t="shared" si="303"/>
        <v>25450.41318415229</v>
      </c>
      <c r="BY138" s="2">
        <f t="shared" si="303"/>
        <v>25195.909052310766</v>
      </c>
      <c r="BZ138" s="2">
        <f t="shared" si="303"/>
        <v>24943.949961787657</v>
      </c>
      <c r="CA138" s="2">
        <f t="shared" si="303"/>
        <v>24694.510462169779</v>
      </c>
      <c r="CB138" s="2">
        <f t="shared" si="303"/>
        <v>24447.565357548083</v>
      </c>
      <c r="CC138" s="2">
        <f t="shared" si="303"/>
        <v>24203.089703972601</v>
      </c>
      <c r="CD138" s="2">
        <f t="shared" si="303"/>
        <v>23961.058806932873</v>
      </c>
      <c r="CE138" s="2">
        <f t="shared" si="303"/>
        <v>23721.448218863545</v>
      </c>
      <c r="CF138" s="2">
        <f t="shared" si="303"/>
        <v>23484.233736674909</v>
      </c>
      <c r="CG138" s="2">
        <f t="shared" si="303"/>
        <v>23249.391399308159</v>
      </c>
      <c r="CH138" s="2">
        <f t="shared" si="303"/>
        <v>23016.897485315076</v>
      </c>
      <c r="CI138" s="2">
        <f t="shared" si="303"/>
        <v>22786.728510461926</v>
      </c>
      <c r="CJ138" s="2">
        <f t="shared" si="303"/>
        <v>22558.861225357305</v>
      </c>
      <c r="CK138" s="2">
        <f t="shared" si="303"/>
        <v>22333.272613103731</v>
      </c>
      <c r="CL138" s="2">
        <f t="shared" si="303"/>
        <v>22109.939886972694</v>
      </c>
      <c r="CM138" s="2">
        <f t="shared" si="303"/>
        <v>21888.840488102967</v>
      </c>
      <c r="CN138" s="2">
        <f t="shared" si="303"/>
        <v>21669.952083221939</v>
      </c>
      <c r="CO138" s="2">
        <f t="shared" si="303"/>
        <v>21453.25256238972</v>
      </c>
      <c r="CP138" s="2">
        <f t="shared" si="303"/>
        <v>21238.720036765822</v>
      </c>
      <c r="CQ138" s="2">
        <f t="shared" si="303"/>
        <v>21026.332836398164</v>
      </c>
      <c r="CR138" s="2">
        <f t="shared" si="303"/>
        <v>20816.069508034183</v>
      </c>
      <c r="CS138" s="2">
        <f t="shared" si="303"/>
        <v>20607.90881295384</v>
      </c>
      <c r="CT138" s="2">
        <f t="shared" si="303"/>
        <v>20401.8297248243</v>
      </c>
      <c r="CU138" s="2">
        <f t="shared" si="303"/>
        <v>20197.811427576056</v>
      </c>
      <c r="CV138" s="2">
        <f t="shared" si="303"/>
        <v>19995.833313300296</v>
      </c>
      <c r="CW138" s="2">
        <f t="shared" si="303"/>
        <v>19795.874980167293</v>
      </c>
      <c r="CX138" s="2">
        <f t="shared" si="303"/>
        <v>19597.916230365619</v>
      </c>
      <c r="CY138" s="2">
        <f t="shared" si="303"/>
        <v>19401.937068061961</v>
      </c>
      <c r="CZ138" s="2">
        <f t="shared" ref="CZ138:FK138" si="304">CY138*(1+$AX$59)</f>
        <v>19207.917697381341</v>
      </c>
      <c r="DA138" s="2">
        <f t="shared" si="304"/>
        <v>19015.838520407528</v>
      </c>
      <c r="DB138" s="2">
        <f t="shared" si="304"/>
        <v>18825.680135203453</v>
      </c>
      <c r="DC138" s="2">
        <f t="shared" si="304"/>
        <v>18637.423333851417</v>
      </c>
      <c r="DD138" s="2">
        <f t="shared" si="304"/>
        <v>18451.049100512904</v>
      </c>
      <c r="DE138" s="2">
        <f t="shared" si="304"/>
        <v>18266.538609507774</v>
      </c>
      <c r="DF138" s="2">
        <f t="shared" si="304"/>
        <v>18083.873223412695</v>
      </c>
      <c r="DG138" s="2">
        <f t="shared" si="304"/>
        <v>17903.034491178569</v>
      </c>
      <c r="DH138" s="2">
        <f t="shared" si="304"/>
        <v>17724.004146266783</v>
      </c>
      <c r="DI138" s="2">
        <f t="shared" si="304"/>
        <v>17546.764104804115</v>
      </c>
      <c r="DJ138" s="2">
        <f t="shared" si="304"/>
        <v>17371.296463756073</v>
      </c>
      <c r="DK138" s="2">
        <f t="shared" si="304"/>
        <v>17197.583499118511</v>
      </c>
      <c r="DL138" s="2">
        <f t="shared" si="304"/>
        <v>17025.607664127325</v>
      </c>
      <c r="DM138" s="2">
        <f t="shared" si="304"/>
        <v>16855.351587486053</v>
      </c>
      <c r="DN138" s="2">
        <f t="shared" si="304"/>
        <v>16686.798071611192</v>
      </c>
      <c r="DO138" s="2">
        <f t="shared" si="304"/>
        <v>16519.930090895079</v>
      </c>
      <c r="DP138" s="2">
        <f t="shared" si="304"/>
        <v>16354.730789986128</v>
      </c>
      <c r="DQ138" s="2">
        <f t="shared" si="304"/>
        <v>16191.183482086266</v>
      </c>
      <c r="DR138" s="2">
        <f t="shared" si="304"/>
        <v>16029.271647265403</v>
      </c>
      <c r="DS138" s="2">
        <f t="shared" si="304"/>
        <v>15868.978930792749</v>
      </c>
      <c r="DT138" s="2">
        <f t="shared" si="304"/>
        <v>15710.289141484822</v>
      </c>
      <c r="DU138" s="2">
        <f t="shared" si="304"/>
        <v>15553.186250069974</v>
      </c>
      <c r="DV138" s="2">
        <f t="shared" si="304"/>
        <v>15397.654387569273</v>
      </c>
      <c r="DW138" s="2">
        <f t="shared" si="304"/>
        <v>15243.67784369358</v>
      </c>
      <c r="DX138" s="2">
        <f t="shared" si="304"/>
        <v>15091.241065256645</v>
      </c>
      <c r="DY138" s="2">
        <f t="shared" si="304"/>
        <v>14940.328654604078</v>
      </c>
      <c r="DZ138" s="2">
        <f t="shared" si="304"/>
        <v>14790.925368058037</v>
      </c>
      <c r="EA138" s="2">
        <f t="shared" si="304"/>
        <v>14643.016114377457</v>
      </c>
      <c r="EB138" s="2">
        <f t="shared" si="304"/>
        <v>14496.585953233682</v>
      </c>
      <c r="EC138" s="2">
        <f t="shared" si="304"/>
        <v>14351.620093701345</v>
      </c>
      <c r="ED138" s="2">
        <f t="shared" si="304"/>
        <v>14208.103892764331</v>
      </c>
      <c r="EE138" s="2">
        <f t="shared" si="304"/>
        <v>14066.022853836688</v>
      </c>
      <c r="EF138" s="2">
        <f t="shared" si="304"/>
        <v>13925.362625298321</v>
      </c>
      <c r="EG138" s="2">
        <f t="shared" si="304"/>
        <v>13786.108999045338</v>
      </c>
      <c r="EH138" s="2">
        <f t="shared" si="304"/>
        <v>13648.247909054884</v>
      </c>
      <c r="EI138" s="2">
        <f t="shared" si="304"/>
        <v>13511.765429964335</v>
      </c>
      <c r="EJ138" s="2">
        <f t="shared" si="304"/>
        <v>13376.647775664691</v>
      </c>
      <c r="EK138" s="2">
        <f t="shared" si="304"/>
        <v>13242.881297908043</v>
      </c>
      <c r="EL138" s="2">
        <f t="shared" si="304"/>
        <v>13110.452484928963</v>
      </c>
      <c r="EM138" s="2">
        <f t="shared" si="304"/>
        <v>12979.347960079673</v>
      </c>
      <c r="EN138" s="2">
        <f t="shared" si="304"/>
        <v>12849.554480478875</v>
      </c>
      <c r="EO138" s="2">
        <f t="shared" si="304"/>
        <v>12721.058935674086</v>
      </c>
      <c r="EP138" s="2">
        <f t="shared" si="304"/>
        <v>12593.848346317345</v>
      </c>
      <c r="EQ138" s="2">
        <f t="shared" si="304"/>
        <v>12467.909862854172</v>
      </c>
      <c r="ER138" s="2">
        <f t="shared" si="304"/>
        <v>12343.230764225631</v>
      </c>
      <c r="ES138" s="2">
        <f t="shared" si="304"/>
        <v>12219.798456583374</v>
      </c>
      <c r="ET138" s="2">
        <f t="shared" si="304"/>
        <v>12097.600472017541</v>
      </c>
      <c r="EU138" s="2">
        <f t="shared" si="304"/>
        <v>11976.624467297364</v>
      </c>
      <c r="EV138" s="2">
        <f t="shared" si="304"/>
        <v>11856.858222624391</v>
      </c>
      <c r="EW138" s="2">
        <f t="shared" si="304"/>
        <v>11738.289640398147</v>
      </c>
      <c r="EX138" s="2">
        <f t="shared" si="304"/>
        <v>11620.906743994165</v>
      </c>
      <c r="EY138" s="2">
        <f t="shared" si="304"/>
        <v>11504.697676554222</v>
      </c>
      <c r="EZ138" s="2">
        <f t="shared" si="304"/>
        <v>11389.650699788679</v>
      </c>
      <c r="FA138" s="2">
        <f t="shared" si="304"/>
        <v>11275.754192790791</v>
      </c>
      <c r="FB138" s="2">
        <f t="shared" si="304"/>
        <v>11162.996650862884</v>
      </c>
      <c r="FC138" s="2">
        <f t="shared" si="304"/>
        <v>11051.366684354256</v>
      </c>
      <c r="FD138" s="2">
        <f t="shared" si="304"/>
        <v>10940.853017510713</v>
      </c>
      <c r="FE138" s="2">
        <f t="shared" si="304"/>
        <v>10831.444487335606</v>
      </c>
      <c r="FF138" s="2">
        <f t="shared" si="304"/>
        <v>10723.13004246225</v>
      </c>
      <c r="FG138" s="2">
        <f t="shared" si="304"/>
        <v>10615.898742037627</v>
      </c>
      <c r="FH138" s="2">
        <f t="shared" si="304"/>
        <v>10509.739754617251</v>
      </c>
      <c r="FI138" s="2">
        <f t="shared" si="304"/>
        <v>10404.642357071078</v>
      </c>
      <c r="FJ138" s="2">
        <f t="shared" si="304"/>
        <v>10300.595933500366</v>
      </c>
      <c r="FK138" s="2">
        <f t="shared" si="304"/>
        <v>10197.589974165363</v>
      </c>
      <c r="FL138" s="2">
        <f t="shared" ref="FL138:HW138" si="305">FK138*(1+$AX$59)</f>
        <v>10095.614074423709</v>
      </c>
      <c r="FM138" s="2">
        <f t="shared" si="305"/>
        <v>9994.6579336794712</v>
      </c>
      <c r="FN138" s="2">
        <f t="shared" si="305"/>
        <v>9894.7113543426767</v>
      </c>
      <c r="FO138" s="2">
        <f t="shared" si="305"/>
        <v>9795.7642407992498</v>
      </c>
      <c r="FP138" s="2">
        <f t="shared" si="305"/>
        <v>9697.8065983912566</v>
      </c>
      <c r="FQ138" s="2">
        <f t="shared" si="305"/>
        <v>9600.828532407344</v>
      </c>
      <c r="FR138" s="2">
        <f t="shared" si="305"/>
        <v>9504.8202470832712</v>
      </c>
      <c r="FS138" s="2">
        <f t="shared" si="305"/>
        <v>9409.7720446124385</v>
      </c>
      <c r="FT138" s="2">
        <f t="shared" si="305"/>
        <v>9315.6743241663135</v>
      </c>
      <c r="FU138" s="2">
        <f t="shared" si="305"/>
        <v>9222.5175809246502</v>
      </c>
      <c r="FV138" s="2">
        <f t="shared" si="305"/>
        <v>9130.2924051154041</v>
      </c>
      <c r="FW138" s="2">
        <f t="shared" si="305"/>
        <v>9038.9894810642509</v>
      </c>
      <c r="FX138" s="2">
        <f t="shared" si="305"/>
        <v>8948.5995862536074</v>
      </c>
      <c r="FY138" s="2">
        <f t="shared" si="305"/>
        <v>8859.1135903910708</v>
      </c>
      <c r="FZ138" s="2">
        <f t="shared" si="305"/>
        <v>8770.5224544871598</v>
      </c>
      <c r="GA138" s="2">
        <f t="shared" si="305"/>
        <v>8682.8172299422877</v>
      </c>
      <c r="GB138" s="2">
        <f t="shared" si="305"/>
        <v>8595.9890576428643</v>
      </c>
      <c r="GC138" s="2">
        <f t="shared" si="305"/>
        <v>8510.0291670664355</v>
      </c>
      <c r="GD138" s="2">
        <f t="shared" si="305"/>
        <v>8424.9288753957717</v>
      </c>
      <c r="GE138" s="2">
        <f t="shared" si="305"/>
        <v>8340.6795866418142</v>
      </c>
      <c r="GF138" s="2">
        <f t="shared" si="305"/>
        <v>8257.2727907753961</v>
      </c>
      <c r="GG138" s="2">
        <f t="shared" si="305"/>
        <v>8174.7000628676424</v>
      </c>
      <c r="GH138" s="2">
        <f t="shared" si="305"/>
        <v>8092.9530622389657</v>
      </c>
      <c r="GI138" s="2">
        <f t="shared" si="305"/>
        <v>8012.0235316165763</v>
      </c>
      <c r="GJ138" s="2">
        <f t="shared" si="305"/>
        <v>7931.9032963004101</v>
      </c>
      <c r="GK138" s="2">
        <f t="shared" si="305"/>
        <v>7852.5842633374059</v>
      </c>
      <c r="GL138" s="2">
        <f t="shared" si="305"/>
        <v>7774.058420704032</v>
      </c>
      <c r="GM138" s="2">
        <f t="shared" si="305"/>
        <v>7696.3178364969917</v>
      </c>
      <c r="GN138" s="2">
        <f t="shared" si="305"/>
        <v>7619.3546581320215</v>
      </c>
      <c r="GO138" s="2">
        <f t="shared" si="305"/>
        <v>7543.1611115507012</v>
      </c>
      <c r="GP138" s="2">
        <f t="shared" si="305"/>
        <v>7467.7295004351945</v>
      </c>
      <c r="GQ138" s="2">
        <f t="shared" si="305"/>
        <v>7393.0522054308422</v>
      </c>
      <c r="GR138" s="2">
        <f t="shared" si="305"/>
        <v>7319.1216833765338</v>
      </c>
      <c r="GS138" s="2">
        <f t="shared" si="305"/>
        <v>7245.930466542768</v>
      </c>
      <c r="GT138" s="2">
        <f t="shared" si="305"/>
        <v>7173.4711618773399</v>
      </c>
      <c r="GU138" s="2">
        <f t="shared" si="305"/>
        <v>7101.736450258566</v>
      </c>
      <c r="GV138" s="2">
        <f t="shared" si="305"/>
        <v>7030.7190857559799</v>
      </c>
      <c r="GW138" s="2">
        <f t="shared" si="305"/>
        <v>6960.4118948984196</v>
      </c>
      <c r="GX138" s="2">
        <f t="shared" si="305"/>
        <v>6890.8077759494354</v>
      </c>
      <c r="GY138" s="2">
        <f t="shared" si="305"/>
        <v>6821.8996981899409</v>
      </c>
      <c r="GZ138" s="2">
        <f t="shared" si="305"/>
        <v>6753.6807012080417</v>
      </c>
      <c r="HA138" s="2">
        <f t="shared" si="305"/>
        <v>6686.1438941959614</v>
      </c>
      <c r="HB138" s="2">
        <f t="shared" si="305"/>
        <v>6619.2824552540014</v>
      </c>
      <c r="HC138" s="2">
        <f t="shared" si="305"/>
        <v>6553.0896307014609</v>
      </c>
      <c r="HD138" s="2">
        <f t="shared" si="305"/>
        <v>6487.5587343944462</v>
      </c>
      <c r="HE138" s="2">
        <f t="shared" si="305"/>
        <v>6422.6831470505012</v>
      </c>
      <c r="HF138" s="2">
        <f t="shared" si="305"/>
        <v>6358.456315579996</v>
      </c>
      <c r="HG138" s="2">
        <f t="shared" si="305"/>
        <v>6294.8717524241956</v>
      </c>
      <c r="HH138" s="2">
        <f t="shared" si="305"/>
        <v>6231.9230348999536</v>
      </c>
      <c r="HI138" s="2">
        <f t="shared" si="305"/>
        <v>6169.603804550954</v>
      </c>
      <c r="HJ138" s="2">
        <f t="shared" si="305"/>
        <v>6107.9077665054447</v>
      </c>
      <c r="HK138" s="2">
        <f t="shared" si="305"/>
        <v>6046.82868884039</v>
      </c>
      <c r="HL138" s="2">
        <f t="shared" si="305"/>
        <v>5986.3604019519862</v>
      </c>
      <c r="HM138" s="2">
        <f t="shared" si="305"/>
        <v>5926.4967979324665</v>
      </c>
      <c r="HN138" s="2">
        <f t="shared" si="305"/>
        <v>5867.2318299531416</v>
      </c>
      <c r="HO138" s="2">
        <f t="shared" si="305"/>
        <v>5808.5595116536106</v>
      </c>
      <c r="HP138" s="2">
        <f t="shared" si="305"/>
        <v>5750.4739165370747</v>
      </c>
      <c r="HQ138" s="2">
        <f t="shared" si="305"/>
        <v>5692.9691773717041</v>
      </c>
      <c r="HR138" s="2">
        <f t="shared" si="305"/>
        <v>5636.0394855979866</v>
      </c>
      <c r="HS138" s="2">
        <f t="shared" si="305"/>
        <v>5579.6790907420063</v>
      </c>
      <c r="HT138" s="2">
        <f t="shared" si="305"/>
        <v>5523.8822998345859</v>
      </c>
      <c r="HU138" s="2">
        <f t="shared" si="305"/>
        <v>5468.6434768362396</v>
      </c>
      <c r="HV138" s="2">
        <f t="shared" si="305"/>
        <v>5413.9570420678774</v>
      </c>
      <c r="HW138" s="2">
        <f t="shared" si="305"/>
        <v>5359.8174716471985</v>
      </c>
      <c r="HX138" s="2">
        <f t="shared" ref="HX138:KI138" si="306">HW138*(1+$AX$59)</f>
        <v>5306.2192969307262</v>
      </c>
      <c r="HY138" s="2">
        <f t="shared" si="306"/>
        <v>5253.1571039614191</v>
      </c>
      <c r="HZ138" s="2">
        <f t="shared" si="306"/>
        <v>5200.6255329218047</v>
      </c>
      <c r="IA138" s="2">
        <f t="shared" si="306"/>
        <v>5148.6192775925865</v>
      </c>
      <c r="IB138" s="2">
        <f t="shared" si="306"/>
        <v>5097.1330848166608</v>
      </c>
      <c r="IC138" s="2">
        <f t="shared" si="306"/>
        <v>5046.1617539684939</v>
      </c>
      <c r="ID138" s="2">
        <f t="shared" si="306"/>
        <v>4995.7001364288089</v>
      </c>
      <c r="IE138" s="2">
        <f t="shared" si="306"/>
        <v>4945.7431350645211</v>
      </c>
      <c r="IF138" s="2">
        <f t="shared" si="306"/>
        <v>4896.2857037138756</v>
      </c>
      <c r="IG138" s="2">
        <f t="shared" si="306"/>
        <v>4847.3228466767368</v>
      </c>
      <c r="IH138" s="2">
        <f t="shared" si="306"/>
        <v>4798.8496182099698</v>
      </c>
      <c r="II138" s="2">
        <f t="shared" si="306"/>
        <v>4750.8611220278699</v>
      </c>
      <c r="IJ138" s="2">
        <f t="shared" si="306"/>
        <v>4703.352510807591</v>
      </c>
      <c r="IK138" s="2">
        <f t="shared" si="306"/>
        <v>4656.318985699515</v>
      </c>
      <c r="IL138" s="2">
        <f t="shared" si="306"/>
        <v>4609.7557958425195</v>
      </c>
      <c r="IM138" s="2">
        <f t="shared" si="306"/>
        <v>4563.658237884094</v>
      </c>
      <c r="IN138" s="2">
        <f t="shared" si="306"/>
        <v>4518.021655505253</v>
      </c>
      <c r="IO138" s="2">
        <f t="shared" si="306"/>
        <v>4472.8414389502004</v>
      </c>
      <c r="IP138" s="2">
        <f t="shared" si="306"/>
        <v>4428.1130245606982</v>
      </c>
      <c r="IQ138" s="2">
        <f t="shared" si="306"/>
        <v>4383.8318943150916</v>
      </c>
      <c r="IR138" s="2">
        <f t="shared" si="306"/>
        <v>4339.993575371941</v>
      </c>
      <c r="IS138" s="2">
        <f t="shared" si="306"/>
        <v>4296.5936396182215</v>
      </c>
      <c r="IT138" s="2">
        <f t="shared" si="306"/>
        <v>4253.6277032220396</v>
      </c>
      <c r="IU138" s="2">
        <f t="shared" si="306"/>
        <v>4211.0914261898188</v>
      </c>
      <c r="IV138" s="2">
        <f t="shared" si="306"/>
        <v>4168.9805119279208</v>
      </c>
      <c r="IW138" s="2">
        <f t="shared" si="306"/>
        <v>4127.2907068086415</v>
      </c>
      <c r="IX138" s="2">
        <f t="shared" si="306"/>
        <v>4086.0177997405549</v>
      </c>
      <c r="IY138" s="2">
        <f t="shared" si="306"/>
        <v>4045.1576217431493</v>
      </c>
      <c r="IZ138" s="2">
        <f t="shared" si="306"/>
        <v>4004.7060455257179</v>
      </c>
      <c r="JA138" s="2">
        <f t="shared" si="306"/>
        <v>3964.6589850704609</v>
      </c>
      <c r="JB138" s="2">
        <f t="shared" si="306"/>
        <v>3925.0123952197564</v>
      </c>
      <c r="JC138" s="2">
        <f t="shared" si="306"/>
        <v>3885.7622712675588</v>
      </c>
      <c r="JD138" s="2">
        <f t="shared" si="306"/>
        <v>3846.9046485548834</v>
      </c>
      <c r="JE138" s="2">
        <f t="shared" si="306"/>
        <v>3808.4356020693344</v>
      </c>
      <c r="JF138" s="2">
        <f t="shared" si="306"/>
        <v>3770.3512460486409</v>
      </c>
      <c r="JG138" s="2">
        <f t="shared" si="306"/>
        <v>3732.6477335881546</v>
      </c>
      <c r="JH138" s="2">
        <f t="shared" si="306"/>
        <v>3695.3212562522731</v>
      </c>
      <c r="JI138" s="2">
        <f t="shared" si="306"/>
        <v>3658.3680436897503</v>
      </c>
      <c r="JJ138" s="2">
        <f t="shared" si="306"/>
        <v>3621.7843632528529</v>
      </c>
      <c r="JK138" s="2">
        <f t="shared" si="306"/>
        <v>3585.5665196203245</v>
      </c>
      <c r="JL138" s="2">
        <f t="shared" si="306"/>
        <v>3549.7108544241214</v>
      </c>
      <c r="JM138" s="2">
        <f t="shared" si="306"/>
        <v>3514.2137458798802</v>
      </c>
      <c r="JN138" s="2">
        <f t="shared" si="306"/>
        <v>3479.0716084210812</v>
      </c>
      <c r="JO138" s="2">
        <f t="shared" si="306"/>
        <v>3444.2808923368702</v>
      </c>
      <c r="JP138" s="2">
        <f t="shared" si="306"/>
        <v>3409.8380834135014</v>
      </c>
      <c r="JQ138" s="2">
        <f t="shared" si="306"/>
        <v>3375.7397025793662</v>
      </c>
      <c r="JR138" s="2">
        <f t="shared" si="306"/>
        <v>3341.9823055535726</v>
      </c>
      <c r="JS138" s="2">
        <f t="shared" si="306"/>
        <v>3308.5624824980368</v>
      </c>
      <c r="JT138" s="2">
        <f t="shared" si="306"/>
        <v>3275.4768576730567</v>
      </c>
      <c r="JU138" s="2">
        <f t="shared" si="306"/>
        <v>3242.7220890963263</v>
      </c>
      <c r="JV138" s="2">
        <f t="shared" si="306"/>
        <v>3210.2948682053629</v>
      </c>
      <c r="JW138" s="2">
        <f t="shared" si="306"/>
        <v>3178.1919195233095</v>
      </c>
      <c r="JX138" s="2">
        <f t="shared" si="306"/>
        <v>3146.4100003280764</v>
      </c>
      <c r="JY138" s="2">
        <f t="shared" si="306"/>
        <v>3114.9459003247957</v>
      </c>
      <c r="JZ138" s="2">
        <f t="shared" si="306"/>
        <v>3083.7964413215477</v>
      </c>
      <c r="KA138" s="2">
        <f t="shared" si="306"/>
        <v>3052.9584769083322</v>
      </c>
      <c r="KB138" s="2">
        <f t="shared" si="306"/>
        <v>3022.428892139249</v>
      </c>
      <c r="KC138" s="2">
        <f t="shared" si="306"/>
        <v>2992.2046032178564</v>
      </c>
      <c r="KD138" s="2">
        <f t="shared" si="306"/>
        <v>2962.2825571856779</v>
      </c>
      <c r="KE138" s="2">
        <f t="shared" si="306"/>
        <v>2932.6597316138209</v>
      </c>
      <c r="KF138" s="2">
        <f t="shared" si="306"/>
        <v>2903.3331342976826</v>
      </c>
      <c r="KG138" s="2">
        <f t="shared" si="306"/>
        <v>2874.2998029547057</v>
      </c>
      <c r="KH138" s="2">
        <f t="shared" si="306"/>
        <v>2845.5568049251588</v>
      </c>
      <c r="KI138" s="2">
        <f t="shared" si="306"/>
        <v>2817.101236875907</v>
      </c>
      <c r="KJ138" s="2">
        <f t="shared" ref="KJ138:MU138" si="307">KI138*(1+$AX$59)</f>
        <v>2788.9302245071481</v>
      </c>
      <c r="KK138" s="2">
        <f t="shared" si="307"/>
        <v>2761.0409222620765</v>
      </c>
      <c r="KL138" s="2">
        <f t="shared" si="307"/>
        <v>2733.4305130394555</v>
      </c>
      <c r="KM138" s="2">
        <f t="shared" si="307"/>
        <v>2706.0962079090609</v>
      </c>
      <c r="KN138" s="2">
        <f t="shared" si="307"/>
        <v>2679.0352458299703</v>
      </c>
      <c r="KO138" s="2">
        <f t="shared" si="307"/>
        <v>2652.2448933716705</v>
      </c>
      <c r="KP138" s="2">
        <f t="shared" si="307"/>
        <v>2625.722444437954</v>
      </c>
      <c r="KQ138" s="2">
        <f t="shared" si="307"/>
        <v>2599.4652199935745</v>
      </c>
      <c r="KR138" s="2">
        <f t="shared" si="307"/>
        <v>2573.4705677936386</v>
      </c>
      <c r="KS138" s="2">
        <f t="shared" si="307"/>
        <v>2547.7358621157023</v>
      </c>
      <c r="KT138" s="2">
        <f t="shared" si="307"/>
        <v>2522.258503494545</v>
      </c>
      <c r="KU138" s="2">
        <f t="shared" si="307"/>
        <v>2497.0359184595995</v>
      </c>
      <c r="KV138" s="2">
        <f t="shared" si="307"/>
        <v>2472.0655592750036</v>
      </c>
      <c r="KW138" s="2">
        <f t="shared" si="307"/>
        <v>2447.3449036822535</v>
      </c>
      <c r="KX138" s="2">
        <f t="shared" si="307"/>
        <v>2422.8714546454312</v>
      </c>
      <c r="KY138" s="2">
        <f t="shared" si="307"/>
        <v>2398.6427400989769</v>
      </c>
      <c r="KZ138" s="2">
        <f t="shared" si="307"/>
        <v>2374.6563126979872</v>
      </c>
      <c r="LA138" s="2">
        <f t="shared" si="307"/>
        <v>2350.9097495710075</v>
      </c>
      <c r="LB138" s="2">
        <f t="shared" si="307"/>
        <v>2327.4006520752973</v>
      </c>
      <c r="LC138" s="2">
        <f t="shared" si="307"/>
        <v>2304.1266455545442</v>
      </c>
      <c r="LD138" s="2">
        <f t="shared" si="307"/>
        <v>2281.0853790989986</v>
      </c>
      <c r="LE138" s="2">
        <f t="shared" si="307"/>
        <v>2258.2745253080084</v>
      </c>
      <c r="LF138" s="2">
        <f t="shared" si="307"/>
        <v>2235.6917800549281</v>
      </c>
      <c r="LG138" s="2">
        <f t="shared" si="307"/>
        <v>2213.334862254379</v>
      </c>
      <c r="LH138" s="2">
        <f t="shared" si="307"/>
        <v>2191.201513631835</v>
      </c>
      <c r="LI138" s="2">
        <f t="shared" si="307"/>
        <v>2169.2894984955165</v>
      </c>
      <c r="LJ138" s="2">
        <f t="shared" si="307"/>
        <v>2147.5966035105612</v>
      </c>
      <c r="LK138" s="2">
        <f t="shared" si="307"/>
        <v>2126.1206374754556</v>
      </c>
      <c r="LL138" s="2">
        <f t="shared" si="307"/>
        <v>2104.8594311007009</v>
      </c>
      <c r="LM138" s="2">
        <f t="shared" si="307"/>
        <v>2083.8108367896939</v>
      </c>
      <c r="LN138" s="2">
        <f t="shared" si="307"/>
        <v>2062.972728421797</v>
      </c>
      <c r="LO138" s="2">
        <f t="shared" si="307"/>
        <v>2042.343001137579</v>
      </c>
      <c r="LP138" s="2">
        <f t="shared" si="307"/>
        <v>2021.9195711262032</v>
      </c>
      <c r="LQ138" s="2">
        <f t="shared" si="307"/>
        <v>2001.7003754149412</v>
      </c>
      <c r="LR138" s="2">
        <f t="shared" si="307"/>
        <v>1981.6833716607916</v>
      </c>
      <c r="LS138" s="2">
        <f t="shared" si="307"/>
        <v>1961.8665379441836</v>
      </c>
      <c r="LT138" s="2">
        <f t="shared" si="307"/>
        <v>1942.2478725647418</v>
      </c>
      <c r="LU138" s="2">
        <f t="shared" si="307"/>
        <v>1922.8253938390944</v>
      </c>
      <c r="LV138" s="2">
        <f t="shared" si="307"/>
        <v>1903.5971399007035</v>
      </c>
      <c r="LW138" s="2">
        <f t="shared" si="307"/>
        <v>1884.5611685016966</v>
      </c>
      <c r="LX138" s="2">
        <f t="shared" si="307"/>
        <v>1865.7155568166795</v>
      </c>
      <c r="LY138" s="2">
        <f t="shared" si="307"/>
        <v>1847.0584012485126</v>
      </c>
      <c r="LZ138" s="2">
        <f t="shared" si="307"/>
        <v>1828.5878172360274</v>
      </c>
      <c r="MA138" s="2">
        <f t="shared" si="307"/>
        <v>1810.3019390636671</v>
      </c>
      <c r="MB138" s="2">
        <f t="shared" si="307"/>
        <v>1792.1989196730303</v>
      </c>
      <c r="MC138" s="2">
        <f t="shared" si="307"/>
        <v>1774.2769304763001</v>
      </c>
      <c r="MD138" s="2">
        <f t="shared" si="307"/>
        <v>1756.5341611715371</v>
      </c>
      <c r="ME138" s="2">
        <f t="shared" si="307"/>
        <v>1738.9688195598217</v>
      </c>
      <c r="MF138" s="2">
        <f t="shared" si="307"/>
        <v>1721.5791313642235</v>
      </c>
      <c r="MG138" s="2">
        <f t="shared" si="307"/>
        <v>1704.3633400505812</v>
      </c>
      <c r="MH138" s="2">
        <f t="shared" si="307"/>
        <v>1687.3197066500754</v>
      </c>
      <c r="MI138" s="2">
        <f t="shared" si="307"/>
        <v>1670.4465095835747</v>
      </c>
      <c r="MJ138" s="2">
        <f t="shared" si="307"/>
        <v>1653.7420444877389</v>
      </c>
      <c r="MK138" s="2">
        <f t="shared" si="307"/>
        <v>1637.2046240428615</v>
      </c>
      <c r="ML138" s="2">
        <f t="shared" si="307"/>
        <v>1620.832577802433</v>
      </c>
      <c r="MM138" s="2">
        <f t="shared" si="307"/>
        <v>1604.6242520244086</v>
      </c>
      <c r="MN138" s="2">
        <f t="shared" si="307"/>
        <v>1588.5780095041646</v>
      </c>
      <c r="MO138" s="2">
        <f t="shared" si="307"/>
        <v>1572.692229409123</v>
      </c>
      <c r="MP138" s="2">
        <f t="shared" si="307"/>
        <v>1556.9653071150317</v>
      </c>
      <c r="MQ138" s="2">
        <f t="shared" si="307"/>
        <v>1541.3956540438814</v>
      </c>
      <c r="MR138" s="2">
        <f t="shared" si="307"/>
        <v>1525.9816975034425</v>
      </c>
      <c r="MS138" s="2">
        <f t="shared" si="307"/>
        <v>1510.7218805284081</v>
      </c>
      <c r="MT138" s="2">
        <f t="shared" si="307"/>
        <v>1495.6146617231241</v>
      </c>
      <c r="MU138" s="2">
        <f t="shared" si="307"/>
        <v>1480.6585151058928</v>
      </c>
      <c r="MV138" s="2">
        <f t="shared" ref="MV138:PG138" si="308">MU138*(1+$AX$59)</f>
        <v>1465.8519299548338</v>
      </c>
      <c r="MW138" s="2">
        <f t="shared" si="308"/>
        <v>1451.1934106552856</v>
      </c>
      <c r="MX138" s="2">
        <f t="shared" si="308"/>
        <v>1436.6814765487327</v>
      </c>
      <c r="MY138" s="2">
        <f t="shared" si="308"/>
        <v>1422.3146617832454</v>
      </c>
      <c r="MZ138" s="2">
        <f t="shared" si="308"/>
        <v>1408.0915151654128</v>
      </c>
      <c r="NA138" s="2">
        <f t="shared" si="308"/>
        <v>1394.0106000137587</v>
      </c>
      <c r="NB138" s="2">
        <f t="shared" si="308"/>
        <v>1380.0704940136211</v>
      </c>
      <c r="NC138" s="2">
        <f t="shared" si="308"/>
        <v>1366.2697890734848</v>
      </c>
      <c r="ND138" s="2">
        <f t="shared" si="308"/>
        <v>1352.6070911827501</v>
      </c>
      <c r="NE138" s="2">
        <f t="shared" si="308"/>
        <v>1339.0810202709226</v>
      </c>
      <c r="NF138" s="2">
        <f t="shared" si="308"/>
        <v>1325.6902100682134</v>
      </c>
      <c r="NG138" s="2">
        <f t="shared" si="308"/>
        <v>1312.4333079675314</v>
      </c>
      <c r="NH138" s="2">
        <f t="shared" si="308"/>
        <v>1299.308974887856</v>
      </c>
      <c r="NI138" s="2">
        <f t="shared" si="308"/>
        <v>1286.3158851389774</v>
      </c>
      <c r="NJ138" s="2">
        <f t="shared" si="308"/>
        <v>1273.4527262875877</v>
      </c>
      <c r="NK138" s="2">
        <f t="shared" si="308"/>
        <v>1260.7181990247118</v>
      </c>
      <c r="NL138" s="2">
        <f t="shared" si="308"/>
        <v>1248.1110170344646</v>
      </c>
      <c r="NM138" s="2">
        <f t="shared" si="308"/>
        <v>1235.6299068641199</v>
      </c>
      <c r="NN138" s="2">
        <f t="shared" si="308"/>
        <v>1223.2736077954787</v>
      </c>
      <c r="NO138" s="2">
        <f t="shared" si="308"/>
        <v>1211.0408717175239</v>
      </c>
      <c r="NP138" s="2">
        <f t="shared" si="308"/>
        <v>1198.9304630003487</v>
      </c>
      <c r="NQ138" s="2">
        <f t="shared" si="308"/>
        <v>1186.9411583703452</v>
      </c>
      <c r="NR138" s="2">
        <f t="shared" si="308"/>
        <v>1175.0717467866418</v>
      </c>
      <c r="NS138" s="2">
        <f t="shared" si="308"/>
        <v>1163.3210293187753</v>
      </c>
      <c r="NT138" s="2">
        <f t="shared" si="308"/>
        <v>1151.6878190255875</v>
      </c>
      <c r="NU138" s="2">
        <f t="shared" si="308"/>
        <v>1140.1709408353315</v>
      </c>
      <c r="NV138" s="2">
        <f t="shared" si="308"/>
        <v>1128.7692314269782</v>
      </c>
      <c r="NW138" s="2">
        <f t="shared" si="308"/>
        <v>1117.4815391127083</v>
      </c>
      <c r="NX138" s="2">
        <f t="shared" si="308"/>
        <v>1106.3067237215812</v>
      </c>
      <c r="NY138" s="2">
        <f t="shared" si="308"/>
        <v>1095.2436564843654</v>
      </c>
      <c r="NZ138" s="2">
        <f t="shared" si="308"/>
        <v>1084.2912199195216</v>
      </c>
      <c r="OA138" s="2">
        <f t="shared" si="308"/>
        <v>1073.4483077203263</v>
      </c>
      <c r="OB138" s="2">
        <f t="shared" si="308"/>
        <v>1062.713824643123</v>
      </c>
      <c r="OC138" s="2">
        <f t="shared" si="308"/>
        <v>1052.0866863966917</v>
      </c>
      <c r="OD138" s="2">
        <f t="shared" si="308"/>
        <v>1041.5658195327248</v>
      </c>
      <c r="OE138" s="2">
        <f t="shared" si="308"/>
        <v>1031.1501613373975</v>
      </c>
      <c r="OF138" s="2">
        <f t="shared" si="308"/>
        <v>1020.8386597240236</v>
      </c>
      <c r="OG138" s="2">
        <f t="shared" si="308"/>
        <v>1010.6302731267833</v>
      </c>
      <c r="OH138" s="2">
        <f t="shared" si="308"/>
        <v>1000.5239703955154</v>
      </c>
      <c r="OI138" s="2">
        <f t="shared" si="308"/>
        <v>990.51873069156034</v>
      </c>
      <c r="OJ138" s="2">
        <f t="shared" si="308"/>
        <v>980.61354338464469</v>
      </c>
      <c r="OK138" s="2">
        <f t="shared" si="308"/>
        <v>970.80740795079828</v>
      </c>
      <c r="OL138" s="2">
        <f t="shared" si="308"/>
        <v>961.09933387129024</v>
      </c>
      <c r="OM138" s="2">
        <f t="shared" si="308"/>
        <v>951.48834053257735</v>
      </c>
      <c r="ON138" s="2">
        <f t="shared" si="308"/>
        <v>941.97345712725155</v>
      </c>
      <c r="OO138" s="2">
        <f t="shared" si="308"/>
        <v>932.55372255597899</v>
      </c>
      <c r="OP138" s="2">
        <f t="shared" si="308"/>
        <v>923.22818533041925</v>
      </c>
      <c r="OQ138" s="2">
        <f t="shared" si="308"/>
        <v>913.99590347711501</v>
      </c>
      <c r="OR138" s="2">
        <f t="shared" si="308"/>
        <v>904.8559444423438</v>
      </c>
      <c r="OS138" s="2">
        <f t="shared" si="308"/>
        <v>895.80738499792039</v>
      </c>
      <c r="OT138" s="2">
        <f t="shared" si="308"/>
        <v>886.84931114794119</v>
      </c>
      <c r="OU138" s="2">
        <f t="shared" si="308"/>
        <v>877.98081803646176</v>
      </c>
      <c r="OV138" s="2">
        <f t="shared" si="308"/>
        <v>869.20100985609713</v>
      </c>
      <c r="OW138" s="2">
        <f t="shared" si="308"/>
        <v>860.50899975753612</v>
      </c>
      <c r="OX138" s="2">
        <f t="shared" si="308"/>
        <v>851.9039097599607</v>
      </c>
      <c r="OY138" s="2">
        <f t="shared" si="308"/>
        <v>843.3848706623611</v>
      </c>
      <c r="OZ138" s="2">
        <f t="shared" si="308"/>
        <v>834.95102195573747</v>
      </c>
      <c r="PA138" s="2">
        <f t="shared" si="308"/>
        <v>826.6015117361801</v>
      </c>
      <c r="PB138" s="2">
        <f t="shared" si="308"/>
        <v>818.3354966188183</v>
      </c>
      <c r="PC138" s="2">
        <f t="shared" si="308"/>
        <v>810.15214165263012</v>
      </c>
      <c r="PD138" s="2">
        <f t="shared" si="308"/>
        <v>802.05062023610378</v>
      </c>
      <c r="PE138" s="2">
        <f t="shared" si="308"/>
        <v>794.03011403374273</v>
      </c>
      <c r="PF138" s="2">
        <f t="shared" si="308"/>
        <v>786.08981289340534</v>
      </c>
      <c r="PG138" s="2">
        <f t="shared" si="308"/>
        <v>778.22891476447126</v>
      </c>
      <c r="PH138" s="2">
        <f t="shared" ref="PH138:PS138" si="309">PG138*(1+$AX$59)</f>
        <v>770.44662561682651</v>
      </c>
      <c r="PI138" s="2">
        <f t="shared" si="309"/>
        <v>762.74215936065821</v>
      </c>
      <c r="PJ138" s="2">
        <f t="shared" si="309"/>
        <v>755.11473776705157</v>
      </c>
      <c r="PK138" s="2">
        <f t="shared" si="309"/>
        <v>747.56359038938103</v>
      </c>
      <c r="PL138" s="2">
        <f t="shared" si="309"/>
        <v>740.08795448548722</v>
      </c>
      <c r="PM138" s="2">
        <f t="shared" si="309"/>
        <v>732.68707494063233</v>
      </c>
      <c r="PN138" s="2">
        <f t="shared" si="309"/>
        <v>725.36020419122599</v>
      </c>
      <c r="PO138" s="2">
        <f t="shared" si="309"/>
        <v>718.10660214931374</v>
      </c>
      <c r="PP138" s="2">
        <f t="shared" si="309"/>
        <v>710.92553612782058</v>
      </c>
      <c r="PQ138" s="2">
        <f t="shared" si="309"/>
        <v>703.81628076654238</v>
      </c>
      <c r="PR138" s="2">
        <f t="shared" si="309"/>
        <v>696.77811795887692</v>
      </c>
      <c r="PS138" s="2">
        <f t="shared" si="309"/>
        <v>689.81033677928815</v>
      </c>
    </row>
  </sheetData>
  <phoneticPr fontId="12" type="noConversion"/>
  <conditionalFormatting sqref="AU67">
    <cfRule type="cellIs" dxfId="13" priority="17" operator="lessThan">
      <formula>0</formula>
    </cfRule>
    <cfRule type="cellIs" dxfId="12" priority="18" operator="greaterThan">
      <formula>0</formula>
    </cfRule>
  </conditionalFormatting>
  <conditionalFormatting sqref="AX6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D29:W30 C9:AD10 C19:AD2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AI9:AR9 AI19:AR19 AI29:AR2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AH58:AQ65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G58:AD65"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X29:AD3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DA9A-C69A-4E56-8532-976FE6109CB8}">
  <dimension ref="B2:D18"/>
  <sheetViews>
    <sheetView workbookViewId="0">
      <selection activeCell="D14" sqref="D14"/>
    </sheetView>
  </sheetViews>
  <sheetFormatPr defaultRowHeight="14.4" x14ac:dyDescent="0.3"/>
  <cols>
    <col min="2" max="2" width="16.21875" bestFit="1" customWidth="1"/>
    <col min="4" max="4" width="50.77734375" bestFit="1" customWidth="1"/>
  </cols>
  <sheetData>
    <row r="2" spans="2:4" x14ac:dyDescent="0.3">
      <c r="D2" s="21" t="s">
        <v>79</v>
      </c>
    </row>
    <row r="3" spans="2:4" x14ac:dyDescent="0.3">
      <c r="B3" s="1" t="s">
        <v>6</v>
      </c>
      <c r="C3" s="2">
        <f>Main!C8</f>
        <v>43806</v>
      </c>
    </row>
    <row r="4" spans="2:4" x14ac:dyDescent="0.3">
      <c r="B4" s="1" t="s">
        <v>8</v>
      </c>
      <c r="C4" s="2">
        <f>Main!C6</f>
        <v>426664.16</v>
      </c>
      <c r="D4" s="1"/>
    </row>
    <row r="5" spans="2:4" x14ac:dyDescent="0.3">
      <c r="B5" s="1" t="s">
        <v>9</v>
      </c>
      <c r="C5" s="2">
        <f>C3+C4</f>
        <v>470470.16</v>
      </c>
      <c r="D5" s="1"/>
    </row>
    <row r="6" spans="2:4" x14ac:dyDescent="0.3">
      <c r="B6" s="3" t="s">
        <v>10</v>
      </c>
      <c r="C6" s="4">
        <f>C3/C5</f>
        <v>9.3111112509239702E-2</v>
      </c>
      <c r="D6" s="1"/>
    </row>
    <row r="7" spans="2:4" x14ac:dyDescent="0.3">
      <c r="B7" s="3" t="s">
        <v>11</v>
      </c>
      <c r="C7" s="4">
        <f>C4/C5</f>
        <v>0.90688888749076035</v>
      </c>
      <c r="D7" s="1"/>
    </row>
    <row r="8" spans="2:4" x14ac:dyDescent="0.3">
      <c r="B8" s="1"/>
      <c r="C8" s="1"/>
      <c r="D8" s="1"/>
    </row>
    <row r="9" spans="2:4" x14ac:dyDescent="0.3">
      <c r="B9" s="1" t="s">
        <v>12</v>
      </c>
      <c r="C9" s="6">
        <f>AVERAGE(Model!AH68:AM68)</f>
        <v>0.27445810193190096</v>
      </c>
      <c r="D9" s="80" t="s">
        <v>194</v>
      </c>
    </row>
    <row r="10" spans="2:4" x14ac:dyDescent="0.3">
      <c r="B10" s="1" t="s">
        <v>13</v>
      </c>
      <c r="C10" s="2">
        <f>Model!AM40</f>
        <v>1787</v>
      </c>
      <c r="D10" s="80" t="s">
        <v>195</v>
      </c>
    </row>
    <row r="11" spans="2:4" x14ac:dyDescent="0.3">
      <c r="B11" s="3" t="s">
        <v>14</v>
      </c>
      <c r="C11" s="5">
        <f>C10/C3</f>
        <v>4.0793498607496689E-2</v>
      </c>
      <c r="D11" s="1"/>
    </row>
    <row r="12" spans="2:4" x14ac:dyDescent="0.3">
      <c r="B12" s="1"/>
      <c r="C12" s="1"/>
      <c r="D12" s="1"/>
    </row>
    <row r="13" spans="2:4" x14ac:dyDescent="0.3">
      <c r="B13" s="1" t="s">
        <v>15</v>
      </c>
      <c r="C13" s="81">
        <f>'[1]T-Bond Yields'!$C$12</f>
        <v>3.8899999999999997E-2</v>
      </c>
      <c r="D13" s="20" t="s">
        <v>81</v>
      </c>
    </row>
    <row r="14" spans="2:4" x14ac:dyDescent="0.3">
      <c r="B14" s="1" t="s">
        <v>16</v>
      </c>
      <c r="C14" s="1">
        <v>0.5</v>
      </c>
      <c r="D14" s="80" t="s">
        <v>196</v>
      </c>
    </row>
    <row r="15" spans="2:4" x14ac:dyDescent="0.3">
      <c r="B15" s="1" t="s">
        <v>17</v>
      </c>
      <c r="C15" s="6">
        <v>0.06</v>
      </c>
      <c r="D15" s="20" t="s">
        <v>80</v>
      </c>
    </row>
    <row r="16" spans="2:4" x14ac:dyDescent="0.3">
      <c r="B16" s="3" t="s">
        <v>18</v>
      </c>
      <c r="C16" s="4">
        <f>C13+C14*(C15-C13)</f>
        <v>4.9449999999999994E-2</v>
      </c>
      <c r="D16" s="1"/>
    </row>
    <row r="17" spans="2:4" x14ac:dyDescent="0.3">
      <c r="B17" s="1"/>
      <c r="C17" s="1"/>
      <c r="D17" s="1"/>
    </row>
    <row r="18" spans="2:4" x14ac:dyDescent="0.3">
      <c r="B18" s="3" t="s">
        <v>19</v>
      </c>
      <c r="C18" s="4">
        <f>(C6*C11)+(C7*C16)*(1-C9)</f>
        <v>3.6335730040211976E-2</v>
      </c>
      <c r="D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A33-621A-415F-9CAD-CE007E237F78}">
  <dimension ref="B2:D25"/>
  <sheetViews>
    <sheetView workbookViewId="0">
      <selection activeCell="C22" sqref="C22"/>
    </sheetView>
  </sheetViews>
  <sheetFormatPr defaultColWidth="9.21875" defaultRowHeight="13.8" x14ac:dyDescent="0.25"/>
  <cols>
    <col min="1" max="1" width="9.21875" style="70"/>
    <col min="2" max="2" width="25.21875" style="70" bestFit="1" customWidth="1"/>
    <col min="3" max="16384" width="9.21875" style="70"/>
  </cols>
  <sheetData>
    <row r="2" spans="2:4" x14ac:dyDescent="0.25">
      <c r="C2" s="70" t="s">
        <v>188</v>
      </c>
    </row>
    <row r="3" spans="2:4" x14ac:dyDescent="0.25">
      <c r="B3" s="71" t="s">
        <v>169</v>
      </c>
    </row>
    <row r="4" spans="2:4" x14ac:dyDescent="0.25">
      <c r="B4" s="70" t="s">
        <v>170</v>
      </c>
      <c r="C4" s="72">
        <f>Model!X76/Model!X93</f>
        <v>0.84249091582498326</v>
      </c>
    </row>
    <row r="5" spans="2:4" x14ac:dyDescent="0.25">
      <c r="B5" s="70" t="s">
        <v>171</v>
      </c>
      <c r="C5" s="72">
        <f>Model!X72/Model!X93</f>
        <v>0.13937076447211683</v>
      </c>
    </row>
    <row r="6" spans="2:4" x14ac:dyDescent="0.25">
      <c r="B6" s="70" t="s">
        <v>189</v>
      </c>
      <c r="C6" s="72">
        <f>(Model!X72+Model!X73)/Model!X93</f>
        <v>0.21466681348161643</v>
      </c>
    </row>
    <row r="8" spans="2:4" x14ac:dyDescent="0.25">
      <c r="B8" s="71" t="s">
        <v>172</v>
      </c>
    </row>
    <row r="9" spans="2:4" x14ac:dyDescent="0.25">
      <c r="B9" s="70" t="s">
        <v>173</v>
      </c>
      <c r="C9" s="72">
        <f>Model!X101/Model!X102</f>
        <v>1.8882774253099186</v>
      </c>
    </row>
    <row r="10" spans="2:4" x14ac:dyDescent="0.25">
      <c r="B10" s="70" t="s">
        <v>174</v>
      </c>
      <c r="C10" s="72">
        <f>Model!X101/Model!X83</f>
        <v>0.65377287124947914</v>
      </c>
    </row>
    <row r="11" spans="2:4" x14ac:dyDescent="0.25">
      <c r="B11" s="70" t="s">
        <v>175</v>
      </c>
      <c r="C11" s="72">
        <f>(Model!X84+Model!X94)/Model!X102</f>
        <v>0.47244324488532136</v>
      </c>
    </row>
    <row r="12" spans="2:4" x14ac:dyDescent="0.25">
      <c r="B12" s="70" t="s">
        <v>176</v>
      </c>
      <c r="C12" s="72">
        <f>Model!X94/Model!X102</f>
        <v>0.34819540350754202</v>
      </c>
    </row>
    <row r="14" spans="2:4" x14ac:dyDescent="0.25">
      <c r="B14" s="71" t="s">
        <v>177</v>
      </c>
    </row>
    <row r="15" spans="2:4" x14ac:dyDescent="0.25">
      <c r="B15" s="70" t="s">
        <v>178</v>
      </c>
      <c r="C15" s="73">
        <f>Model!X66</f>
        <v>0.24219051544233575</v>
      </c>
      <c r="D15" s="73"/>
    </row>
    <row r="16" spans="2:4" x14ac:dyDescent="0.25">
      <c r="B16" s="70" t="s">
        <v>179</v>
      </c>
      <c r="C16" s="73">
        <f>Model!X67</f>
        <v>4.4838707567104327E-2</v>
      </c>
    </row>
    <row r="17" spans="2:3" x14ac:dyDescent="0.25">
      <c r="B17" s="70" t="s">
        <v>180</v>
      </c>
      <c r="C17" s="73">
        <f>Model!X48/Model!X34</f>
        <v>3.3684637476367109E-2</v>
      </c>
    </row>
    <row r="18" spans="2:3" x14ac:dyDescent="0.25">
      <c r="B18" s="70" t="s">
        <v>181</v>
      </c>
      <c r="C18" s="73">
        <f>Model!X48/Model!X83</f>
        <v>2.0829372287104721E-2</v>
      </c>
    </row>
    <row r="19" spans="2:3" x14ac:dyDescent="0.25">
      <c r="B19" s="70" t="s">
        <v>182</v>
      </c>
      <c r="C19" s="73">
        <f>Model!X48/Model!X102</f>
        <v>6.0161005760220591E-2</v>
      </c>
    </row>
    <row r="21" spans="2:3" x14ac:dyDescent="0.25">
      <c r="B21" s="71" t="s">
        <v>183</v>
      </c>
    </row>
    <row r="22" spans="2:3" x14ac:dyDescent="0.25">
      <c r="B22" s="70" t="s">
        <v>184</v>
      </c>
      <c r="C22" s="74">
        <f>Main!C4/Model!AL50</f>
        <v>32.105008410736488</v>
      </c>
    </row>
    <row r="23" spans="2:3" x14ac:dyDescent="0.25">
      <c r="B23" s="70" t="s">
        <v>185</v>
      </c>
      <c r="C23" s="75"/>
    </row>
    <row r="24" spans="2:3" x14ac:dyDescent="0.25">
      <c r="B24" s="70" t="s">
        <v>186</v>
      </c>
      <c r="C24" s="74"/>
    </row>
    <row r="25" spans="2:3" x14ac:dyDescent="0.25">
      <c r="B25" s="70" t="s">
        <v>187</v>
      </c>
      <c r="C25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WACC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</dc:creator>
  <cp:lastModifiedBy>Bill Sheldon</cp:lastModifiedBy>
  <dcterms:created xsi:type="dcterms:W3CDTF">2020-11-16T22:00:49Z</dcterms:created>
  <dcterms:modified xsi:type="dcterms:W3CDTF">2023-06-15T16:30:40Z</dcterms:modified>
</cp:coreProperties>
</file>