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wlshe\Documents\Models\"/>
    </mc:Choice>
  </mc:AlternateContent>
  <xr:revisionPtr revIDLastSave="0" documentId="13_ncr:1_{340D422E-8677-4B37-B17C-59F21BB01545}" xr6:coauthVersionLast="47" xr6:coauthVersionMax="47" xr10:uidLastSave="{00000000-0000-0000-0000-000000000000}"/>
  <bookViews>
    <workbookView xWindow="-28920" yWindow="-120" windowWidth="29040" windowHeight="15720" xr2:uid="{F8F0E135-B0EA-4157-A45D-5F4FA8BEF9ED}"/>
  </bookViews>
  <sheets>
    <sheet name="Main" sheetId="1" r:id="rId1"/>
    <sheet name="Model" sheetId="2" r:id="rId2"/>
    <sheet name="WACC" sheetId="3" r:id="rId3"/>
  </sheets>
  <externalReferences>
    <externalReference r:id="rId4"/>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O12" i="2" l="1"/>
  <c r="AP12" i="2" s="1"/>
  <c r="AO11" i="2"/>
  <c r="AP11" i="2" s="1"/>
  <c r="AP8" i="2"/>
  <c r="AO8" i="2"/>
  <c r="AP6" i="2"/>
  <c r="AO6" i="2"/>
  <c r="AQ6" i="2"/>
  <c r="AR6" i="2" s="1"/>
  <c r="AR5" i="2"/>
  <c r="AQ5" i="2"/>
  <c r="AP5" i="2"/>
  <c r="AO5" i="2"/>
  <c r="Y3" i="2"/>
  <c r="C13" i="3"/>
  <c r="C9" i="3"/>
  <c r="C10" i="3"/>
  <c r="AP16" i="2" l="1"/>
  <c r="AQ16" i="2" s="1"/>
  <c r="AR16" i="2" s="1"/>
  <c r="AO16" i="2"/>
  <c r="AQ12" i="2"/>
  <c r="AR12" i="2" s="1"/>
  <c r="AQ11" i="2"/>
  <c r="AR11" i="2" s="1"/>
  <c r="AQ8" i="2"/>
  <c r="AR8" i="2" s="1"/>
  <c r="Z14" i="2"/>
  <c r="X14" i="2"/>
  <c r="Z11" i="2"/>
  <c r="Y11" i="2"/>
  <c r="X11" i="2"/>
  <c r="Z6" i="2"/>
  <c r="Y6" i="2"/>
  <c r="X6" i="2"/>
  <c r="X20" i="2" s="1"/>
  <c r="Z20" i="2"/>
  <c r="Y20" i="2"/>
  <c r="Z16" i="2"/>
  <c r="AN16" i="2" s="1"/>
  <c r="Y16" i="2"/>
  <c r="X16" i="2"/>
  <c r="Z12" i="2"/>
  <c r="AN12" i="2" s="1"/>
  <c r="Y12" i="2"/>
  <c r="X12" i="2"/>
  <c r="Z8" i="2"/>
  <c r="AN8" i="2" s="1"/>
  <c r="AN9" i="2" s="1"/>
  <c r="Y8" i="2"/>
  <c r="X8" i="2"/>
  <c r="X3" i="2"/>
  <c r="Z3" i="2"/>
  <c r="Z5" i="2"/>
  <c r="Y5" i="2"/>
  <c r="AN4" i="2"/>
  <c r="AI4" i="2"/>
  <c r="AK16" i="2"/>
  <c r="AL25" i="2" s="1"/>
  <c r="AK14" i="2"/>
  <c r="AK12" i="2"/>
  <c r="AK11" i="2"/>
  <c r="AK8" i="2"/>
  <c r="AK6" i="2"/>
  <c r="AJ16" i="2"/>
  <c r="AJ14" i="2"/>
  <c r="AJ12" i="2"/>
  <c r="AJ11" i="2"/>
  <c r="AJ8" i="2"/>
  <c r="AJ6" i="2"/>
  <c r="AI16" i="2"/>
  <c r="AI14" i="2"/>
  <c r="AI12" i="2"/>
  <c r="AI11" i="2"/>
  <c r="AI8" i="2"/>
  <c r="AI9" i="2" s="1"/>
  <c r="AI6" i="2"/>
  <c r="J13" i="2"/>
  <c r="AK9" i="2"/>
  <c r="AJ9" i="2"/>
  <c r="AI3" i="2"/>
  <c r="AJ4" i="2"/>
  <c r="AJ3" i="2"/>
  <c r="AK4" i="2"/>
  <c r="AK3" i="2"/>
  <c r="AL4" i="2"/>
  <c r="AL3" i="2"/>
  <c r="AM4" i="2"/>
  <c r="AM3" i="2"/>
  <c r="AM5" i="2" s="1"/>
  <c r="Y9" i="2"/>
  <c r="X9" i="2"/>
  <c r="V9" i="2"/>
  <c r="U9" i="2"/>
  <c r="T9" i="2"/>
  <c r="S9" i="2"/>
  <c r="R9" i="2"/>
  <c r="Q9" i="2"/>
  <c r="P9" i="2"/>
  <c r="O9" i="2"/>
  <c r="N9" i="2"/>
  <c r="M9" i="2"/>
  <c r="L9" i="2"/>
  <c r="K9" i="2"/>
  <c r="J9" i="2"/>
  <c r="I9" i="2"/>
  <c r="H9" i="2"/>
  <c r="G9" i="2"/>
  <c r="F9" i="2"/>
  <c r="E9" i="2"/>
  <c r="D9" i="2"/>
  <c r="C9" i="2"/>
  <c r="W9" i="2"/>
  <c r="V5" i="2"/>
  <c r="U5" i="2"/>
  <c r="T5" i="2"/>
  <c r="S5" i="2"/>
  <c r="R5" i="2"/>
  <c r="Q5" i="2"/>
  <c r="P5" i="2"/>
  <c r="O5" i="2"/>
  <c r="N5" i="2"/>
  <c r="M5" i="2"/>
  <c r="L5" i="2"/>
  <c r="K5" i="2"/>
  <c r="K7" i="2" s="1"/>
  <c r="J5" i="2"/>
  <c r="J7" i="2" s="1"/>
  <c r="I5" i="2"/>
  <c r="I7" i="2" s="1"/>
  <c r="I26" i="2" s="1"/>
  <c r="H5" i="2"/>
  <c r="H7" i="2" s="1"/>
  <c r="H26" i="2" s="1"/>
  <c r="G5" i="2"/>
  <c r="G7" i="2" s="1"/>
  <c r="F5" i="2"/>
  <c r="F7" i="2" s="1"/>
  <c r="E5" i="2"/>
  <c r="E7" i="2" s="1"/>
  <c r="E10" i="2" s="1"/>
  <c r="D5" i="2"/>
  <c r="D7" i="2" s="1"/>
  <c r="C5" i="2"/>
  <c r="C7" i="2" s="1"/>
  <c r="C26" i="2" s="1"/>
  <c r="W5" i="2"/>
  <c r="C9" i="1"/>
  <c r="C3" i="3" s="1"/>
  <c r="R25" i="2"/>
  <c r="Q25" i="2"/>
  <c r="P25" i="2"/>
  <c r="O25" i="2"/>
  <c r="N25" i="2"/>
  <c r="M25" i="2"/>
  <c r="L25" i="2"/>
  <c r="K25" i="2"/>
  <c r="J25" i="2"/>
  <c r="I25" i="2"/>
  <c r="H25" i="2"/>
  <c r="G25" i="2"/>
  <c r="R20" i="2"/>
  <c r="Q20" i="2"/>
  <c r="P20" i="2"/>
  <c r="O20" i="2"/>
  <c r="N20" i="2"/>
  <c r="M20" i="2"/>
  <c r="L20" i="2"/>
  <c r="K20" i="2"/>
  <c r="J20" i="2"/>
  <c r="I20" i="2"/>
  <c r="H20" i="2"/>
  <c r="G20" i="2"/>
  <c r="W20" i="2"/>
  <c r="V20" i="2"/>
  <c r="U20" i="2"/>
  <c r="T20" i="2"/>
  <c r="S20" i="2"/>
  <c r="AM6" i="2"/>
  <c r="AP9" i="2" l="1"/>
  <c r="AO9" i="2"/>
  <c r="AN11" i="2"/>
  <c r="Z9" i="2"/>
  <c r="AN6" i="2"/>
  <c r="AN3" i="2"/>
  <c r="AN5" i="2" s="1"/>
  <c r="X5" i="2"/>
  <c r="AK25" i="2"/>
  <c r="AK22" i="2"/>
  <c r="AK20" i="2"/>
  <c r="AJ25" i="2"/>
  <c r="AJ22" i="2"/>
  <c r="AJ20" i="2"/>
  <c r="AI5" i="2"/>
  <c r="AI7" i="2" s="1"/>
  <c r="I10" i="2"/>
  <c r="AK5" i="2"/>
  <c r="AK7" i="2" s="1"/>
  <c r="AK10" i="2" s="1"/>
  <c r="AJ5" i="2"/>
  <c r="AJ7" i="2" s="1"/>
  <c r="AJ26" i="2" s="1"/>
  <c r="AL5" i="2"/>
  <c r="Q19" i="2"/>
  <c r="J10" i="2"/>
  <c r="K10" i="2"/>
  <c r="K13" i="2" s="1"/>
  <c r="C10" i="2"/>
  <c r="C13" i="2" s="1"/>
  <c r="D10" i="2"/>
  <c r="F10" i="2"/>
  <c r="F27" i="2" s="1"/>
  <c r="G10" i="2"/>
  <c r="G13" i="2" s="1"/>
  <c r="H10" i="2"/>
  <c r="H13" i="2" s="1"/>
  <c r="R19" i="2"/>
  <c r="E13" i="2"/>
  <c r="L19" i="2"/>
  <c r="H21" i="2"/>
  <c r="I19" i="2"/>
  <c r="L7" i="2"/>
  <c r="L10" i="2" s="1"/>
  <c r="M7" i="2"/>
  <c r="N7" i="2"/>
  <c r="H19" i="2"/>
  <c r="J19" i="2"/>
  <c r="P19" i="2"/>
  <c r="M19" i="2"/>
  <c r="O19" i="2"/>
  <c r="N19" i="2"/>
  <c r="K19" i="2"/>
  <c r="G19" i="2"/>
  <c r="J21" i="2"/>
  <c r="K21" i="2"/>
  <c r="G21" i="2"/>
  <c r="J26" i="2"/>
  <c r="E27" i="2"/>
  <c r="I22" i="2"/>
  <c r="D26" i="2"/>
  <c r="J22" i="2"/>
  <c r="E26" i="2"/>
  <c r="K22" i="2"/>
  <c r="F26" i="2"/>
  <c r="D13" i="2"/>
  <c r="D15" i="2" s="1"/>
  <c r="L22" i="2"/>
  <c r="G26" i="2"/>
  <c r="H22" i="2"/>
  <c r="M22" i="2"/>
  <c r="N22" i="2"/>
  <c r="G22" i="2"/>
  <c r="I21" i="2"/>
  <c r="K26" i="2"/>
  <c r="S19" i="2"/>
  <c r="W19" i="2"/>
  <c r="V19" i="2"/>
  <c r="AM7" i="2"/>
  <c r="AV24" i="2"/>
  <c r="AR9" i="2" l="1"/>
  <c r="AQ9" i="2"/>
  <c r="F13" i="2"/>
  <c r="F28" i="2" s="1"/>
  <c r="AI26" i="2"/>
  <c r="AI10" i="2"/>
  <c r="AK26" i="2"/>
  <c r="AL19" i="2"/>
  <c r="AJ10" i="2"/>
  <c r="AJ13" i="2" s="1"/>
  <c r="AK19" i="2"/>
  <c r="AJ19" i="2"/>
  <c r="AJ21" i="2"/>
  <c r="AK21" i="2"/>
  <c r="AK27" i="2"/>
  <c r="AK13" i="2"/>
  <c r="L26" i="2"/>
  <c r="L21" i="2"/>
  <c r="M26" i="2"/>
  <c r="M10" i="2"/>
  <c r="M13" i="2" s="1"/>
  <c r="L13" i="2"/>
  <c r="L28" i="2" s="1"/>
  <c r="M21" i="2"/>
  <c r="N10" i="2"/>
  <c r="N13" i="2" s="1"/>
  <c r="N21" i="2"/>
  <c r="K27" i="2"/>
  <c r="K28" i="2"/>
  <c r="I27" i="2"/>
  <c r="I13" i="2"/>
  <c r="I28" i="2" s="1"/>
  <c r="J23" i="2"/>
  <c r="J15" i="2"/>
  <c r="L27" i="2"/>
  <c r="N27" i="2"/>
  <c r="L23" i="2"/>
  <c r="N26" i="2"/>
  <c r="J27" i="2"/>
  <c r="H27" i="2"/>
  <c r="G27" i="2"/>
  <c r="I23" i="2"/>
  <c r="K23" i="2"/>
  <c r="D27" i="2"/>
  <c r="H28" i="2"/>
  <c r="H15" i="2"/>
  <c r="G28" i="2"/>
  <c r="G15" i="2"/>
  <c r="C27" i="2"/>
  <c r="H23" i="2"/>
  <c r="E28" i="2"/>
  <c r="E15" i="2"/>
  <c r="E17" i="2" s="1"/>
  <c r="G23" i="2"/>
  <c r="AM14" i="2"/>
  <c r="AM12" i="2"/>
  <c r="AM11" i="2"/>
  <c r="AM8" i="2"/>
  <c r="AM9" i="2" s="1"/>
  <c r="AL14" i="2"/>
  <c r="AL12" i="2"/>
  <c r="AL11" i="2"/>
  <c r="AL8" i="2"/>
  <c r="AL9" i="2" s="1"/>
  <c r="AL22" i="2" s="1"/>
  <c r="AL6" i="2"/>
  <c r="AM16" i="2"/>
  <c r="AN25" i="2" s="1"/>
  <c r="AL16" i="2"/>
  <c r="Y25" i="2"/>
  <c r="X25" i="2"/>
  <c r="W25" i="2"/>
  <c r="V25" i="2"/>
  <c r="U25" i="2"/>
  <c r="T25" i="2"/>
  <c r="S25" i="2"/>
  <c r="Z25" i="2"/>
  <c r="Y19" i="2"/>
  <c r="X19" i="2"/>
  <c r="U19" i="2"/>
  <c r="T19" i="2"/>
  <c r="Z19" i="2"/>
  <c r="Y7" i="2"/>
  <c r="Y10" i="2" s="1"/>
  <c r="X7" i="2"/>
  <c r="X10" i="2" s="1"/>
  <c r="W7" i="2"/>
  <c r="W10" i="2" s="1"/>
  <c r="W13" i="2" s="1"/>
  <c r="V7" i="2"/>
  <c r="U7" i="2"/>
  <c r="U10" i="2" s="1"/>
  <c r="T7" i="2"/>
  <c r="S7" i="2"/>
  <c r="R7" i="2"/>
  <c r="R10" i="2" s="1"/>
  <c r="Q7" i="2"/>
  <c r="Q10" i="2" s="1"/>
  <c r="P7" i="2"/>
  <c r="P10" i="2" s="1"/>
  <c r="O7" i="2"/>
  <c r="O10" i="2" s="1"/>
  <c r="R22" i="2"/>
  <c r="Q22" i="2"/>
  <c r="P22" i="2"/>
  <c r="O22" i="2"/>
  <c r="Z7" i="2"/>
  <c r="Z10" i="2" s="1"/>
  <c r="F15" i="2" l="1"/>
  <c r="F17" i="2" s="1"/>
  <c r="AI27" i="2"/>
  <c r="AI13" i="2"/>
  <c r="AJ23" i="2"/>
  <c r="AK23" i="2"/>
  <c r="AJ27" i="2"/>
  <c r="L15" i="2"/>
  <c r="M23" i="2"/>
  <c r="AJ28" i="2"/>
  <c r="AJ15" i="2"/>
  <c r="AK28" i="2"/>
  <c r="AK15" i="2"/>
  <c r="AM20" i="2"/>
  <c r="AL20" i="2"/>
  <c r="N23" i="2"/>
  <c r="N28" i="2"/>
  <c r="N15" i="2"/>
  <c r="N17" i="2" s="1"/>
  <c r="T26" i="2"/>
  <c r="T10" i="2"/>
  <c r="S26" i="2"/>
  <c r="S10" i="2"/>
  <c r="V26" i="2"/>
  <c r="V10" i="2"/>
  <c r="I15" i="2"/>
  <c r="I17" i="2" s="1"/>
  <c r="J28" i="2"/>
  <c r="M27" i="2"/>
  <c r="K15" i="2"/>
  <c r="K24" i="2" s="1"/>
  <c r="W26" i="2"/>
  <c r="Z26" i="2"/>
  <c r="X26" i="2"/>
  <c r="Y26" i="2"/>
  <c r="C28" i="2"/>
  <c r="C15" i="2"/>
  <c r="G17" i="2"/>
  <c r="P26" i="2"/>
  <c r="P21" i="2"/>
  <c r="J17" i="2"/>
  <c r="H17" i="2"/>
  <c r="Q21" i="2"/>
  <c r="Q26" i="2"/>
  <c r="O26" i="2"/>
  <c r="O21" i="2"/>
  <c r="R26" i="2"/>
  <c r="R21" i="2"/>
  <c r="D28" i="2"/>
  <c r="D17" i="2"/>
  <c r="AO7" i="2"/>
  <c r="AN20" i="2"/>
  <c r="P13" i="2"/>
  <c r="Q13" i="2"/>
  <c r="AL7" i="2"/>
  <c r="AM25" i="2"/>
  <c r="O13" i="2"/>
  <c r="AO25" i="2"/>
  <c r="AM19" i="2"/>
  <c r="AO19" i="2"/>
  <c r="AN19" i="2"/>
  <c r="AN7" i="2"/>
  <c r="AN21" i="2" s="1"/>
  <c r="S22" i="2"/>
  <c r="T22" i="2"/>
  <c r="U21" i="2"/>
  <c r="S21" i="2"/>
  <c r="U22" i="2"/>
  <c r="V22" i="2"/>
  <c r="W22" i="2"/>
  <c r="X22" i="2"/>
  <c r="Y22" i="2"/>
  <c r="Z22" i="2"/>
  <c r="V21" i="2"/>
  <c r="W21" i="2"/>
  <c r="X21" i="2"/>
  <c r="Y21" i="2"/>
  <c r="Z21" i="2"/>
  <c r="U26" i="2"/>
  <c r="T21" i="2"/>
  <c r="X13" i="2"/>
  <c r="S13" i="2"/>
  <c r="Y13" i="2"/>
  <c r="Y14" i="2" s="1"/>
  <c r="R13" i="2"/>
  <c r="Z13" i="2"/>
  <c r="C16" i="3"/>
  <c r="AN14" i="2" l="1"/>
  <c r="C17" i="2"/>
  <c r="J24" i="2"/>
  <c r="AI28" i="2"/>
  <c r="AI15" i="2"/>
  <c r="AI17" i="2" s="1"/>
  <c r="L17" i="2"/>
  <c r="L24" i="2"/>
  <c r="AJ17" i="2"/>
  <c r="N24" i="2"/>
  <c r="AK17" i="2"/>
  <c r="AK24" i="2"/>
  <c r="AL10" i="2"/>
  <c r="AL13" i="2" s="1"/>
  <c r="AL28" i="2" s="1"/>
  <c r="AL21" i="2"/>
  <c r="AL26" i="2"/>
  <c r="G24" i="2"/>
  <c r="I24" i="2"/>
  <c r="V13" i="2"/>
  <c r="V15" i="2" s="1"/>
  <c r="U13" i="2"/>
  <c r="U15" i="2" s="1"/>
  <c r="T13" i="2"/>
  <c r="T15" i="2" s="1"/>
  <c r="K17" i="2"/>
  <c r="M28" i="2"/>
  <c r="M15" i="2"/>
  <c r="H24" i="2"/>
  <c r="O27" i="2"/>
  <c r="O23" i="2"/>
  <c r="R27" i="2"/>
  <c r="R23" i="2"/>
  <c r="Q27" i="2"/>
  <c r="Q23" i="2"/>
  <c r="P23" i="2"/>
  <c r="P27" i="2"/>
  <c r="AP7" i="2"/>
  <c r="AO20" i="2"/>
  <c r="AO10" i="2"/>
  <c r="AO13" i="2" s="1"/>
  <c r="AO14" i="2" s="1"/>
  <c r="S15" i="2"/>
  <c r="AN10" i="2"/>
  <c r="AN13" i="2" s="1"/>
  <c r="AO22" i="2"/>
  <c r="AP25" i="2"/>
  <c r="C11" i="3"/>
  <c r="AM22" i="2"/>
  <c r="AN22" i="2"/>
  <c r="AN26" i="2"/>
  <c r="AO26" i="2"/>
  <c r="AO21" i="2"/>
  <c r="AM26" i="2"/>
  <c r="AM21" i="2"/>
  <c r="AM10" i="2"/>
  <c r="AM13" i="2" s="1"/>
  <c r="AP19" i="2"/>
  <c r="V27" i="2"/>
  <c r="V23" i="2"/>
  <c r="U27" i="2"/>
  <c r="U23" i="2"/>
  <c r="T23" i="2"/>
  <c r="T27" i="2"/>
  <c r="W27" i="2"/>
  <c r="W23" i="2"/>
  <c r="S27" i="2"/>
  <c r="S23" i="2"/>
  <c r="X27" i="2"/>
  <c r="X23" i="2"/>
  <c r="Y27" i="2"/>
  <c r="Y23" i="2"/>
  <c r="Z23" i="2"/>
  <c r="Z27" i="2"/>
  <c r="C5" i="1" a="1"/>
  <c r="C5" i="1" s="1"/>
  <c r="AV27" i="2" s="1"/>
  <c r="AJ24" i="2" l="1"/>
  <c r="AL27" i="2"/>
  <c r="AL23" i="2"/>
  <c r="M17" i="2"/>
  <c r="M24" i="2"/>
  <c r="P15" i="2"/>
  <c r="P28" i="2"/>
  <c r="O15" i="2"/>
  <c r="O28" i="2"/>
  <c r="Q15" i="2"/>
  <c r="Q28" i="2"/>
  <c r="R15" i="2"/>
  <c r="R24" i="2" s="1"/>
  <c r="R28" i="2"/>
  <c r="AN15" i="2"/>
  <c r="AN17" i="2" s="1"/>
  <c r="AP20" i="2"/>
  <c r="AO27" i="2"/>
  <c r="AP22" i="2"/>
  <c r="AO23" i="2"/>
  <c r="AN27" i="2"/>
  <c r="AR22" i="2"/>
  <c r="AQ25" i="2"/>
  <c r="AL15" i="2"/>
  <c r="AL24" i="2" s="1"/>
  <c r="AQ19" i="2"/>
  <c r="AQ7" i="2"/>
  <c r="AM27" i="2"/>
  <c r="AM23" i="2"/>
  <c r="AN23" i="2"/>
  <c r="AP21" i="2"/>
  <c r="AP26" i="2"/>
  <c r="AN28" i="2"/>
  <c r="Z15" i="2"/>
  <c r="Z28" i="2"/>
  <c r="S28" i="2"/>
  <c r="W15" i="2"/>
  <c r="W28" i="2"/>
  <c r="Y15" i="2"/>
  <c r="Y28" i="2"/>
  <c r="T28" i="2"/>
  <c r="X15" i="2"/>
  <c r="X28" i="2"/>
  <c r="U28" i="2"/>
  <c r="V28" i="2"/>
  <c r="C7" i="1"/>
  <c r="C4" i="3" s="1"/>
  <c r="O24" i="2" l="1"/>
  <c r="Q24" i="2"/>
  <c r="Q17" i="2"/>
  <c r="P24" i="2"/>
  <c r="P17" i="2"/>
  <c r="AQ22" i="2"/>
  <c r="AP10" i="2"/>
  <c r="AP13" i="2" s="1"/>
  <c r="AP14" i="2" s="1"/>
  <c r="AQ20" i="2"/>
  <c r="AR20" i="2"/>
  <c r="AO28" i="2"/>
  <c r="AO15" i="2"/>
  <c r="O17" i="2"/>
  <c r="AR25" i="2"/>
  <c r="AM15" i="2"/>
  <c r="AM24" i="2" s="1"/>
  <c r="AM28" i="2"/>
  <c r="AQ10" i="2"/>
  <c r="AQ13" i="2" s="1"/>
  <c r="AQ14" i="2" s="1"/>
  <c r="AQ26" i="2"/>
  <c r="AQ21" i="2"/>
  <c r="AR7" i="2"/>
  <c r="AR19" i="2"/>
  <c r="Y17" i="2"/>
  <c r="Y24" i="2"/>
  <c r="Z17" i="2"/>
  <c r="Z24" i="2"/>
  <c r="U17" i="2"/>
  <c r="U24" i="2"/>
  <c r="T17" i="2"/>
  <c r="T24" i="2"/>
  <c r="W17" i="2"/>
  <c r="W24" i="2"/>
  <c r="S17" i="2"/>
  <c r="S24" i="2"/>
  <c r="V17" i="2"/>
  <c r="V24" i="2"/>
  <c r="R17" i="2"/>
  <c r="X17" i="2"/>
  <c r="X24" i="2"/>
  <c r="C10" i="1"/>
  <c r="C5" i="3"/>
  <c r="C7" i="3" s="1"/>
  <c r="AP23" i="2" l="1"/>
  <c r="AP27" i="2"/>
  <c r="AP28" i="2"/>
  <c r="AP15" i="2"/>
  <c r="AO24" i="2"/>
  <c r="AO17" i="2"/>
  <c r="AR21" i="2"/>
  <c r="AR26" i="2"/>
  <c r="AR10" i="2"/>
  <c r="AR13" i="2" s="1"/>
  <c r="AR14" i="2" s="1"/>
  <c r="AN24" i="2"/>
  <c r="AQ23" i="2"/>
  <c r="AQ27" i="2"/>
  <c r="AL17" i="2"/>
  <c r="C6" i="3"/>
  <c r="AP24" i="2" l="1"/>
  <c r="AR23" i="2"/>
  <c r="AR27" i="2"/>
  <c r="AP17" i="2"/>
  <c r="AM17" i="2"/>
  <c r="C18" i="3"/>
  <c r="AV22" i="2" l="1"/>
  <c r="AQ28" i="2"/>
  <c r="AQ15" i="2"/>
  <c r="AQ24" i="2" s="1"/>
  <c r="AR28" i="2" l="1"/>
  <c r="AR15" i="2"/>
  <c r="AQ17" i="2"/>
  <c r="AR17" i="2" l="1"/>
  <c r="AS15" i="2"/>
  <c r="AT15" i="2" s="1"/>
  <c r="AU15" i="2" s="1"/>
  <c r="AV15" i="2" s="1"/>
  <c r="AW15" i="2" s="1"/>
  <c r="AX15" i="2" s="1"/>
  <c r="AY15" i="2" s="1"/>
  <c r="AZ15" i="2" s="1"/>
  <c r="BA15" i="2" s="1"/>
  <c r="BB15" i="2" s="1"/>
  <c r="BC15" i="2" s="1"/>
  <c r="BD15" i="2" s="1"/>
  <c r="BE15" i="2" s="1"/>
  <c r="BF15" i="2" s="1"/>
  <c r="BG15" i="2" s="1"/>
  <c r="BH15" i="2" s="1"/>
  <c r="BI15" i="2" s="1"/>
  <c r="BJ15" i="2" s="1"/>
  <c r="BK15" i="2" s="1"/>
  <c r="BL15" i="2" s="1"/>
  <c r="BM15" i="2" s="1"/>
  <c r="BN15" i="2" s="1"/>
  <c r="BO15" i="2" s="1"/>
  <c r="BP15" i="2" s="1"/>
  <c r="BQ15" i="2" s="1"/>
  <c r="BR15" i="2" s="1"/>
  <c r="BS15" i="2" s="1"/>
  <c r="BT15" i="2" s="1"/>
  <c r="BU15" i="2" s="1"/>
  <c r="BV15" i="2" s="1"/>
  <c r="BW15" i="2" s="1"/>
  <c r="BX15" i="2" s="1"/>
  <c r="BY15" i="2" s="1"/>
  <c r="BZ15" i="2" s="1"/>
  <c r="CA15" i="2" s="1"/>
  <c r="CB15" i="2" s="1"/>
  <c r="CC15" i="2" s="1"/>
  <c r="CD15" i="2" s="1"/>
  <c r="CE15" i="2" s="1"/>
  <c r="CF15" i="2" s="1"/>
  <c r="CG15" i="2" s="1"/>
  <c r="CH15" i="2" s="1"/>
  <c r="CI15" i="2" s="1"/>
  <c r="CJ15" i="2" s="1"/>
  <c r="CK15" i="2" s="1"/>
  <c r="CL15" i="2" s="1"/>
  <c r="CM15" i="2" s="1"/>
  <c r="CN15" i="2" s="1"/>
  <c r="CO15" i="2" s="1"/>
  <c r="CP15" i="2" s="1"/>
  <c r="CQ15" i="2" s="1"/>
  <c r="CR15" i="2" s="1"/>
  <c r="CS15" i="2" s="1"/>
  <c r="CT15" i="2" s="1"/>
  <c r="CU15" i="2" s="1"/>
  <c r="CV15" i="2" s="1"/>
  <c r="CW15" i="2" s="1"/>
  <c r="CX15" i="2" s="1"/>
  <c r="CY15" i="2" s="1"/>
  <c r="CZ15" i="2" s="1"/>
  <c r="DA15" i="2" s="1"/>
  <c r="DB15" i="2" s="1"/>
  <c r="DC15" i="2" s="1"/>
  <c r="DD15" i="2" s="1"/>
  <c r="DE15" i="2" s="1"/>
  <c r="DF15" i="2" s="1"/>
  <c r="DG15" i="2" s="1"/>
  <c r="DH15" i="2" s="1"/>
  <c r="DI15" i="2" s="1"/>
  <c r="DJ15" i="2" s="1"/>
  <c r="DK15" i="2" s="1"/>
  <c r="DL15" i="2" s="1"/>
  <c r="DM15" i="2" s="1"/>
  <c r="DN15" i="2" s="1"/>
  <c r="DO15" i="2" s="1"/>
  <c r="DP15" i="2" s="1"/>
  <c r="DQ15" i="2" s="1"/>
  <c r="DR15" i="2" s="1"/>
  <c r="DS15" i="2" s="1"/>
  <c r="DT15" i="2" s="1"/>
  <c r="DU15" i="2" s="1"/>
  <c r="DV15" i="2" s="1"/>
  <c r="DW15" i="2" s="1"/>
  <c r="DX15" i="2" s="1"/>
  <c r="DY15" i="2" s="1"/>
  <c r="DZ15" i="2" s="1"/>
  <c r="EA15" i="2" s="1"/>
  <c r="EB15" i="2" s="1"/>
  <c r="EC15" i="2" s="1"/>
  <c r="ED15" i="2" s="1"/>
  <c r="EE15" i="2" s="1"/>
  <c r="EF15" i="2" s="1"/>
  <c r="EG15" i="2" s="1"/>
  <c r="EH15" i="2" s="1"/>
  <c r="EI15" i="2" s="1"/>
  <c r="EJ15" i="2" s="1"/>
  <c r="EK15" i="2" s="1"/>
  <c r="EL15" i="2" s="1"/>
  <c r="EM15" i="2" s="1"/>
  <c r="EN15" i="2" s="1"/>
  <c r="EO15" i="2" s="1"/>
  <c r="EP15" i="2" s="1"/>
  <c r="EQ15" i="2" s="1"/>
  <c r="ER15" i="2" s="1"/>
  <c r="ES15" i="2" s="1"/>
  <c r="ET15" i="2" s="1"/>
  <c r="EU15" i="2" s="1"/>
  <c r="EV15" i="2" s="1"/>
  <c r="EW15" i="2" s="1"/>
  <c r="EX15" i="2" s="1"/>
  <c r="EY15" i="2" s="1"/>
  <c r="EZ15" i="2" s="1"/>
  <c r="FA15" i="2" s="1"/>
  <c r="FB15" i="2" s="1"/>
  <c r="FC15" i="2" s="1"/>
  <c r="FD15" i="2" s="1"/>
  <c r="FE15" i="2" s="1"/>
  <c r="FF15" i="2" s="1"/>
  <c r="FG15" i="2" s="1"/>
  <c r="FH15" i="2" s="1"/>
  <c r="FI15" i="2" s="1"/>
  <c r="FJ15" i="2" s="1"/>
  <c r="FK15" i="2" s="1"/>
  <c r="FL15" i="2" s="1"/>
  <c r="FM15" i="2" s="1"/>
  <c r="FN15" i="2" s="1"/>
  <c r="FO15" i="2" s="1"/>
  <c r="FP15" i="2" s="1"/>
  <c r="FQ15" i="2" s="1"/>
  <c r="FR15" i="2" s="1"/>
  <c r="FS15" i="2" s="1"/>
  <c r="FT15" i="2" s="1"/>
  <c r="FU15" i="2" s="1"/>
  <c r="FV15" i="2" s="1"/>
  <c r="FW15" i="2" s="1"/>
  <c r="FX15" i="2" s="1"/>
  <c r="FY15" i="2" s="1"/>
  <c r="FZ15" i="2" s="1"/>
  <c r="GA15" i="2" s="1"/>
  <c r="GB15" i="2" s="1"/>
  <c r="GC15" i="2" s="1"/>
  <c r="GD15" i="2" s="1"/>
  <c r="GE15" i="2" s="1"/>
  <c r="GF15" i="2" s="1"/>
  <c r="GG15" i="2" s="1"/>
  <c r="GH15" i="2" s="1"/>
  <c r="GI15" i="2" s="1"/>
  <c r="GJ15" i="2" s="1"/>
  <c r="GK15" i="2" s="1"/>
  <c r="GL15" i="2" s="1"/>
  <c r="GM15" i="2" s="1"/>
  <c r="GN15" i="2" s="1"/>
  <c r="GO15" i="2" s="1"/>
  <c r="GP15" i="2" s="1"/>
  <c r="GQ15" i="2" s="1"/>
  <c r="GR15" i="2" s="1"/>
  <c r="GS15" i="2" s="1"/>
  <c r="GT15" i="2" s="1"/>
  <c r="GU15" i="2" s="1"/>
  <c r="GV15" i="2" s="1"/>
  <c r="GW15" i="2" s="1"/>
  <c r="GX15" i="2" s="1"/>
  <c r="GY15" i="2" s="1"/>
  <c r="GZ15" i="2" s="1"/>
  <c r="HA15" i="2" s="1"/>
  <c r="HB15" i="2" s="1"/>
  <c r="HC15" i="2" s="1"/>
  <c r="HD15" i="2" s="1"/>
  <c r="HE15" i="2" s="1"/>
  <c r="HF15" i="2" s="1"/>
  <c r="HG15" i="2" s="1"/>
  <c r="HH15" i="2" s="1"/>
  <c r="HI15" i="2" s="1"/>
  <c r="HJ15" i="2" s="1"/>
  <c r="HK15" i="2" s="1"/>
  <c r="HL15" i="2" s="1"/>
  <c r="HM15" i="2" s="1"/>
  <c r="HN15" i="2" s="1"/>
  <c r="HO15" i="2" s="1"/>
  <c r="HP15" i="2" s="1"/>
  <c r="HQ15" i="2" s="1"/>
  <c r="HR15" i="2" s="1"/>
  <c r="HS15" i="2" s="1"/>
  <c r="HT15" i="2" s="1"/>
  <c r="HU15" i="2" s="1"/>
  <c r="HV15" i="2" s="1"/>
  <c r="HW15" i="2" s="1"/>
  <c r="HX15" i="2" s="1"/>
  <c r="HY15" i="2" s="1"/>
  <c r="HZ15" i="2" s="1"/>
  <c r="IA15" i="2" s="1"/>
  <c r="IB15" i="2" s="1"/>
  <c r="IC15" i="2" s="1"/>
  <c r="ID15" i="2" s="1"/>
  <c r="IE15" i="2" s="1"/>
  <c r="IF15" i="2" s="1"/>
  <c r="IG15" i="2" s="1"/>
  <c r="IH15" i="2" s="1"/>
  <c r="II15" i="2" s="1"/>
  <c r="IJ15" i="2" s="1"/>
  <c r="IK15" i="2" s="1"/>
  <c r="IL15" i="2" s="1"/>
  <c r="IM15" i="2" s="1"/>
  <c r="IN15" i="2" s="1"/>
  <c r="IO15" i="2" s="1"/>
  <c r="IP15" i="2" s="1"/>
  <c r="IQ15" i="2" s="1"/>
  <c r="IR15" i="2" s="1"/>
  <c r="IS15" i="2" s="1"/>
  <c r="IT15" i="2" s="1"/>
  <c r="IU15" i="2" s="1"/>
  <c r="IV15" i="2" s="1"/>
  <c r="IW15" i="2" s="1"/>
  <c r="IX15" i="2" s="1"/>
  <c r="IY15" i="2" s="1"/>
  <c r="IZ15" i="2" s="1"/>
  <c r="JA15" i="2" s="1"/>
  <c r="JB15" i="2" s="1"/>
  <c r="JC15" i="2" s="1"/>
  <c r="JD15" i="2" s="1"/>
  <c r="JE15" i="2" s="1"/>
  <c r="JF15" i="2" s="1"/>
  <c r="JG15" i="2" s="1"/>
  <c r="JH15" i="2" s="1"/>
  <c r="JI15" i="2" s="1"/>
  <c r="JJ15" i="2" s="1"/>
  <c r="JK15" i="2" s="1"/>
  <c r="JL15" i="2" s="1"/>
  <c r="JM15" i="2" s="1"/>
  <c r="JN15" i="2" s="1"/>
  <c r="JO15" i="2" s="1"/>
  <c r="JP15" i="2" s="1"/>
  <c r="JQ15" i="2" s="1"/>
  <c r="JR15" i="2" s="1"/>
  <c r="JS15" i="2" s="1"/>
  <c r="JT15" i="2" s="1"/>
  <c r="JU15" i="2" s="1"/>
  <c r="JV15" i="2" s="1"/>
  <c r="JW15" i="2" s="1"/>
  <c r="JX15" i="2" s="1"/>
  <c r="JY15" i="2" s="1"/>
  <c r="JZ15" i="2" s="1"/>
  <c r="KA15" i="2" s="1"/>
  <c r="KB15" i="2" s="1"/>
  <c r="KC15" i="2" s="1"/>
  <c r="KD15" i="2" s="1"/>
  <c r="KE15" i="2" s="1"/>
  <c r="AV23" i="2" s="1"/>
  <c r="AR24" i="2"/>
  <c r="AV25" i="2" l="1"/>
  <c r="AV26" i="2" s="1"/>
  <c r="AV28"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<sst xmlns="http://schemas.openxmlformats.org/spreadsheetml/2006/main" count="84" uniqueCount="80">
  <si>
    <t>Company</t>
  </si>
  <si>
    <t>Source</t>
  </si>
  <si>
    <t>Price</t>
  </si>
  <si>
    <t>Shares</t>
  </si>
  <si>
    <t>2Q22</t>
  </si>
  <si>
    <t>Market Cap</t>
  </si>
  <si>
    <t>Cash</t>
  </si>
  <si>
    <t>Debt</t>
  </si>
  <si>
    <t>EV</t>
  </si>
  <si>
    <t>3Q22</t>
  </si>
  <si>
    <t>Opex</t>
  </si>
  <si>
    <t>Pretax Income</t>
  </si>
  <si>
    <t>Taxes</t>
  </si>
  <si>
    <t>Net Income</t>
  </si>
  <si>
    <t>Shares Outstanding</t>
  </si>
  <si>
    <t>EPS</t>
  </si>
  <si>
    <t>Cost of Revenue</t>
  </si>
  <si>
    <t>Gross Profit</t>
  </si>
  <si>
    <t>Operating Income</t>
  </si>
  <si>
    <t>1Q21</t>
  </si>
  <si>
    <t>2Q21</t>
  </si>
  <si>
    <t>3Q21</t>
  </si>
  <si>
    <t>4Q21</t>
  </si>
  <si>
    <t>1Q22</t>
  </si>
  <si>
    <t>4Q22</t>
  </si>
  <si>
    <t>Equity</t>
  </si>
  <si>
    <t>D+E</t>
  </si>
  <si>
    <t>Wdebt</t>
  </si>
  <si>
    <t>Wequity</t>
  </si>
  <si>
    <t>Tax rate</t>
  </si>
  <si>
    <t>Interest expense</t>
  </si>
  <si>
    <t>Cost of debt</t>
  </si>
  <si>
    <t>Risk-free rate</t>
  </si>
  <si>
    <t>Beta</t>
  </si>
  <si>
    <t>Market return</t>
  </si>
  <si>
    <t>Cost of equity</t>
  </si>
  <si>
    <t>WACC</t>
  </si>
  <si>
    <t>Revenue Y/Y</t>
  </si>
  <si>
    <t>GP Y/Y</t>
  </si>
  <si>
    <t>Opex Y/Y</t>
  </si>
  <si>
    <t>OI Y/Y</t>
  </si>
  <si>
    <t>Net Income Y/Y</t>
  </si>
  <si>
    <t>Shares Y/Y</t>
  </si>
  <si>
    <t>Gross Margin</t>
  </si>
  <si>
    <t>Operating Margin</t>
  </si>
  <si>
    <t>Tax Rate</t>
  </si>
  <si>
    <t>1Q23</t>
  </si>
  <si>
    <t>2Q23</t>
  </si>
  <si>
    <t>3Q23</t>
  </si>
  <si>
    <t>4Q23</t>
  </si>
  <si>
    <t>Interest Expense</t>
  </si>
  <si>
    <t>Maturity</t>
  </si>
  <si>
    <t>Discount</t>
  </si>
  <si>
    <t>NPV</t>
  </si>
  <si>
    <t>Net Cash</t>
  </si>
  <si>
    <t>Total Value</t>
  </si>
  <si>
    <t>Model Price</t>
  </si>
  <si>
    <t>Current Price</t>
  </si>
  <si>
    <t>Difference</t>
  </si>
  <si>
    <t>Total Revenue</t>
  </si>
  <si>
    <t>Cost of Revenue Y/Y</t>
  </si>
  <si>
    <t>1Q18</t>
  </si>
  <si>
    <t>2Q18</t>
  </si>
  <si>
    <t>3Q18</t>
  </si>
  <si>
    <t>4Q18</t>
  </si>
  <si>
    <t>1Q19</t>
  </si>
  <si>
    <t>2Q19</t>
  </si>
  <si>
    <t>3Q19</t>
  </si>
  <si>
    <t>4Q19</t>
  </si>
  <si>
    <t>1Q20</t>
  </si>
  <si>
    <t>2Q20</t>
  </si>
  <si>
    <t>3Q20</t>
  </si>
  <si>
    <t>4Q20</t>
  </si>
  <si>
    <t>SG&amp;A</t>
  </si>
  <si>
    <t>Sales</t>
  </si>
  <si>
    <t>Licensing Revenue</t>
  </si>
  <si>
    <t>Other Income/(Expense)</t>
  </si>
  <si>
    <t>2/30/21</t>
  </si>
  <si>
    <t>koyfin 6/15/23</t>
  </si>
  <si>
    <t>Koyfin Estimates 6/16/2023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</si>
</sst>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409]* #,##0.00_);_([$$-409]* \(#,##0.00\);_([$$-409]* &quot;-&quot;??_);_(@_)"/>
  </numFmts>
  <fonts count="5" x14ac:knownFonts="1">
    <font>
      <sz val="11"/>
      <color theme="1"/>
      <name val="Calibri"/>
      <family val="2"/>
      <scheme val="minor"/>
    </font>
    <font>
      <sz val="11"/>
      <color theme="1"/>
      <name val="Arial"/>
      <family val="2"/>
    </font>
    <font>
      <b/>
      <sz val="11"/>
      <color theme="1"/>
      <name val="Arial"/>
      <family val="2"/>
    </font>
    <font>
      <sz val="11"/>
      <color theme="1"/>
      <name val="Calibri"/>
      <family val="2"/>
      <scheme val="minor"/>
    </font>
    <font>
      <sz val="8"/>
      <name val="Calibri"/>
      <family val="2"/>
      <scheme val="minor"/>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s>
  <cellStyleXfs count="2">
    <xf numFmtId="0" fontId="0" fillId="0" borderId="0"/>
    <xf numFmtId="9" fontId="3" fillId="0" borderId="0" applyFont="0" applyFill="0" applyBorder="0" applyAlignment="0" applyProtection="0"/>
  </cellStyleXfs>
  <cellXfs count="33">
    <xf numFmtId="0" fontId="0" fillId="0" borderId="0" xfId="0"/>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164" fontId="1" fillId="0" borderId="0" xfId="0" applyNumberFormat="1" applyFont="1" applyAlignment="1">
      <alignment horizontal="right"/>
    </xf>
    <xf numFmtId="0" fontId="1" fillId="0" borderId="1" xfId="0" applyFont="1" applyBorder="1" applyAlignment="1">
      <alignment horizontal="right"/>
    </xf>
    <xf numFmtId="3" fontId="1" fillId="0" borderId="0" xfId="0" applyNumberFormat="1" applyFont="1" applyAlignment="1">
      <alignment horizontal="right"/>
    </xf>
    <xf numFmtId="0" fontId="1" fillId="0" borderId="4" xfId="0" applyFont="1" applyBorder="1" applyAlignment="1">
      <alignment horizontal="right"/>
    </xf>
    <xf numFmtId="0" fontId="1" fillId="0" borderId="5" xfId="0" applyFont="1" applyBorder="1"/>
    <xf numFmtId="3" fontId="1" fillId="0" borderId="6" xfId="0" applyNumberFormat="1" applyFont="1" applyBorder="1" applyAlignment="1">
      <alignment horizontal="right"/>
    </xf>
    <xf numFmtId="0" fontId="1" fillId="0" borderId="5" xfId="0" applyFont="1" applyBorder="1" applyAlignment="1">
      <alignment horizontal="right"/>
    </xf>
    <xf numFmtId="38" fontId="1" fillId="0" borderId="0" xfId="0" applyNumberFormat="1" applyFont="1"/>
    <xf numFmtId="4" fontId="1" fillId="0" borderId="0" xfId="0" applyNumberFormat="1" applyFont="1" applyAlignment="1">
      <alignment horizontal="right"/>
    </xf>
    <xf numFmtId="38" fontId="2" fillId="0" borderId="0" xfId="0" applyNumberFormat="1" applyFont="1"/>
    <xf numFmtId="3" fontId="2" fillId="0" borderId="0" xfId="0" applyNumberFormat="1" applyFont="1" applyAlignment="1">
      <alignment horizontal="right"/>
    </xf>
    <xf numFmtId="1" fontId="1" fillId="0" borderId="0" xfId="0" applyNumberFormat="1" applyFont="1" applyAlignment="1">
      <alignment horizontal="right"/>
    </xf>
    <xf numFmtId="0" fontId="1" fillId="0" borderId="0" xfId="0" applyFont="1"/>
    <xf numFmtId="3" fontId="1" fillId="0" borderId="0" xfId="0" applyNumberFormat="1" applyFont="1"/>
    <xf numFmtId="0" fontId="2" fillId="0" borderId="0" xfId="0" applyFont="1"/>
    <xf numFmtId="10" fontId="2" fillId="0" borderId="0" xfId="0" applyNumberFormat="1" applyFont="1"/>
    <xf numFmtId="10" fontId="1" fillId="0" borderId="0" xfId="0" applyNumberFormat="1" applyFont="1"/>
    <xf numFmtId="10" fontId="2" fillId="0" borderId="0" xfId="1" applyNumberFormat="1" applyFont="1"/>
    <xf numFmtId="9" fontId="1" fillId="0" borderId="0" xfId="0" applyNumberFormat="1" applyFont="1"/>
    <xf numFmtId="9" fontId="1" fillId="0" borderId="0" xfId="0" applyNumberFormat="1" applyFont="1" applyAlignment="1">
      <alignment horizontal="right"/>
    </xf>
    <xf numFmtId="3" fontId="2" fillId="0" borderId="0" xfId="0" applyNumberFormat="1" applyFont="1"/>
    <xf numFmtId="9" fontId="1" fillId="0" borderId="0" xfId="1" applyFont="1"/>
    <xf numFmtId="4" fontId="1" fillId="0" borderId="0" xfId="0" applyNumberFormat="1" applyFont="1"/>
    <xf numFmtId="9" fontId="2" fillId="0" borderId="0" xfId="0" applyNumberFormat="1" applyFont="1"/>
    <xf numFmtId="38" fontId="1" fillId="0" borderId="0" xfId="0" applyNumberFormat="1" applyFont="1" applyAlignment="1">
      <alignment horizontal="right"/>
    </xf>
    <xf numFmtId="0" fontId="1" fillId="0" borderId="0" xfId="0" applyFont="1" applyAlignment="1">
      <alignment horizontal="right"/>
    </xf>
    <xf numFmtId="14" fontId="1" fillId="0" borderId="0" xfId="0" applyNumberFormat="1" applyFont="1" applyAlignment="1">
      <alignment horizontal="right"/>
    </xf>
    <xf numFmtId="14" fontId="1" fillId="0" borderId="0" xfId="0" applyNumberFormat="1" applyFont="1"/>
  </cellXfs>
  <cellStyles count="2">
    <cellStyle name="Normal" xfId="0" builtinId="0"/>
    <cellStyle name="Percent" xfId="1" builtinId="5"/>
  </cellStyles>
  <dxfs count="2">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microsoft.com/office/2017/06/relationships/rdSupportingPropertyBag" Target="richData/rdsupportingpropertybag.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06/relationships/rdSupportingPropertyBagStructure" Target="richData/rdsupportingpropertybagstructure.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ichStyles" Target="richData/richStyles.xml"/><Relationship Id="rId5" Type="http://schemas.openxmlformats.org/officeDocument/2006/relationships/theme" Target="theme/theme1.xml"/><Relationship Id="rId15" Type="http://schemas.openxmlformats.org/officeDocument/2006/relationships/calcChain" Target="calcChain.xml"/><Relationship Id="rId10" Type="http://schemas.microsoft.com/office/2017/06/relationships/rdRichValueStructure" Target="richData/rdrichvaluestructure.xml"/><Relationship Id="rId4" Type="http://schemas.openxmlformats.org/officeDocument/2006/relationships/externalLink" Target="externalLinks/externalLink1.xml"/><Relationship Id="rId9" Type="http://schemas.microsoft.com/office/2017/06/relationships/rdRichValue" Target="richData/rdrichvalue.xml"/><Relationship Id="rId14" Type="http://schemas.microsoft.com/office/2017/06/relationships/rdRichValueTypes" Target="richData/rdRichValueTyp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19050</xdr:colOff>
      <xdr:row>3</xdr:row>
      <xdr:rowOff>38100</xdr:rowOff>
    </xdr:from>
    <xdr:to>
      <xdr:col>22</xdr:col>
      <xdr:colOff>498303</xdr:colOff>
      <xdr:row>23</xdr:row>
      <xdr:rowOff>173880</xdr:rowOff>
    </xdr:to>
    <xdr:pic>
      <xdr:nvPicPr>
        <xdr:cNvPr id="2" name="Picture 1">
          <a:extLst>
            <a:ext uri="{FF2B5EF4-FFF2-40B4-BE49-F238E27FC236}">
              <a16:creationId xmlns:a16="http://schemas.microsoft.com/office/drawing/2014/main" id="{49094D17-CDA9-F0C6-6651-B4025FBBE1F1}"/>
            </a:ext>
          </a:extLst>
        </xdr:cNvPr>
        <xdr:cNvPicPr>
          <a:picLocks noChangeAspect="1"/>
        </xdr:cNvPicPr>
      </xdr:nvPicPr>
      <xdr:blipFill>
        <a:blip xmlns:r="http://schemas.openxmlformats.org/officeDocument/2006/relationships" r:embed="rId1"/>
        <a:stretch>
          <a:fillRect/>
        </a:stretch>
      </xdr:blipFill>
      <xdr:spPr>
        <a:xfrm>
          <a:off x="8362950" y="581025"/>
          <a:ext cx="7864938" cy="376099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23</xdr:col>
      <xdr:colOff>57785</xdr:colOff>
      <xdr:row>0</xdr:row>
      <xdr:rowOff>122555</xdr:rowOff>
    </xdr:from>
    <xdr:to>
      <xdr:col>23</xdr:col>
      <xdr:colOff>57785</xdr:colOff>
      <xdr:row>31</xdr:row>
      <xdr:rowOff>114300</xdr:rowOff>
    </xdr:to>
    <xdr:cxnSp macro="">
      <xdr:nvCxnSpPr>
        <xdr:cNvPr id="3" name="Straight Connector 2">
          <a:extLst>
            <a:ext uri="{FF2B5EF4-FFF2-40B4-BE49-F238E27FC236}">
              <a16:creationId xmlns:a16="http://schemas.microsoft.com/office/drawing/2014/main" id="{5ED4063F-4B9B-79BA-EFB1-BB1C3EA11BD3}"/>
            </a:ext>
          </a:extLst>
        </xdr:cNvPr>
        <xdr:cNvCxnSpPr/>
      </xdr:nvCxnSpPr>
      <xdr:spPr>
        <a:xfrm>
          <a:off x="16155035" y="122555"/>
          <a:ext cx="0" cy="496379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39</xdr:col>
      <xdr:colOff>22225</xdr:colOff>
      <xdr:row>0</xdr:row>
      <xdr:rowOff>133350</xdr:rowOff>
    </xdr:from>
    <xdr:to>
      <xdr:col>39</xdr:col>
      <xdr:colOff>44353</xdr:colOff>
      <xdr:row>32</xdr:row>
      <xdr:rowOff>133350</xdr:rowOff>
    </xdr:to>
    <xdr:cxnSp macro="">
      <xdr:nvCxnSpPr>
        <xdr:cNvPr id="4" name="Straight Connector 3">
          <a:extLst>
            <a:ext uri="{FF2B5EF4-FFF2-40B4-BE49-F238E27FC236}">
              <a16:creationId xmlns:a16="http://schemas.microsoft.com/office/drawing/2014/main" id="{38F742D3-C10B-4D1F-8546-24AD1FA9FB34}"/>
            </a:ext>
          </a:extLst>
        </xdr:cNvPr>
        <xdr:cNvCxnSpPr/>
      </xdr:nvCxnSpPr>
      <xdr:spPr>
        <a:xfrm>
          <a:off x="26596975" y="133350"/>
          <a:ext cx="22128" cy="5689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wlshe\Documents\Models\00%20Dashboard.xlsx" TargetMode="External"/><Relationship Id="rId1" Type="http://schemas.openxmlformats.org/officeDocument/2006/relationships/externalLinkPath" Target="00%20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Bond Yields"/>
      <sheetName val="Companies"/>
      <sheetName val="Screens"/>
    </sheetNames>
    <sheetDataSet>
      <sheetData sheetId="0">
        <row r="12">
          <cell r="C12">
            <v>3.8899999999999997E-2</v>
          </cell>
        </row>
      </sheetData>
      <sheetData sheetId="1"/>
      <sheetData sheetId="2"/>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https://www.bing.com/financeapi/forcetrigger?t=a1sy77&amp;q=XNYS%3aFL&amp;form=skydnc</v>
    <v>Learn more on Bing</v>
  </rv>
  <rv s="1">
    <v>en-US</v>
    <v>a1sy77</v>
    <v>268435456</v>
    <v>1</v>
    <v>Powered by Refinitiv</v>
    <v>0</v>
    <v>FOOT LOCKER, INC. (XNYS:FL)</v>
    <v>2</v>
    <v>3</v>
    <v>Finance</v>
    <v>4</v>
    <v>47.22</v>
    <v>23.85</v>
    <v>1.2185999999999999</v>
    <v>-0.47499999999999998</v>
    <v>-1.7099E-2</v>
    <v>USD</v>
    <v>Foot Locker, Inc. is a retailer of shoes and apparel. The Company operates through three operating segments: North America, Europe, Middle East, and Africa (EMEA), and Asia Pacific. The Company's portfolio of brands includes Foot Locker, Kids Foot Locker, Champs Sports, Sidestep, WSS, and atmos. The Company uses its omni-channel capabilities to bridge the digital world and physical stores, including order-in-store, buy online and pickup-in-store, and buy online and ship-from-store, as well as e-commerce. The Company operates approximately 2,714 stores in 29 countries across North America, Europe, Australia, New Zealand, and Asia, and a franchised store presence in the Middle East and Asia. The Kids Foot Locker offers athletic footwear, apparel, and accessories for children. Champs Sports is a primarily mall-based specialty athletic footwear and apparel retailer in North America. It also operates Community and Power Stores across the geographies in which it operates.</v>
    <v>15200</v>
    <v>New York Stock Exchange</v>
    <v>XNYS</v>
    <v>XNYS</v>
    <v>330 West 34th Street, NEW YORK, NY, 10001 US</v>
    <v>28.01</v>
    <v>Specialty Retailers</v>
    <v>Stock</v>
    <v>45093.821962765622</v>
    <v>0</v>
    <v>27.08</v>
    <v>2564592089</v>
    <v>FOOT LOCKER, INC.</v>
    <v>FOOT LOCKER, INC.</v>
    <v>28</v>
    <v>10.6334</v>
    <v>27.78</v>
    <v>27.305</v>
    <v>93923900</v>
    <v>FL</v>
    <v>FOOT LOCKER, INC. (XNYS:FL)</v>
    <v>2257360</v>
    <v>5913626</v>
    <v>1989</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0" formatCode="General"/>
    </x:dxf>
    <x:dxf>
      <x:numFmt numFmtId="4" formatCode="#,##0.00"/>
    </x:dxf>
    <x:dxf>
      <x:numFmt numFmtId="3" formatCode="#,##0"/>
    </x:dxf>
    <x:dxf>
      <x:numFmt numFmtId="14" formatCode="0.00%"/>
    </x:dxf>
    <x:dxf>
      <x:numFmt numFmtId="27" formatCode="m/d/yyyy\ h:mm"/>
    </x:dxf>
    <x:dxf>
      <x:numFmt numFmtId="1" formatCode="0"/>
    </x:dxf>
    <x:dxf>
      <x:numFmt numFmtId="2" formatCode="0.00"/>
    </x:dxf>
  </dxfs>
  <richProperties>
    <rPr n="NumberFormat" t="s"/>
    <rPr n="IsTitleField" t="b"/>
  </richProperties>
  <richStyles>
    <rSty dxfid="0">
      <rpv i="0">_([$$-en-US]* #,##0.00_);_([$$-en-US]* (#,##0.00);_([$$-en-US]* "-"??_);_(@_)</rpv>
    </rSty>
    <rSty dxfid="1">
      <rpv i="0">#,##0.00</rpv>
    </rSty>
    <rSty>
      <rpv i="1">1</rpv>
    </rSty>
    <rSty dxfid="2">
      <rpv i="0">#,##0</rpv>
    </rSty>
    <rSty dxfid="3"/>
    <rSty dxfid="0">
      <rpv i="0">_([$$-en-US]* #,##0_);_([$$-en-US]* (#,##0);_([$$-en-US]* "-"_);_(@_)</rpv>
    </rSty>
    <rSty dxfid="4"/>
    <rSty dxfid="5">
      <rpv i="0">0</rpv>
    </rSty>
    <rSty dxfid="6">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C24738-4970-4D8A-8D89-44099B77F3EC}">
  <dimension ref="B3:K10"/>
  <sheetViews>
    <sheetView tabSelected="1" workbookViewId="0">
      <selection activeCell="C4" sqref="C4"/>
    </sheetView>
  </sheetViews>
  <sheetFormatPr defaultRowHeight="14.4" x14ac:dyDescent="0.3"/>
  <cols>
    <col min="2" max="2" width="11" bestFit="1" customWidth="1"/>
    <col min="3" max="3" width="41.44140625" bestFit="1" customWidth="1"/>
    <col min="4" max="4" width="7.109375" bestFit="1" customWidth="1"/>
    <col min="11" max="11" width="9.88671875" bestFit="1" customWidth="1"/>
  </cols>
  <sheetData>
    <row r="3" spans="2:11" x14ac:dyDescent="0.3">
      <c r="K3" s="32" t="s">
        <v>79</v>
      </c>
    </row>
    <row r="4" spans="2:11" x14ac:dyDescent="0.3">
      <c r="B4" s="1" t="s">
        <v>0</v>
      </c>
      <c r="C4" s="2" t="e" vm="1">
        <v>#VALUE!</v>
      </c>
      <c r="D4" s="3" t="s">
        <v>1</v>
      </c>
    </row>
    <row r="5" spans="2:11" x14ac:dyDescent="0.3">
      <c r="B5" s="4" t="s">
        <v>2</v>
      </c>
      <c r="C5" s="5" cm="1">
        <f t="array" ref="C5">_FV(C4,"Price")</f>
        <v>27.305</v>
      </c>
      <c r="D5" s="6"/>
    </row>
    <row r="6" spans="2:11" x14ac:dyDescent="0.3">
      <c r="B6" s="4" t="s">
        <v>3</v>
      </c>
      <c r="C6" s="7">
        <v>95.1</v>
      </c>
      <c r="D6" s="8" t="s">
        <v>46</v>
      </c>
    </row>
    <row r="7" spans="2:11" x14ac:dyDescent="0.3">
      <c r="B7" s="4" t="s">
        <v>5</v>
      </c>
      <c r="C7" s="7">
        <f>C5*C6</f>
        <v>2596.7055</v>
      </c>
      <c r="D7" s="8"/>
    </row>
    <row r="8" spans="2:11" x14ac:dyDescent="0.3">
      <c r="B8" s="4" t="s">
        <v>6</v>
      </c>
      <c r="C8" s="7">
        <v>313</v>
      </c>
      <c r="D8" s="8" t="s">
        <v>46</v>
      </c>
    </row>
    <row r="9" spans="2:11" x14ac:dyDescent="0.3">
      <c r="B9" s="4" t="s">
        <v>7</v>
      </c>
      <c r="C9" s="7">
        <f>6+445</f>
        <v>451</v>
      </c>
      <c r="D9" s="8" t="s">
        <v>46</v>
      </c>
    </row>
    <row r="10" spans="2:11" x14ac:dyDescent="0.3">
      <c r="B10" s="9" t="s">
        <v>8</v>
      </c>
      <c r="C10" s="10">
        <f>C7-C8+C9</f>
        <v>2734.7055</v>
      </c>
      <c r="D10" s="11"/>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66471-B9AD-43C0-8A5A-94D417171582}">
  <dimension ref="A1:KE28"/>
  <sheetViews>
    <sheetView workbookViewId="0">
      <pane xSplit="2" ySplit="2" topLeftCell="U3" activePane="bottomRight" state="frozen"/>
      <selection pane="topRight" activeCell="C1" sqref="C1"/>
      <selection pane="bottomLeft" activeCell="A3" sqref="A3"/>
      <selection pane="bottomRight" activeCell="AN19" sqref="AN19"/>
    </sheetView>
  </sheetViews>
  <sheetFormatPr defaultColWidth="8.77734375" defaultRowHeight="13.8" x14ac:dyDescent="0.25"/>
  <cols>
    <col min="1" max="1" width="8.77734375" style="12"/>
    <col min="2" max="2" width="36.33203125" style="12" bestFit="1" customWidth="1"/>
    <col min="3" max="4" width="9.21875" style="12" customWidth="1"/>
    <col min="5" max="5" width="9.88671875" style="12" bestFit="1" customWidth="1"/>
    <col min="6" max="8" width="9.21875" style="12" customWidth="1"/>
    <col min="9" max="9" width="9.88671875" style="12" bestFit="1" customWidth="1"/>
    <col min="10" max="12" width="9.21875" style="12" customWidth="1"/>
    <col min="13" max="13" width="11" style="12" bestFit="1" customWidth="1"/>
    <col min="14" max="14" width="9.21875" style="12" customWidth="1"/>
    <col min="15" max="15" width="9.109375" style="13" bestFit="1" customWidth="1"/>
    <col min="16" max="16" width="9.88671875" style="13" bestFit="1" customWidth="1"/>
    <col min="17" max="17" width="11" style="13" bestFit="1" customWidth="1"/>
    <col min="18" max="20" width="9.88671875" style="13" bestFit="1" customWidth="1"/>
    <col min="21" max="21" width="11" style="13" bestFit="1" customWidth="1"/>
    <col min="22" max="23" width="9.88671875" style="13" bestFit="1" customWidth="1"/>
    <col min="24" max="25" width="8.77734375" style="13"/>
    <col min="26" max="46" width="8.77734375" style="7"/>
    <col min="47" max="47" width="12.88671875" style="7" bestFit="1" customWidth="1"/>
    <col min="48" max="16384" width="8.77734375" style="7"/>
  </cols>
  <sheetData>
    <row r="1" spans="1:291" s="30" customFormat="1" x14ac:dyDescent="0.25">
      <c r="A1" s="17"/>
      <c r="B1" s="17"/>
      <c r="E1" s="31">
        <v>43407</v>
      </c>
      <c r="F1" s="31">
        <v>43498</v>
      </c>
      <c r="G1" s="31">
        <v>43589</v>
      </c>
      <c r="H1" s="31">
        <v>43680</v>
      </c>
      <c r="I1" s="31">
        <v>43771</v>
      </c>
      <c r="J1" s="31">
        <v>43862</v>
      </c>
      <c r="K1" s="31">
        <v>43953</v>
      </c>
      <c r="L1" s="31">
        <v>44044</v>
      </c>
      <c r="M1" s="31">
        <v>44135</v>
      </c>
      <c r="N1" s="30" t="s">
        <v>77</v>
      </c>
      <c r="O1" s="31">
        <v>44317</v>
      </c>
      <c r="P1" s="31">
        <v>44408</v>
      </c>
      <c r="Q1" s="31">
        <v>44499</v>
      </c>
      <c r="R1" s="31">
        <v>44590</v>
      </c>
      <c r="S1" s="31">
        <v>44681</v>
      </c>
      <c r="T1" s="31">
        <v>44772</v>
      </c>
      <c r="U1" s="31">
        <v>44863</v>
      </c>
      <c r="V1" s="31">
        <v>44954</v>
      </c>
      <c r="W1" s="31">
        <v>45045</v>
      </c>
    </row>
    <row r="2" spans="1:291" s="13" customFormat="1" x14ac:dyDescent="0.25">
      <c r="A2" s="12"/>
      <c r="B2" s="12"/>
      <c r="C2" s="29" t="s">
        <v>61</v>
      </c>
      <c r="D2" s="29" t="s">
        <v>62</v>
      </c>
      <c r="E2" s="29" t="s">
        <v>63</v>
      </c>
      <c r="F2" s="29" t="s">
        <v>64</v>
      </c>
      <c r="G2" s="29" t="s">
        <v>65</v>
      </c>
      <c r="H2" s="29" t="s">
        <v>66</v>
      </c>
      <c r="I2" s="29" t="s">
        <v>67</v>
      </c>
      <c r="J2" s="29" t="s">
        <v>68</v>
      </c>
      <c r="K2" s="29" t="s">
        <v>69</v>
      </c>
      <c r="L2" s="29" t="s">
        <v>70</v>
      </c>
      <c r="M2" s="29" t="s">
        <v>71</v>
      </c>
      <c r="N2" s="29" t="s">
        <v>72</v>
      </c>
      <c r="O2" s="13" t="s">
        <v>19</v>
      </c>
      <c r="P2" s="13" t="s">
        <v>20</v>
      </c>
      <c r="Q2" s="13" t="s">
        <v>21</v>
      </c>
      <c r="R2" s="13" t="s">
        <v>22</v>
      </c>
      <c r="S2" s="13" t="s">
        <v>23</v>
      </c>
      <c r="T2" s="13" t="s">
        <v>4</v>
      </c>
      <c r="U2" s="13" t="s">
        <v>9</v>
      </c>
      <c r="V2" s="13" t="s">
        <v>24</v>
      </c>
      <c r="W2" s="13" t="s">
        <v>46</v>
      </c>
      <c r="X2" s="13" t="s">
        <v>47</v>
      </c>
      <c r="Y2" s="13" t="s">
        <v>48</v>
      </c>
      <c r="Z2" s="13" t="s">
        <v>49</v>
      </c>
      <c r="AI2" s="30">
        <v>2018</v>
      </c>
      <c r="AJ2" s="30">
        <v>2019</v>
      </c>
      <c r="AK2" s="30">
        <v>2020</v>
      </c>
      <c r="AL2" s="16">
        <v>2021</v>
      </c>
      <c r="AM2" s="16">
        <v>2022</v>
      </c>
      <c r="AN2" s="16">
        <v>2023</v>
      </c>
      <c r="AO2" s="16">
        <v>2024</v>
      </c>
      <c r="AP2" s="16">
        <v>2025</v>
      </c>
      <c r="AQ2" s="16">
        <v>2026</v>
      </c>
      <c r="AR2" s="16">
        <v>2027</v>
      </c>
    </row>
    <row r="3" spans="1:291" x14ac:dyDescent="0.25">
      <c r="B3" s="12" t="s">
        <v>74</v>
      </c>
      <c r="C3" s="7">
        <v>2025</v>
      </c>
      <c r="D3" s="7">
        <v>1782</v>
      </c>
      <c r="E3" s="7">
        <v>1860</v>
      </c>
      <c r="F3" s="7">
        <v>2272</v>
      </c>
      <c r="G3" s="7">
        <v>2078</v>
      </c>
      <c r="H3" s="7">
        <v>1774</v>
      </c>
      <c r="I3" s="7">
        <v>1932</v>
      </c>
      <c r="J3" s="7">
        <v>2221</v>
      </c>
      <c r="K3" s="7">
        <v>1176</v>
      </c>
      <c r="L3" s="7">
        <v>2077</v>
      </c>
      <c r="M3" s="7">
        <v>2106</v>
      </c>
      <c r="N3" s="7">
        <v>2189</v>
      </c>
      <c r="O3" s="7">
        <v>2153</v>
      </c>
      <c r="P3" s="7">
        <v>2275</v>
      </c>
      <c r="Q3" s="7">
        <v>2189</v>
      </c>
      <c r="R3" s="7">
        <v>2341</v>
      </c>
      <c r="S3" s="7">
        <v>2175</v>
      </c>
      <c r="T3" s="7">
        <v>2065</v>
      </c>
      <c r="U3" s="7">
        <v>2173</v>
      </c>
      <c r="V3" s="7">
        <v>2334</v>
      </c>
      <c r="W3" s="7">
        <v>1927</v>
      </c>
      <c r="X3" s="7">
        <f>T3*0.93</f>
        <v>1920.45</v>
      </c>
      <c r="Y3" s="7">
        <f>U3*0.92</f>
        <v>1999.16</v>
      </c>
      <c r="Z3" s="7">
        <f>V3*0.94</f>
        <v>2193.96</v>
      </c>
      <c r="AI3" s="7">
        <f>SUM(C3:F3)</f>
        <v>7939</v>
      </c>
      <c r="AJ3" s="7">
        <f>SUM(G3:J3)</f>
        <v>8005</v>
      </c>
      <c r="AK3" s="7">
        <f>SUM(K3:N3)</f>
        <v>7548</v>
      </c>
      <c r="AL3" s="7">
        <f>SUM(O3:R3)</f>
        <v>8958</v>
      </c>
      <c r="AM3" s="7">
        <f>SUM(S3:V3)</f>
        <v>8747</v>
      </c>
      <c r="AN3" s="7">
        <f>SUM(W3:Z3)</f>
        <v>8040.57</v>
      </c>
    </row>
    <row r="4" spans="1:291" x14ac:dyDescent="0.25">
      <c r="B4" s="12" t="s">
        <v>75</v>
      </c>
      <c r="C4" s="7">
        <v>0</v>
      </c>
      <c r="D4" s="7">
        <v>0</v>
      </c>
      <c r="E4" s="7">
        <v>0</v>
      </c>
      <c r="F4" s="7">
        <v>0</v>
      </c>
      <c r="G4" s="7">
        <v>0</v>
      </c>
      <c r="H4" s="7">
        <v>0</v>
      </c>
      <c r="I4" s="7">
        <v>0</v>
      </c>
      <c r="J4" s="7">
        <v>0</v>
      </c>
      <c r="K4" s="7">
        <v>0</v>
      </c>
      <c r="L4" s="7">
        <v>0</v>
      </c>
      <c r="M4" s="7">
        <v>0</v>
      </c>
      <c r="N4" s="7">
        <v>0</v>
      </c>
      <c r="O4" s="7">
        <v>0</v>
      </c>
      <c r="P4" s="7">
        <v>0</v>
      </c>
      <c r="Q4" s="7">
        <v>0</v>
      </c>
      <c r="R4" s="7">
        <v>3</v>
      </c>
      <c r="S4" s="7">
        <v>3</v>
      </c>
      <c r="T4" s="7">
        <v>0</v>
      </c>
      <c r="U4" s="7">
        <v>0</v>
      </c>
      <c r="V4" s="7">
        <v>3</v>
      </c>
      <c r="W4" s="7">
        <v>4</v>
      </c>
      <c r="X4" s="7">
        <v>0</v>
      </c>
      <c r="Y4" s="7">
        <v>0</v>
      </c>
      <c r="Z4" s="7">
        <v>0</v>
      </c>
      <c r="AI4" s="7">
        <f>SUM(C4:F4)</f>
        <v>0</v>
      </c>
      <c r="AJ4" s="7">
        <f>SUM(G4:J4)</f>
        <v>0</v>
      </c>
      <c r="AK4" s="7">
        <f>SUM(K4:N4)</f>
        <v>0</v>
      </c>
      <c r="AL4" s="7">
        <f>SUM(O4:R4)</f>
        <v>3</v>
      </c>
      <c r="AM4" s="7">
        <f>SUM(S4:V4)</f>
        <v>6</v>
      </c>
      <c r="AN4" s="7">
        <f>SUM(W4:Z4)</f>
        <v>4</v>
      </c>
    </row>
    <row r="5" spans="1:291" s="15" customFormat="1" x14ac:dyDescent="0.25">
      <c r="A5" s="14"/>
      <c r="B5" s="14" t="s">
        <v>59</v>
      </c>
      <c r="C5" s="15">
        <f t="shared" ref="C5:V5" si="0">C3+C4</f>
        <v>2025</v>
      </c>
      <c r="D5" s="15">
        <f t="shared" si="0"/>
        <v>1782</v>
      </c>
      <c r="E5" s="15">
        <f t="shared" si="0"/>
        <v>1860</v>
      </c>
      <c r="F5" s="15">
        <f t="shared" si="0"/>
        <v>2272</v>
      </c>
      <c r="G5" s="15">
        <f t="shared" si="0"/>
        <v>2078</v>
      </c>
      <c r="H5" s="15">
        <f t="shared" si="0"/>
        <v>1774</v>
      </c>
      <c r="I5" s="15">
        <f t="shared" si="0"/>
        <v>1932</v>
      </c>
      <c r="J5" s="15">
        <f t="shared" si="0"/>
        <v>2221</v>
      </c>
      <c r="K5" s="15">
        <f t="shared" si="0"/>
        <v>1176</v>
      </c>
      <c r="L5" s="15">
        <f t="shared" si="0"/>
        <v>2077</v>
      </c>
      <c r="M5" s="15">
        <f t="shared" si="0"/>
        <v>2106</v>
      </c>
      <c r="N5" s="15">
        <f t="shared" si="0"/>
        <v>2189</v>
      </c>
      <c r="O5" s="15">
        <f t="shared" si="0"/>
        <v>2153</v>
      </c>
      <c r="P5" s="15">
        <f t="shared" si="0"/>
        <v>2275</v>
      </c>
      <c r="Q5" s="15">
        <f t="shared" si="0"/>
        <v>2189</v>
      </c>
      <c r="R5" s="15">
        <f t="shared" si="0"/>
        <v>2344</v>
      </c>
      <c r="S5" s="15">
        <f t="shared" si="0"/>
        <v>2178</v>
      </c>
      <c r="T5" s="15">
        <f t="shared" si="0"/>
        <v>2065</v>
      </c>
      <c r="U5" s="15">
        <f t="shared" si="0"/>
        <v>2173</v>
      </c>
      <c r="V5" s="15">
        <f t="shared" si="0"/>
        <v>2337</v>
      </c>
      <c r="W5" s="15">
        <f>W3+W4</f>
        <v>1931</v>
      </c>
      <c r="X5" s="15">
        <f t="shared" ref="X5:Z5" si="1">X3+X4</f>
        <v>1920.45</v>
      </c>
      <c r="Y5" s="15">
        <f t="shared" si="1"/>
        <v>1999.16</v>
      </c>
      <c r="Z5" s="15">
        <f t="shared" si="1"/>
        <v>2193.96</v>
      </c>
      <c r="AI5" s="15">
        <f t="shared" ref="AI5:AL5" si="2">AI3+AI4</f>
        <v>7939</v>
      </c>
      <c r="AJ5" s="15">
        <f t="shared" si="2"/>
        <v>8005</v>
      </c>
      <c r="AK5" s="15">
        <f t="shared" si="2"/>
        <v>7548</v>
      </c>
      <c r="AL5" s="15">
        <f t="shared" si="2"/>
        <v>8961</v>
      </c>
      <c r="AM5" s="15">
        <f>AM3+AM4</f>
        <v>8753</v>
      </c>
      <c r="AN5" s="15">
        <f t="shared" ref="AN5" si="3">AN3+AN4</f>
        <v>8044.57</v>
      </c>
      <c r="AO5" s="15">
        <f>AN5*1.02</f>
        <v>8205.4614000000001</v>
      </c>
      <c r="AP5" s="15">
        <f>AO5*1.04</f>
        <v>8533.6798560000007</v>
      </c>
      <c r="AQ5" s="15">
        <f>AP5*1.01</f>
        <v>8619.0166545600005</v>
      </c>
      <c r="AR5" s="15">
        <f>AQ5*1.01</f>
        <v>8705.2068211056012</v>
      </c>
    </row>
    <row r="6" spans="1:291" x14ac:dyDescent="0.25">
      <c r="B6" s="12" t="s">
        <v>16</v>
      </c>
      <c r="C6" s="18">
        <v>1359</v>
      </c>
      <c r="D6" s="18">
        <v>1243</v>
      </c>
      <c r="E6" s="18">
        <v>1272</v>
      </c>
      <c r="F6" s="18">
        <v>1537</v>
      </c>
      <c r="G6" s="18">
        <v>1389</v>
      </c>
      <c r="H6" s="18">
        <v>1240</v>
      </c>
      <c r="I6" s="18">
        <v>1312</v>
      </c>
      <c r="J6" s="18">
        <v>1521</v>
      </c>
      <c r="K6" s="18">
        <v>905</v>
      </c>
      <c r="L6" s="18">
        <v>1539</v>
      </c>
      <c r="M6" s="18">
        <v>1456</v>
      </c>
      <c r="N6" s="18">
        <v>1465</v>
      </c>
      <c r="O6" s="7">
        <v>1404</v>
      </c>
      <c r="P6" s="7">
        <v>1477</v>
      </c>
      <c r="Q6" s="7">
        <v>1429</v>
      </c>
      <c r="R6" s="7">
        <v>1568</v>
      </c>
      <c r="S6" s="7">
        <v>1435</v>
      </c>
      <c r="T6" s="7">
        <v>1411</v>
      </c>
      <c r="U6" s="7">
        <v>1477</v>
      </c>
      <c r="V6" s="7">
        <v>1632</v>
      </c>
      <c r="W6" s="7">
        <v>1349</v>
      </c>
      <c r="X6" s="7">
        <f>T6*0.98</f>
        <v>1382.78</v>
      </c>
      <c r="Y6" s="7">
        <f t="shared" ref="Y6:Z6" si="4">U6*0.98</f>
        <v>1447.46</v>
      </c>
      <c r="Z6" s="7">
        <f t="shared" si="4"/>
        <v>1599.36</v>
      </c>
      <c r="AI6" s="7">
        <f>SUM(C6:F6)</f>
        <v>5411</v>
      </c>
      <c r="AJ6" s="7">
        <f>SUM(G6:J6)</f>
        <v>5462</v>
      </c>
      <c r="AK6" s="7">
        <f>SUM(K6:N6)</f>
        <v>5365</v>
      </c>
      <c r="AL6" s="7">
        <f>SUM(O6:R6)</f>
        <v>5878</v>
      </c>
      <c r="AM6" s="7">
        <f>SUM(S6:V6)</f>
        <v>5955</v>
      </c>
      <c r="AN6" s="7">
        <f>SUM(W6:Z6)</f>
        <v>5778.5999999999995</v>
      </c>
      <c r="AO6" s="7">
        <f>AN6*1.05</f>
        <v>6067.53</v>
      </c>
      <c r="AP6" s="7">
        <f>AO6*1.05</f>
        <v>6370.9065000000001</v>
      </c>
      <c r="AQ6" s="7">
        <f>AP6*1.01</f>
        <v>6434.6155650000001</v>
      </c>
      <c r="AR6" s="7">
        <f>AQ6*1.01</f>
        <v>6498.9617206499997</v>
      </c>
    </row>
    <row r="7" spans="1:291" s="15" customFormat="1" x14ac:dyDescent="0.25">
      <c r="A7" s="14"/>
      <c r="B7" s="14" t="s">
        <v>17</v>
      </c>
      <c r="C7" s="15">
        <f t="shared" ref="C7:N7" si="5">C5-C6</f>
        <v>666</v>
      </c>
      <c r="D7" s="15">
        <f t="shared" si="5"/>
        <v>539</v>
      </c>
      <c r="E7" s="15">
        <f t="shared" si="5"/>
        <v>588</v>
      </c>
      <c r="F7" s="15">
        <f t="shared" si="5"/>
        <v>735</v>
      </c>
      <c r="G7" s="15">
        <f t="shared" si="5"/>
        <v>689</v>
      </c>
      <c r="H7" s="15">
        <f t="shared" si="5"/>
        <v>534</v>
      </c>
      <c r="I7" s="15">
        <f t="shared" si="5"/>
        <v>620</v>
      </c>
      <c r="J7" s="15">
        <f t="shared" si="5"/>
        <v>700</v>
      </c>
      <c r="K7" s="15">
        <f t="shared" si="5"/>
        <v>271</v>
      </c>
      <c r="L7" s="15">
        <f t="shared" si="5"/>
        <v>538</v>
      </c>
      <c r="M7" s="15">
        <f t="shared" si="5"/>
        <v>650</v>
      </c>
      <c r="N7" s="15">
        <f t="shared" si="5"/>
        <v>724</v>
      </c>
      <c r="O7" s="15">
        <f t="shared" ref="O7:Y7" si="6">O5-O6</f>
        <v>749</v>
      </c>
      <c r="P7" s="15">
        <f t="shared" si="6"/>
        <v>798</v>
      </c>
      <c r="Q7" s="15">
        <f t="shared" si="6"/>
        <v>760</v>
      </c>
      <c r="R7" s="15">
        <f t="shared" si="6"/>
        <v>776</v>
      </c>
      <c r="S7" s="15">
        <f t="shared" si="6"/>
        <v>743</v>
      </c>
      <c r="T7" s="15">
        <f t="shared" si="6"/>
        <v>654</v>
      </c>
      <c r="U7" s="15">
        <f t="shared" si="6"/>
        <v>696</v>
      </c>
      <c r="V7" s="15">
        <f t="shared" si="6"/>
        <v>705</v>
      </c>
      <c r="W7" s="15">
        <f t="shared" si="6"/>
        <v>582</v>
      </c>
      <c r="X7" s="15">
        <f t="shared" si="6"/>
        <v>537.67000000000007</v>
      </c>
      <c r="Y7" s="15">
        <f t="shared" si="6"/>
        <v>551.70000000000005</v>
      </c>
      <c r="Z7" s="15">
        <f>Z5-Z6</f>
        <v>594.60000000000014</v>
      </c>
      <c r="AI7" s="15">
        <f t="shared" ref="AI7:AK7" si="7">AI5-AI6</f>
        <v>2528</v>
      </c>
      <c r="AJ7" s="15">
        <f t="shared" si="7"/>
        <v>2543</v>
      </c>
      <c r="AK7" s="15">
        <f t="shared" si="7"/>
        <v>2183</v>
      </c>
      <c r="AL7" s="15">
        <f t="shared" ref="AL7:AR7" si="8">AL5-AL6</f>
        <v>3083</v>
      </c>
      <c r="AM7" s="15">
        <f>AM5-AM6</f>
        <v>2798</v>
      </c>
      <c r="AN7" s="15">
        <f t="shared" si="8"/>
        <v>2265.9700000000003</v>
      </c>
      <c r="AO7" s="15">
        <f t="shared" si="8"/>
        <v>2137.9314000000004</v>
      </c>
      <c r="AP7" s="15">
        <f t="shared" si="8"/>
        <v>2162.7733560000006</v>
      </c>
      <c r="AQ7" s="15">
        <f t="shared" si="8"/>
        <v>2184.4010895600004</v>
      </c>
      <c r="AR7" s="15">
        <f t="shared" si="8"/>
        <v>2206.2451004556015</v>
      </c>
    </row>
    <row r="8" spans="1:291" x14ac:dyDescent="0.25">
      <c r="B8" s="12" t="s">
        <v>73</v>
      </c>
      <c r="C8" s="18">
        <v>385</v>
      </c>
      <c r="D8" s="18">
        <v>380</v>
      </c>
      <c r="E8" s="18">
        <v>398</v>
      </c>
      <c r="F8" s="18">
        <v>451</v>
      </c>
      <c r="G8" s="18">
        <v>416</v>
      </c>
      <c r="H8" s="18">
        <v>393</v>
      </c>
      <c r="I8" s="18">
        <v>411</v>
      </c>
      <c r="J8" s="18">
        <v>430</v>
      </c>
      <c r="K8" s="18">
        <v>316</v>
      </c>
      <c r="L8" s="18">
        <v>387</v>
      </c>
      <c r="M8" s="18">
        <v>424</v>
      </c>
      <c r="N8" s="18">
        <v>460</v>
      </c>
      <c r="O8" s="7">
        <v>418</v>
      </c>
      <c r="P8" s="7">
        <v>450</v>
      </c>
      <c r="Q8" s="7">
        <v>458</v>
      </c>
      <c r="R8" s="7">
        <v>525</v>
      </c>
      <c r="S8" s="7">
        <v>463</v>
      </c>
      <c r="T8" s="7">
        <v>452</v>
      </c>
      <c r="U8" s="7">
        <v>467</v>
      </c>
      <c r="V8" s="7">
        <v>521</v>
      </c>
      <c r="W8" s="7">
        <v>431</v>
      </c>
      <c r="X8" s="7">
        <f t="shared" ref="X8:Z8" si="9">T8*0.9</f>
        <v>406.8</v>
      </c>
      <c r="Y8" s="7">
        <f t="shared" si="9"/>
        <v>420.3</v>
      </c>
      <c r="Z8" s="7">
        <f t="shared" si="9"/>
        <v>468.90000000000003</v>
      </c>
      <c r="AI8" s="7">
        <f>SUM(C8:F8)</f>
        <v>1614</v>
      </c>
      <c r="AJ8" s="7">
        <f>SUM(G8:J8)</f>
        <v>1650</v>
      </c>
      <c r="AK8" s="7">
        <f>SUM(K8:N8)</f>
        <v>1587</v>
      </c>
      <c r="AL8" s="7">
        <f>SUM(O8:R8)</f>
        <v>1851</v>
      </c>
      <c r="AM8" s="7">
        <f>SUM(S8:V8)</f>
        <v>1903</v>
      </c>
      <c r="AN8" s="7">
        <f>SUM(W8:Z8)</f>
        <v>1727</v>
      </c>
      <c r="AO8" s="7">
        <f>AN8*1.05</f>
        <v>1813.3500000000001</v>
      </c>
      <c r="AP8" s="7">
        <f>AO8*1.05</f>
        <v>1904.0175000000002</v>
      </c>
      <c r="AQ8" s="7">
        <f>AP8*1.01</f>
        <v>1923.0576750000002</v>
      </c>
      <c r="AR8" s="7">
        <f>AQ8*1.01</f>
        <v>1942.2882517500002</v>
      </c>
    </row>
    <row r="9" spans="1:291" s="15" customFormat="1" x14ac:dyDescent="0.25">
      <c r="A9" s="14"/>
      <c r="B9" s="14" t="s">
        <v>10</v>
      </c>
      <c r="C9" s="15">
        <f t="shared" ref="C9:V9" si="10">C8</f>
        <v>385</v>
      </c>
      <c r="D9" s="15">
        <f t="shared" si="10"/>
        <v>380</v>
      </c>
      <c r="E9" s="15">
        <f t="shared" si="10"/>
        <v>398</v>
      </c>
      <c r="F9" s="15">
        <f t="shared" si="10"/>
        <v>451</v>
      </c>
      <c r="G9" s="15">
        <f t="shared" si="10"/>
        <v>416</v>
      </c>
      <c r="H9" s="15">
        <f t="shared" si="10"/>
        <v>393</v>
      </c>
      <c r="I9" s="15">
        <f t="shared" si="10"/>
        <v>411</v>
      </c>
      <c r="J9" s="15">
        <f t="shared" si="10"/>
        <v>430</v>
      </c>
      <c r="K9" s="15">
        <f t="shared" si="10"/>
        <v>316</v>
      </c>
      <c r="L9" s="15">
        <f t="shared" si="10"/>
        <v>387</v>
      </c>
      <c r="M9" s="15">
        <f t="shared" si="10"/>
        <v>424</v>
      </c>
      <c r="N9" s="15">
        <f t="shared" si="10"/>
        <v>460</v>
      </c>
      <c r="O9" s="15">
        <f t="shared" si="10"/>
        <v>418</v>
      </c>
      <c r="P9" s="15">
        <f t="shared" si="10"/>
        <v>450</v>
      </c>
      <c r="Q9" s="15">
        <f t="shared" si="10"/>
        <v>458</v>
      </c>
      <c r="R9" s="15">
        <f t="shared" si="10"/>
        <v>525</v>
      </c>
      <c r="S9" s="15">
        <f t="shared" si="10"/>
        <v>463</v>
      </c>
      <c r="T9" s="15">
        <f t="shared" si="10"/>
        <v>452</v>
      </c>
      <c r="U9" s="15">
        <f t="shared" si="10"/>
        <v>467</v>
      </c>
      <c r="V9" s="15">
        <f t="shared" si="10"/>
        <v>521</v>
      </c>
      <c r="W9" s="15">
        <f>W8</f>
        <v>431</v>
      </c>
      <c r="X9" s="15">
        <f t="shared" ref="X9:Z9" si="11">X8</f>
        <v>406.8</v>
      </c>
      <c r="Y9" s="15">
        <f t="shared" si="11"/>
        <v>420.3</v>
      </c>
      <c r="Z9" s="15">
        <f t="shared" si="11"/>
        <v>468.90000000000003</v>
      </c>
      <c r="AI9" s="15">
        <f t="shared" ref="AI9" si="12">AI8</f>
        <v>1614</v>
      </c>
      <c r="AJ9" s="15">
        <f t="shared" ref="AJ9" si="13">AJ8</f>
        <v>1650</v>
      </c>
      <c r="AK9" s="15">
        <f t="shared" ref="AK9" si="14">AK8</f>
        <v>1587</v>
      </c>
      <c r="AL9" s="15">
        <f t="shared" ref="AL9" si="15">AL8</f>
        <v>1851</v>
      </c>
      <c r="AM9" s="15">
        <f t="shared" ref="AM9" si="16">AM8</f>
        <v>1903</v>
      </c>
      <c r="AN9" s="15">
        <f t="shared" ref="AN9" si="17">AN8</f>
        <v>1727</v>
      </c>
      <c r="AO9" s="15">
        <f t="shared" ref="AO9" si="18">AO8</f>
        <v>1813.3500000000001</v>
      </c>
      <c r="AP9" s="15">
        <f t="shared" ref="AP9" si="19">AP8</f>
        <v>1904.0175000000002</v>
      </c>
      <c r="AQ9" s="15">
        <f t="shared" ref="AQ9" si="20">AQ8</f>
        <v>1923.0576750000002</v>
      </c>
      <c r="AR9" s="15">
        <f t="shared" ref="AR9" si="21">AR8</f>
        <v>1942.2882517500002</v>
      </c>
    </row>
    <row r="10" spans="1:291" s="15" customFormat="1" x14ac:dyDescent="0.25">
      <c r="A10" s="14"/>
      <c r="B10" s="14" t="s">
        <v>18</v>
      </c>
      <c r="C10" s="15">
        <f t="shared" ref="C10:V10" si="22">C7-C9</f>
        <v>281</v>
      </c>
      <c r="D10" s="15">
        <f t="shared" si="22"/>
        <v>159</v>
      </c>
      <c r="E10" s="15">
        <f t="shared" si="22"/>
        <v>190</v>
      </c>
      <c r="F10" s="15">
        <f t="shared" si="22"/>
        <v>284</v>
      </c>
      <c r="G10" s="15">
        <f t="shared" si="22"/>
        <v>273</v>
      </c>
      <c r="H10" s="15">
        <f t="shared" si="22"/>
        <v>141</v>
      </c>
      <c r="I10" s="15">
        <f t="shared" si="22"/>
        <v>209</v>
      </c>
      <c r="J10" s="15">
        <f t="shared" si="22"/>
        <v>270</v>
      </c>
      <c r="K10" s="15">
        <f t="shared" si="22"/>
        <v>-45</v>
      </c>
      <c r="L10" s="15">
        <f t="shared" si="22"/>
        <v>151</v>
      </c>
      <c r="M10" s="15">
        <f t="shared" si="22"/>
        <v>226</v>
      </c>
      <c r="N10" s="15">
        <f t="shared" si="22"/>
        <v>264</v>
      </c>
      <c r="O10" s="15">
        <f t="shared" si="22"/>
        <v>331</v>
      </c>
      <c r="P10" s="15">
        <f t="shared" si="22"/>
        <v>348</v>
      </c>
      <c r="Q10" s="15">
        <f t="shared" si="22"/>
        <v>302</v>
      </c>
      <c r="R10" s="15">
        <f t="shared" si="22"/>
        <v>251</v>
      </c>
      <c r="S10" s="15">
        <f t="shared" si="22"/>
        <v>280</v>
      </c>
      <c r="T10" s="15">
        <f t="shared" si="22"/>
        <v>202</v>
      </c>
      <c r="U10" s="15">
        <f t="shared" si="22"/>
        <v>229</v>
      </c>
      <c r="V10" s="15">
        <f t="shared" si="22"/>
        <v>184</v>
      </c>
      <c r="W10" s="15">
        <f>W7-W9</f>
        <v>151</v>
      </c>
      <c r="X10" s="15">
        <f t="shared" ref="X10:Z10" si="23">X7-X9</f>
        <v>130.87000000000006</v>
      </c>
      <c r="Y10" s="15">
        <f t="shared" si="23"/>
        <v>131.40000000000003</v>
      </c>
      <c r="Z10" s="15">
        <f t="shared" si="23"/>
        <v>125.7000000000001</v>
      </c>
      <c r="AI10" s="15">
        <f t="shared" ref="AI10:AK10" si="24">AI7-AI9</f>
        <v>914</v>
      </c>
      <c r="AJ10" s="15">
        <f t="shared" si="24"/>
        <v>893</v>
      </c>
      <c r="AK10" s="15">
        <f t="shared" si="24"/>
        <v>596</v>
      </c>
      <c r="AL10" s="15">
        <f>AL7-AL9</f>
        <v>1232</v>
      </c>
      <c r="AM10" s="15">
        <f t="shared" ref="AM10:AR10" si="25">AM7-AM9</f>
        <v>895</v>
      </c>
      <c r="AN10" s="15">
        <f t="shared" si="25"/>
        <v>538.97000000000025</v>
      </c>
      <c r="AO10" s="15">
        <f t="shared" si="25"/>
        <v>324.58140000000026</v>
      </c>
      <c r="AP10" s="15">
        <f t="shared" si="25"/>
        <v>258.75585600000045</v>
      </c>
      <c r="AQ10" s="15">
        <f t="shared" si="25"/>
        <v>261.34341456000016</v>
      </c>
      <c r="AR10" s="15">
        <f t="shared" si="25"/>
        <v>263.95684870560126</v>
      </c>
    </row>
    <row r="11" spans="1:291" x14ac:dyDescent="0.25">
      <c r="B11" s="12" t="s">
        <v>50</v>
      </c>
      <c r="C11" s="18">
        <v>-2</v>
      </c>
      <c r="D11" s="18">
        <v>-1</v>
      </c>
      <c r="E11" s="18">
        <v>-2</v>
      </c>
      <c r="F11" s="18">
        <v>-4</v>
      </c>
      <c r="G11" s="18">
        <v>-4</v>
      </c>
      <c r="H11" s="18">
        <v>-2</v>
      </c>
      <c r="I11" s="18">
        <v>-3</v>
      </c>
      <c r="J11" s="18">
        <v>-2</v>
      </c>
      <c r="K11" s="18">
        <v>1</v>
      </c>
      <c r="L11" s="18">
        <v>2</v>
      </c>
      <c r="M11" s="18">
        <v>2</v>
      </c>
      <c r="N11" s="18">
        <v>2</v>
      </c>
      <c r="O11" s="7">
        <v>2</v>
      </c>
      <c r="P11" s="7">
        <v>2</v>
      </c>
      <c r="Q11" s="7">
        <v>4</v>
      </c>
      <c r="R11" s="7">
        <v>6</v>
      </c>
      <c r="S11" s="7">
        <v>5</v>
      </c>
      <c r="T11" s="7">
        <v>5</v>
      </c>
      <c r="U11" s="7">
        <v>3</v>
      </c>
      <c r="V11" s="7">
        <v>2</v>
      </c>
      <c r="W11" s="7">
        <v>1</v>
      </c>
      <c r="X11" s="7">
        <f>T11*1.2</f>
        <v>6</v>
      </c>
      <c r="Y11" s="7">
        <f t="shared" ref="Y11:Z11" si="26">U11*1.2</f>
        <v>3.5999999999999996</v>
      </c>
      <c r="Z11" s="7">
        <f t="shared" si="26"/>
        <v>2.4</v>
      </c>
      <c r="AI11" s="7">
        <f t="shared" ref="AI11:AI12" si="27">SUM(C11:F11)</f>
        <v>-9</v>
      </c>
      <c r="AJ11" s="7">
        <f t="shared" ref="AJ11:AJ12" si="28">SUM(G11:J11)</f>
        <v>-11</v>
      </c>
      <c r="AK11" s="7">
        <f t="shared" ref="AK11:AK12" si="29">SUM(K11:N11)</f>
        <v>7</v>
      </c>
      <c r="AL11" s="7">
        <f>SUM(O11:R11)</f>
        <v>14</v>
      </c>
      <c r="AM11" s="7">
        <f>SUM(S11:V11)</f>
        <v>15</v>
      </c>
      <c r="AN11" s="7">
        <f>SUM(W11:Z11)</f>
        <v>13</v>
      </c>
      <c r="AO11" s="7">
        <f t="shared" ref="AO11:AP11" si="30">AN11*1.05</f>
        <v>13.65</v>
      </c>
      <c r="AP11" s="7">
        <f t="shared" si="30"/>
        <v>14.332500000000001</v>
      </c>
      <c r="AQ11" s="7">
        <f t="shared" ref="AQ11:AR12" si="31">AP11*1.01</f>
        <v>14.475825000000002</v>
      </c>
      <c r="AR11" s="7">
        <f t="shared" si="31"/>
        <v>14.620583250000003</v>
      </c>
    </row>
    <row r="12" spans="1:291" x14ac:dyDescent="0.25">
      <c r="B12" s="12" t="s">
        <v>76</v>
      </c>
      <c r="C12" s="18">
        <v>3</v>
      </c>
      <c r="D12" s="18">
        <v>2</v>
      </c>
      <c r="E12" s="18">
        <v>0</v>
      </c>
      <c r="F12" s="18">
        <v>0</v>
      </c>
      <c r="G12" s="18">
        <v>2</v>
      </c>
      <c r="H12" s="18">
        <v>2</v>
      </c>
      <c r="I12" s="18">
        <v>4</v>
      </c>
      <c r="J12" s="18">
        <v>4</v>
      </c>
      <c r="K12" s="18">
        <v>1</v>
      </c>
      <c r="L12" s="18">
        <v>3</v>
      </c>
      <c r="M12" s="18">
        <v>193</v>
      </c>
      <c r="N12" s="18">
        <v>1</v>
      </c>
      <c r="O12" s="7">
        <v>4</v>
      </c>
      <c r="P12" s="7">
        <v>325</v>
      </c>
      <c r="Q12" s="7">
        <v>30</v>
      </c>
      <c r="R12" s="7">
        <v>32</v>
      </c>
      <c r="S12" s="7">
        <v>-25</v>
      </c>
      <c r="T12" s="7">
        <v>9</v>
      </c>
      <c r="U12" s="7">
        <v>-11</v>
      </c>
      <c r="V12" s="7">
        <v>-9</v>
      </c>
      <c r="W12" s="7">
        <v>-3</v>
      </c>
      <c r="X12" s="7">
        <f t="shared" ref="X12" si="32">T12*0.9</f>
        <v>8.1</v>
      </c>
      <c r="Y12" s="7">
        <f t="shared" ref="Y12" si="33">U12*0.9</f>
        <v>-9.9</v>
      </c>
      <c r="Z12" s="7">
        <f t="shared" ref="Z12" si="34">V12*0.9</f>
        <v>-8.1</v>
      </c>
      <c r="AI12" s="7">
        <f t="shared" si="27"/>
        <v>5</v>
      </c>
      <c r="AJ12" s="7">
        <f t="shared" si="28"/>
        <v>12</v>
      </c>
      <c r="AK12" s="7">
        <f t="shared" si="29"/>
        <v>198</v>
      </c>
      <c r="AL12" s="7">
        <f>SUM(O12:R12)</f>
        <v>391</v>
      </c>
      <c r="AM12" s="7">
        <f>SUM(S12:V12)</f>
        <v>-36</v>
      </c>
      <c r="AN12" s="7">
        <f>SUM(W12:Z12)</f>
        <v>-12.9</v>
      </c>
      <c r="AO12" s="7">
        <f t="shared" ref="AO12:AP12" si="35">AN12*1.05</f>
        <v>-13.545000000000002</v>
      </c>
      <c r="AP12" s="7">
        <f t="shared" si="35"/>
        <v>-14.222250000000003</v>
      </c>
      <c r="AQ12" s="7">
        <f t="shared" si="31"/>
        <v>-14.364472500000003</v>
      </c>
      <c r="AR12" s="7">
        <f t="shared" si="31"/>
        <v>-14.508117225000003</v>
      </c>
    </row>
    <row r="13" spans="1:291" x14ac:dyDescent="0.25">
      <c r="B13" s="12" t="s">
        <v>11</v>
      </c>
      <c r="C13" s="7">
        <f>C10-C11+C12</f>
        <v>286</v>
      </c>
      <c r="D13" s="7">
        <f t="shared" ref="D13:V13" si="36">D10-D11+D12</f>
        <v>162</v>
      </c>
      <c r="E13" s="7">
        <f t="shared" si="36"/>
        <v>192</v>
      </c>
      <c r="F13" s="7">
        <f t="shared" si="36"/>
        <v>288</v>
      </c>
      <c r="G13" s="7">
        <f t="shared" si="36"/>
        <v>279</v>
      </c>
      <c r="H13" s="7">
        <f t="shared" si="36"/>
        <v>145</v>
      </c>
      <c r="I13" s="7">
        <f t="shared" si="36"/>
        <v>216</v>
      </c>
      <c r="J13" s="7">
        <f t="shared" ref="J13" si="37">J10-J11+J12</f>
        <v>276</v>
      </c>
      <c r="K13" s="7">
        <f t="shared" ref="K13" si="38">K10-K11+K12</f>
        <v>-45</v>
      </c>
      <c r="L13" s="7">
        <f t="shared" si="36"/>
        <v>152</v>
      </c>
      <c r="M13" s="7">
        <f t="shared" si="36"/>
        <v>417</v>
      </c>
      <c r="N13" s="7">
        <f t="shared" si="36"/>
        <v>263</v>
      </c>
      <c r="O13" s="7">
        <f t="shared" si="36"/>
        <v>333</v>
      </c>
      <c r="P13" s="7">
        <f t="shared" si="36"/>
        <v>671</v>
      </c>
      <c r="Q13" s="7">
        <f t="shared" si="36"/>
        <v>328</v>
      </c>
      <c r="R13" s="7">
        <f t="shared" si="36"/>
        <v>277</v>
      </c>
      <c r="S13" s="7">
        <f t="shared" si="36"/>
        <v>250</v>
      </c>
      <c r="T13" s="7">
        <f t="shared" si="36"/>
        <v>206</v>
      </c>
      <c r="U13" s="7">
        <f t="shared" si="36"/>
        <v>215</v>
      </c>
      <c r="V13" s="7">
        <f t="shared" si="36"/>
        <v>173</v>
      </c>
      <c r="W13" s="7">
        <f>W10-W11+W12</f>
        <v>147</v>
      </c>
      <c r="X13" s="7">
        <f t="shared" ref="X13:Z13" si="39">X10-X11+X12</f>
        <v>132.97000000000006</v>
      </c>
      <c r="Y13" s="7">
        <f t="shared" si="39"/>
        <v>117.90000000000003</v>
      </c>
      <c r="Z13" s="7">
        <f t="shared" si="39"/>
        <v>115.2000000000001</v>
      </c>
      <c r="AI13" s="7">
        <f t="shared" ref="AI13:AK13" si="40">AI10-AI11-AI12</f>
        <v>918</v>
      </c>
      <c r="AJ13" s="7">
        <f t="shared" si="40"/>
        <v>892</v>
      </c>
      <c r="AK13" s="7">
        <f t="shared" si="40"/>
        <v>391</v>
      </c>
      <c r="AL13" s="7">
        <f t="shared" ref="AL13" si="41">AL10-AL11-AL12</f>
        <v>827</v>
      </c>
      <c r="AM13" s="7">
        <f>AM10-AM11-AM12</f>
        <v>916</v>
      </c>
      <c r="AN13" s="7">
        <f t="shared" ref="AN13:AR13" si="42">AN10-AN11-AN12</f>
        <v>538.87000000000023</v>
      </c>
      <c r="AO13" s="7">
        <f t="shared" si="42"/>
        <v>324.4764000000003</v>
      </c>
      <c r="AP13" s="7">
        <f t="shared" si="42"/>
        <v>258.64560600000044</v>
      </c>
      <c r="AQ13" s="7">
        <f t="shared" si="42"/>
        <v>261.23206206000015</v>
      </c>
      <c r="AR13" s="7">
        <f t="shared" si="42"/>
        <v>263.84438268060126</v>
      </c>
    </row>
    <row r="14" spans="1:291" x14ac:dyDescent="0.25">
      <c r="B14" s="12" t="s">
        <v>12</v>
      </c>
      <c r="C14" s="18">
        <v>64</v>
      </c>
      <c r="D14" s="18">
        <v>27</v>
      </c>
      <c r="E14" s="18">
        <v>16</v>
      </c>
      <c r="F14" s="18">
        <v>65</v>
      </c>
      <c r="G14" s="18">
        <v>62</v>
      </c>
      <c r="H14" s="18">
        <v>25</v>
      </c>
      <c r="I14" s="18">
        <v>46</v>
      </c>
      <c r="J14" s="18">
        <v>48</v>
      </c>
      <c r="K14" s="18">
        <v>8</v>
      </c>
      <c r="L14" s="18">
        <v>25</v>
      </c>
      <c r="M14" s="18">
        <v>104</v>
      </c>
      <c r="N14" s="18">
        <v>37</v>
      </c>
      <c r="O14" s="7">
        <v>82</v>
      </c>
      <c r="P14" s="7">
        <v>157</v>
      </c>
      <c r="Q14" s="7">
        <v>64</v>
      </c>
      <c r="R14" s="7">
        <v>45</v>
      </c>
      <c r="S14" s="7">
        <v>58</v>
      </c>
      <c r="T14" s="7">
        <v>49</v>
      </c>
      <c r="U14" s="7">
        <v>47</v>
      </c>
      <c r="V14" s="7">
        <v>26</v>
      </c>
      <c r="W14" s="7">
        <v>21</v>
      </c>
      <c r="X14" s="7">
        <f>0.4*X13</f>
        <v>53.188000000000024</v>
      </c>
      <c r="Y14" s="7">
        <f t="shared" ref="Y14:Z14" si="43">0.4*Y13</f>
        <v>47.160000000000018</v>
      </c>
      <c r="Z14" s="7">
        <f t="shared" si="43"/>
        <v>46.080000000000041</v>
      </c>
      <c r="AI14" s="7">
        <f>SUM(C14:F14)</f>
        <v>172</v>
      </c>
      <c r="AJ14" s="7">
        <f>SUM(G14:J14)</f>
        <v>181</v>
      </c>
      <c r="AK14" s="7">
        <f>SUM(K14:N14)</f>
        <v>174</v>
      </c>
      <c r="AL14" s="7">
        <f>SUM(O14:R14)</f>
        <v>348</v>
      </c>
      <c r="AM14" s="7">
        <f>SUM(S14:V14)</f>
        <v>180</v>
      </c>
      <c r="AN14" s="7">
        <f>SUM(W14:Z14)</f>
        <v>167.42800000000008</v>
      </c>
      <c r="AO14" s="7">
        <f>0.3*AO13</f>
        <v>97.342920000000092</v>
      </c>
      <c r="AP14" s="7">
        <f t="shared" ref="AP14:AR14" si="44">0.3*AP13</f>
        <v>77.593681800000127</v>
      </c>
      <c r="AQ14" s="7">
        <f t="shared" si="44"/>
        <v>78.369618618000047</v>
      </c>
      <c r="AR14" s="7">
        <f t="shared" si="44"/>
        <v>79.153314804180368</v>
      </c>
    </row>
    <row r="15" spans="1:291" s="15" customFormat="1" x14ac:dyDescent="0.25">
      <c r="A15" s="14"/>
      <c r="B15" s="14" t="s">
        <v>13</v>
      </c>
      <c r="C15" s="15">
        <f t="shared" ref="C15:N15" si="45">C13-C14</f>
        <v>222</v>
      </c>
      <c r="D15" s="15">
        <f>D13-D14</f>
        <v>135</v>
      </c>
      <c r="E15" s="15">
        <f t="shared" si="45"/>
        <v>176</v>
      </c>
      <c r="F15" s="15">
        <f t="shared" si="45"/>
        <v>223</v>
      </c>
      <c r="G15" s="15">
        <f t="shared" si="45"/>
        <v>217</v>
      </c>
      <c r="H15" s="15">
        <f t="shared" si="45"/>
        <v>120</v>
      </c>
      <c r="I15" s="15">
        <f t="shared" si="45"/>
        <v>170</v>
      </c>
      <c r="J15" s="15">
        <f t="shared" si="45"/>
        <v>228</v>
      </c>
      <c r="K15" s="15">
        <f t="shared" si="45"/>
        <v>-53</v>
      </c>
      <c r="L15" s="15">
        <f t="shared" si="45"/>
        <v>127</v>
      </c>
      <c r="M15" s="15">
        <f t="shared" si="45"/>
        <v>313</v>
      </c>
      <c r="N15" s="15">
        <f t="shared" si="45"/>
        <v>226</v>
      </c>
      <c r="O15" s="15">
        <f t="shared" ref="O15:V15" si="46">O13-O14</f>
        <v>251</v>
      </c>
      <c r="P15" s="15">
        <f t="shared" si="46"/>
        <v>514</v>
      </c>
      <c r="Q15" s="15">
        <f t="shared" si="46"/>
        <v>264</v>
      </c>
      <c r="R15" s="15">
        <f t="shared" si="46"/>
        <v>232</v>
      </c>
      <c r="S15" s="15">
        <f t="shared" si="46"/>
        <v>192</v>
      </c>
      <c r="T15" s="15">
        <f t="shared" si="46"/>
        <v>157</v>
      </c>
      <c r="U15" s="15">
        <f t="shared" si="46"/>
        <v>168</v>
      </c>
      <c r="V15" s="15">
        <f t="shared" si="46"/>
        <v>147</v>
      </c>
      <c r="W15" s="15">
        <f t="shared" ref="W15:Y15" si="47">W13-W14</f>
        <v>126</v>
      </c>
      <c r="X15" s="15">
        <f t="shared" si="47"/>
        <v>79.782000000000039</v>
      </c>
      <c r="Y15" s="15">
        <f t="shared" si="47"/>
        <v>70.740000000000009</v>
      </c>
      <c r="Z15" s="15">
        <f>Z13-Z14</f>
        <v>69.120000000000061</v>
      </c>
      <c r="AI15" s="15">
        <f t="shared" ref="AI15:AK15" si="48">AI13-AI14</f>
        <v>746</v>
      </c>
      <c r="AJ15" s="15">
        <f t="shared" si="48"/>
        <v>711</v>
      </c>
      <c r="AK15" s="15">
        <f t="shared" si="48"/>
        <v>217</v>
      </c>
      <c r="AL15" s="15">
        <f t="shared" ref="AL15:AR15" si="49">AL13-AL14</f>
        <v>479</v>
      </c>
      <c r="AM15" s="15">
        <f t="shared" si="49"/>
        <v>736</v>
      </c>
      <c r="AN15" s="15">
        <f t="shared" si="49"/>
        <v>371.44200000000012</v>
      </c>
      <c r="AO15" s="15">
        <f t="shared" si="49"/>
        <v>227.13348000000019</v>
      </c>
      <c r="AP15" s="15">
        <f t="shared" si="49"/>
        <v>181.05192420000031</v>
      </c>
      <c r="AQ15" s="15">
        <f t="shared" si="49"/>
        <v>182.86244344200009</v>
      </c>
      <c r="AR15" s="15">
        <f t="shared" si="49"/>
        <v>184.6910678764209</v>
      </c>
      <c r="AS15" s="15">
        <f>AR15*(1+$AV$21)</f>
        <v>182.8441571976567</v>
      </c>
      <c r="AT15" s="15">
        <f t="shared" ref="AT15:DE15" si="50">AS15*(1+$AV$21)</f>
        <v>181.01571562568014</v>
      </c>
      <c r="AU15" s="15">
        <f t="shared" si="50"/>
        <v>179.20555846942335</v>
      </c>
      <c r="AV15" s="15">
        <f t="shared" si="50"/>
        <v>177.41350288472913</v>
      </c>
      <c r="AW15" s="15">
        <f t="shared" si="50"/>
        <v>175.63936785588183</v>
      </c>
      <c r="AX15" s="15">
        <f t="shared" si="50"/>
        <v>173.88297417732301</v>
      </c>
      <c r="AY15" s="15">
        <f t="shared" si="50"/>
        <v>172.14414443554978</v>
      </c>
      <c r="AZ15" s="15">
        <f t="shared" si="50"/>
        <v>170.42270299119429</v>
      </c>
      <c r="BA15" s="15">
        <f t="shared" si="50"/>
        <v>168.71847596128234</v>
      </c>
      <c r="BB15" s="15">
        <f t="shared" si="50"/>
        <v>167.03129120166952</v>
      </c>
      <c r="BC15" s="15">
        <f t="shared" si="50"/>
        <v>165.36097828965282</v>
      </c>
      <c r="BD15" s="15">
        <f t="shared" si="50"/>
        <v>163.7073685067563</v>
      </c>
      <c r="BE15" s="15">
        <f t="shared" si="50"/>
        <v>162.07029482168872</v>
      </c>
      <c r="BF15" s="15">
        <f t="shared" si="50"/>
        <v>160.44959187347183</v>
      </c>
      <c r="BG15" s="15">
        <f t="shared" si="50"/>
        <v>158.8450959547371</v>
      </c>
      <c r="BH15" s="15">
        <f t="shared" si="50"/>
        <v>157.25664499518973</v>
      </c>
      <c r="BI15" s="15">
        <f t="shared" si="50"/>
        <v>155.68407854523784</v>
      </c>
      <c r="BJ15" s="15">
        <f t="shared" si="50"/>
        <v>154.12723775978546</v>
      </c>
      <c r="BK15" s="15">
        <f t="shared" si="50"/>
        <v>152.5859653821876</v>
      </c>
      <c r="BL15" s="15">
        <f t="shared" si="50"/>
        <v>151.06010572836573</v>
      </c>
      <c r="BM15" s="15">
        <f t="shared" si="50"/>
        <v>149.54950467108208</v>
      </c>
      <c r="BN15" s="15">
        <f t="shared" si="50"/>
        <v>148.05400962437125</v>
      </c>
      <c r="BO15" s="15">
        <f t="shared" si="50"/>
        <v>146.57346952812753</v>
      </c>
      <c r="BP15" s="15">
        <f t="shared" si="50"/>
        <v>145.10773483284626</v>
      </c>
      <c r="BQ15" s="15">
        <f t="shared" si="50"/>
        <v>143.65665748451781</v>
      </c>
      <c r="BR15" s="15">
        <f t="shared" si="50"/>
        <v>142.22009090967262</v>
      </c>
      <c r="BS15" s="15">
        <f t="shared" si="50"/>
        <v>140.7978900005759</v>
      </c>
      <c r="BT15" s="15">
        <f t="shared" si="50"/>
        <v>139.38991110057015</v>
      </c>
      <c r="BU15" s="15">
        <f t="shared" si="50"/>
        <v>137.99601198956444</v>
      </c>
      <c r="BV15" s="15">
        <f t="shared" si="50"/>
        <v>136.61605186966878</v>
      </c>
      <c r="BW15" s="15">
        <f t="shared" si="50"/>
        <v>135.24989135097209</v>
      </c>
      <c r="BX15" s="15">
        <f t="shared" si="50"/>
        <v>133.89739243746237</v>
      </c>
      <c r="BY15" s="15">
        <f t="shared" si="50"/>
        <v>132.55841851308776</v>
      </c>
      <c r="BZ15" s="15">
        <f t="shared" si="50"/>
        <v>131.23283432795688</v>
      </c>
      <c r="CA15" s="15">
        <f t="shared" si="50"/>
        <v>129.92050598467731</v>
      </c>
      <c r="CB15" s="15">
        <f t="shared" si="50"/>
        <v>128.62130092483054</v>
      </c>
      <c r="CC15" s="15">
        <f t="shared" si="50"/>
        <v>127.33508791558224</v>
      </c>
      <c r="CD15" s="15">
        <f t="shared" si="50"/>
        <v>126.06173703642641</v>
      </c>
      <c r="CE15" s="15">
        <f t="shared" si="50"/>
        <v>124.80111966606215</v>
      </c>
      <c r="CF15" s="15">
        <f t="shared" si="50"/>
        <v>123.55310846940152</v>
      </c>
      <c r="CG15" s="15">
        <f t="shared" si="50"/>
        <v>122.3175773847075</v>
      </c>
      <c r="CH15" s="15">
        <f t="shared" si="50"/>
        <v>121.09440161086043</v>
      </c>
      <c r="CI15" s="15">
        <f t="shared" si="50"/>
        <v>119.88345759475183</v>
      </c>
      <c r="CJ15" s="15">
        <f t="shared" si="50"/>
        <v>118.68462301880432</v>
      </c>
      <c r="CK15" s="15">
        <f t="shared" si="50"/>
        <v>117.49777678861628</v>
      </c>
      <c r="CL15" s="15">
        <f t="shared" si="50"/>
        <v>116.32279902073012</v>
      </c>
      <c r="CM15" s="15">
        <f t="shared" si="50"/>
        <v>115.15957103052281</v>
      </c>
      <c r="CN15" s="15">
        <f t="shared" si="50"/>
        <v>114.00797532021758</v>
      </c>
      <c r="CO15" s="15">
        <f t="shared" si="50"/>
        <v>112.86789556701541</v>
      </c>
      <c r="CP15" s="15">
        <f t="shared" si="50"/>
        <v>111.73921661134526</v>
      </c>
      <c r="CQ15" s="15">
        <f t="shared" si="50"/>
        <v>110.62182444523181</v>
      </c>
      <c r="CR15" s="15">
        <f t="shared" si="50"/>
        <v>109.51560620077949</v>
      </c>
      <c r="CS15" s="15">
        <f t="shared" si="50"/>
        <v>108.42045013877168</v>
      </c>
      <c r="CT15" s="15">
        <f t="shared" si="50"/>
        <v>107.33624563738397</v>
      </c>
      <c r="CU15" s="15">
        <f t="shared" si="50"/>
        <v>106.26288318101012</v>
      </c>
      <c r="CV15" s="15">
        <f t="shared" si="50"/>
        <v>105.20025434920002</v>
      </c>
      <c r="CW15" s="15">
        <f t="shared" si="50"/>
        <v>104.14825180570803</v>
      </c>
      <c r="CX15" s="15">
        <f t="shared" si="50"/>
        <v>103.10676928765095</v>
      </c>
      <c r="CY15" s="15">
        <f t="shared" si="50"/>
        <v>102.07570159477444</v>
      </c>
      <c r="CZ15" s="15">
        <f t="shared" si="50"/>
        <v>101.05494457882669</v>
      </c>
      <c r="DA15" s="15">
        <f t="shared" si="50"/>
        <v>100.04439513303842</v>
      </c>
      <c r="DB15" s="15">
        <f t="shared" si="50"/>
        <v>99.043951181708039</v>
      </c>
      <c r="DC15" s="15">
        <f t="shared" si="50"/>
        <v>98.053511669890952</v>
      </c>
      <c r="DD15" s="15">
        <f t="shared" si="50"/>
        <v>97.072976553192035</v>
      </c>
      <c r="DE15" s="15">
        <f t="shared" si="50"/>
        <v>96.102246787660107</v>
      </c>
      <c r="DF15" s="15">
        <f t="shared" ref="DF15:FQ15" si="51">DE15*(1+$AV$21)</f>
        <v>95.141224319783504</v>
      </c>
      <c r="DG15" s="15">
        <f t="shared" si="51"/>
        <v>94.189812076585667</v>
      </c>
      <c r="DH15" s="15">
        <f t="shared" si="51"/>
        <v>93.247913955819811</v>
      </c>
      <c r="DI15" s="15">
        <f t="shared" si="51"/>
        <v>92.315434816261615</v>
      </c>
      <c r="DJ15" s="15">
        <f t="shared" si="51"/>
        <v>91.392280468099003</v>
      </c>
      <c r="DK15" s="15">
        <f t="shared" si="51"/>
        <v>90.478357663418009</v>
      </c>
      <c r="DL15" s="15">
        <f t="shared" si="51"/>
        <v>89.573574086783822</v>
      </c>
      <c r="DM15" s="15">
        <f t="shared" si="51"/>
        <v>88.677838345915987</v>
      </c>
      <c r="DN15" s="15">
        <f t="shared" si="51"/>
        <v>87.791059962456828</v>
      </c>
      <c r="DO15" s="15">
        <f t="shared" si="51"/>
        <v>86.913149362832257</v>
      </c>
      <c r="DP15" s="15">
        <f t="shared" si="51"/>
        <v>86.044017869203941</v>
      </c>
      <c r="DQ15" s="15">
        <f t="shared" si="51"/>
        <v>85.183577690511896</v>
      </c>
      <c r="DR15" s="15">
        <f t="shared" si="51"/>
        <v>84.331741913606777</v>
      </c>
      <c r="DS15" s="15">
        <f t="shared" si="51"/>
        <v>83.488424494470706</v>
      </c>
      <c r="DT15" s="15">
        <f t="shared" si="51"/>
        <v>82.653540249526003</v>
      </c>
      <c r="DU15" s="15">
        <f t="shared" si="51"/>
        <v>81.827004847030736</v>
      </c>
      <c r="DV15" s="15">
        <f t="shared" si="51"/>
        <v>81.008734798560425</v>
      </c>
      <c r="DW15" s="15">
        <f t="shared" si="51"/>
        <v>80.198647450574825</v>
      </c>
      <c r="DX15" s="15">
        <f t="shared" si="51"/>
        <v>79.396660976069072</v>
      </c>
      <c r="DY15" s="15">
        <f t="shared" si="51"/>
        <v>78.602694366308384</v>
      </c>
      <c r="DZ15" s="15">
        <f t="shared" si="51"/>
        <v>77.816667422645295</v>
      </c>
      <c r="EA15" s="15">
        <f t="shared" si="51"/>
        <v>77.038500748418841</v>
      </c>
      <c r="EB15" s="15">
        <f t="shared" si="51"/>
        <v>76.268115740934647</v>
      </c>
      <c r="EC15" s="15">
        <f t="shared" si="51"/>
        <v>75.5054345835253</v>
      </c>
      <c r="ED15" s="15">
        <f t="shared" si="51"/>
        <v>74.750380237690052</v>
      </c>
      <c r="EE15" s="15">
        <f t="shared" si="51"/>
        <v>74.002876435313155</v>
      </c>
      <c r="EF15" s="15">
        <f t="shared" si="51"/>
        <v>73.262847670960028</v>
      </c>
      <c r="EG15" s="15">
        <f t="shared" si="51"/>
        <v>72.530219194250421</v>
      </c>
      <c r="EH15" s="15">
        <f t="shared" si="51"/>
        <v>71.804917002307917</v>
      </c>
      <c r="EI15" s="15">
        <f t="shared" si="51"/>
        <v>71.086867832284838</v>
      </c>
      <c r="EJ15" s="15">
        <f t="shared" si="51"/>
        <v>70.375999153961985</v>
      </c>
      <c r="EK15" s="15">
        <f t="shared" si="51"/>
        <v>69.672239162422358</v>
      </c>
      <c r="EL15" s="15">
        <f t="shared" si="51"/>
        <v>68.975516770798137</v>
      </c>
      <c r="EM15" s="15">
        <f t="shared" si="51"/>
        <v>68.285761603090151</v>
      </c>
      <c r="EN15" s="15">
        <f t="shared" si="51"/>
        <v>67.60290398705925</v>
      </c>
      <c r="EO15" s="15">
        <f t="shared" si="51"/>
        <v>66.926874947188651</v>
      </c>
      <c r="EP15" s="15">
        <f t="shared" si="51"/>
        <v>66.257606197716768</v>
      </c>
      <c r="EQ15" s="15">
        <f t="shared" si="51"/>
        <v>65.595030135739606</v>
      </c>
      <c r="ER15" s="15">
        <f t="shared" si="51"/>
        <v>64.939079834382213</v>
      </c>
      <c r="ES15" s="15">
        <f t="shared" si="51"/>
        <v>64.289689036038396</v>
      </c>
      <c r="ET15" s="15">
        <f t="shared" si="51"/>
        <v>63.646792145678013</v>
      </c>
      <c r="EU15" s="15">
        <f t="shared" si="51"/>
        <v>63.010324224221236</v>
      </c>
      <c r="EV15" s="15">
        <f t="shared" si="51"/>
        <v>62.380220981979022</v>
      </c>
      <c r="EW15" s="15">
        <f t="shared" si="51"/>
        <v>61.756418772159229</v>
      </c>
      <c r="EX15" s="15">
        <f t="shared" si="51"/>
        <v>61.138854584437638</v>
      </c>
      <c r="EY15" s="15">
        <f t="shared" si="51"/>
        <v>60.527466038593261</v>
      </c>
      <c r="EZ15" s="15">
        <f t="shared" si="51"/>
        <v>59.92219137820733</v>
      </c>
      <c r="FA15" s="15">
        <f t="shared" si="51"/>
        <v>59.322969464425256</v>
      </c>
      <c r="FB15" s="15">
        <f t="shared" si="51"/>
        <v>58.729739769781006</v>
      </c>
      <c r="FC15" s="15">
        <f t="shared" si="51"/>
        <v>58.142442372083195</v>
      </c>
      <c r="FD15" s="15">
        <f t="shared" si="51"/>
        <v>57.561017948362363</v>
      </c>
      <c r="FE15" s="15">
        <f t="shared" si="51"/>
        <v>56.985407768878737</v>
      </c>
      <c r="FF15" s="15">
        <f t="shared" si="51"/>
        <v>56.415553691189949</v>
      </c>
      <c r="FG15" s="15">
        <f t="shared" si="51"/>
        <v>55.851398154278051</v>
      </c>
      <c r="FH15" s="15">
        <f t="shared" si="51"/>
        <v>55.29288417273527</v>
      </c>
      <c r="FI15" s="15">
        <f t="shared" si="51"/>
        <v>54.73995533100792</v>
      </c>
      <c r="FJ15" s="15">
        <f t="shared" si="51"/>
        <v>54.192555777697841</v>
      </c>
      <c r="FK15" s="15">
        <f t="shared" si="51"/>
        <v>53.650630219920863</v>
      </c>
      <c r="FL15" s="15">
        <f t="shared" si="51"/>
        <v>53.114123917721656</v>
      </c>
      <c r="FM15" s="15">
        <f t="shared" si="51"/>
        <v>52.58298267854444</v>
      </c>
      <c r="FN15" s="15">
        <f t="shared" si="51"/>
        <v>52.057152851758993</v>
      </c>
      <c r="FO15" s="15">
        <f t="shared" si="51"/>
        <v>51.5365813232414</v>
      </c>
      <c r="FP15" s="15">
        <f t="shared" si="51"/>
        <v>51.021215510008986</v>
      </c>
      <c r="FQ15" s="15">
        <f t="shared" si="51"/>
        <v>50.511003354908894</v>
      </c>
      <c r="FR15" s="15">
        <f t="shared" ref="FR15:IC15" si="52">FQ15*(1+$AV$21)</f>
        <v>50.005893321359807</v>
      </c>
      <c r="FS15" s="15">
        <f t="shared" si="52"/>
        <v>49.505834388146205</v>
      </c>
      <c r="FT15" s="15">
        <f t="shared" si="52"/>
        <v>49.010776044264745</v>
      </c>
      <c r="FU15" s="15">
        <f t="shared" si="52"/>
        <v>48.520668283822097</v>
      </c>
      <c r="FV15" s="15">
        <f t="shared" si="52"/>
        <v>48.035461600983872</v>
      </c>
      <c r="FW15" s="15">
        <f t="shared" si="52"/>
        <v>47.555106984974032</v>
      </c>
      <c r="FX15" s="15">
        <f t="shared" si="52"/>
        <v>47.079555915124288</v>
      </c>
      <c r="FY15" s="15">
        <f t="shared" si="52"/>
        <v>46.608760355973047</v>
      </c>
      <c r="FZ15" s="15">
        <f t="shared" si="52"/>
        <v>46.142672752413318</v>
      </c>
      <c r="GA15" s="15">
        <f t="shared" si="52"/>
        <v>45.681246024889184</v>
      </c>
      <c r="GB15" s="15">
        <f t="shared" si="52"/>
        <v>45.224433564640293</v>
      </c>
      <c r="GC15" s="15">
        <f t="shared" si="52"/>
        <v>44.772189228993888</v>
      </c>
      <c r="GD15" s="15">
        <f t="shared" si="52"/>
        <v>44.324467336703947</v>
      </c>
      <c r="GE15" s="15">
        <f t="shared" si="52"/>
        <v>43.881222663336906</v>
      </c>
      <c r="GF15" s="15">
        <f t="shared" si="52"/>
        <v>43.44241043670354</v>
      </c>
      <c r="GG15" s="15">
        <f t="shared" si="52"/>
        <v>43.007986332336507</v>
      </c>
      <c r="GH15" s="15">
        <f t="shared" si="52"/>
        <v>42.577906469013143</v>
      </c>
      <c r="GI15" s="15">
        <f t="shared" si="52"/>
        <v>42.152127404323011</v>
      </c>
      <c r="GJ15" s="15">
        <f t="shared" si="52"/>
        <v>41.730606130279781</v>
      </c>
      <c r="GK15" s="15">
        <f t="shared" si="52"/>
        <v>41.313300068976986</v>
      </c>
      <c r="GL15" s="15">
        <f t="shared" si="52"/>
        <v>40.900167068287217</v>
      </c>
      <c r="GM15" s="15">
        <f t="shared" si="52"/>
        <v>40.491165397604348</v>
      </c>
      <c r="GN15" s="15">
        <f t="shared" si="52"/>
        <v>40.086253743628305</v>
      </c>
      <c r="GO15" s="15">
        <f t="shared" si="52"/>
        <v>39.685391206192023</v>
      </c>
      <c r="GP15" s="15">
        <f t="shared" si="52"/>
        <v>39.288537294130101</v>
      </c>
      <c r="GQ15" s="15">
        <f t="shared" si="52"/>
        <v>38.895651921188801</v>
      </c>
      <c r="GR15" s="15">
        <f t="shared" si="52"/>
        <v>38.506695401976913</v>
      </c>
      <c r="GS15" s="15">
        <f t="shared" si="52"/>
        <v>38.121628447957143</v>
      </c>
      <c r="GT15" s="15">
        <f t="shared" si="52"/>
        <v>37.740412163477572</v>
      </c>
      <c r="GU15" s="15">
        <f t="shared" si="52"/>
        <v>37.363008041842797</v>
      </c>
      <c r="GV15" s="15">
        <f t="shared" si="52"/>
        <v>36.989377961424367</v>
      </c>
      <c r="GW15" s="15">
        <f t="shared" si="52"/>
        <v>36.619484181810122</v>
      </c>
      <c r="GX15" s="15">
        <f t="shared" si="52"/>
        <v>36.253289339992023</v>
      </c>
      <c r="GY15" s="15">
        <f t="shared" si="52"/>
        <v>35.8907564465921</v>
      </c>
      <c r="GZ15" s="15">
        <f t="shared" si="52"/>
        <v>35.531848882126177</v>
      </c>
      <c r="HA15" s="15">
        <f t="shared" si="52"/>
        <v>35.176530393304915</v>
      </c>
      <c r="HB15" s="15">
        <f t="shared" si="52"/>
        <v>34.824765089371866</v>
      </c>
      <c r="HC15" s="15">
        <f t="shared" si="52"/>
        <v>34.476517438478147</v>
      </c>
      <c r="HD15" s="15">
        <f t="shared" si="52"/>
        <v>34.131752264093365</v>
      </c>
      <c r="HE15" s="15">
        <f t="shared" si="52"/>
        <v>33.79043474145243</v>
      </c>
      <c r="HF15" s="15">
        <f t="shared" si="52"/>
        <v>33.452530394037908</v>
      </c>
      <c r="HG15" s="15">
        <f t="shared" si="52"/>
        <v>33.118005090097526</v>
      </c>
      <c r="HH15" s="15">
        <f t="shared" si="52"/>
        <v>32.78682503919655</v>
      </c>
      <c r="HI15" s="15">
        <f t="shared" si="52"/>
        <v>32.458956788804585</v>
      </c>
      <c r="HJ15" s="15">
        <f t="shared" si="52"/>
        <v>32.134367220916538</v>
      </c>
      <c r="HK15" s="15">
        <f t="shared" si="52"/>
        <v>31.81302354870737</v>
      </c>
      <c r="HL15" s="15">
        <f t="shared" si="52"/>
        <v>31.494893313220295</v>
      </c>
      <c r="HM15" s="15">
        <f t="shared" si="52"/>
        <v>31.179944380088092</v>
      </c>
      <c r="HN15" s="15">
        <f t="shared" si="52"/>
        <v>30.868144936287209</v>
      </c>
      <c r="HO15" s="15">
        <f t="shared" si="52"/>
        <v>30.559463486924336</v>
      </c>
      <c r="HP15" s="15">
        <f t="shared" si="52"/>
        <v>30.253868852055092</v>
      </c>
      <c r="HQ15" s="15">
        <f t="shared" si="52"/>
        <v>29.951330163534539</v>
      </c>
      <c r="HR15" s="15">
        <f t="shared" si="52"/>
        <v>29.651816861899192</v>
      </c>
      <c r="HS15" s="15">
        <f t="shared" si="52"/>
        <v>29.355298693280201</v>
      </c>
      <c r="HT15" s="15">
        <f t="shared" si="52"/>
        <v>29.061745706347399</v>
      </c>
      <c r="HU15" s="15">
        <f t="shared" si="52"/>
        <v>28.771128249283926</v>
      </c>
      <c r="HV15" s="15">
        <f t="shared" si="52"/>
        <v>28.483416966791086</v>
      </c>
      <c r="HW15" s="15">
        <f t="shared" si="52"/>
        <v>28.198582797123176</v>
      </c>
      <c r="HX15" s="15">
        <f t="shared" si="52"/>
        <v>27.916596969151943</v>
      </c>
      <c r="HY15" s="15">
        <f t="shared" si="52"/>
        <v>27.637430999460424</v>
      </c>
      <c r="HZ15" s="15">
        <f t="shared" si="52"/>
        <v>27.361056689465819</v>
      </c>
      <c r="IA15" s="15">
        <f t="shared" si="52"/>
        <v>27.087446122571162</v>
      </c>
      <c r="IB15" s="15">
        <f t="shared" si="52"/>
        <v>26.816571661345449</v>
      </c>
      <c r="IC15" s="15">
        <f t="shared" si="52"/>
        <v>26.548405944731993</v>
      </c>
      <c r="ID15" s="15">
        <f t="shared" ref="ID15:KE15" si="53">IC15*(1+$AV$21)</f>
        <v>26.282921885284672</v>
      </c>
      <c r="IE15" s="15">
        <f t="shared" si="53"/>
        <v>26.020092666431825</v>
      </c>
      <c r="IF15" s="15">
        <f t="shared" si="53"/>
        <v>25.759891739767507</v>
      </c>
      <c r="IG15" s="15">
        <f t="shared" si="53"/>
        <v>25.502292822369832</v>
      </c>
      <c r="IH15" s="15">
        <f t="shared" si="53"/>
        <v>25.247269894146132</v>
      </c>
      <c r="II15" s="15">
        <f t="shared" si="53"/>
        <v>24.994797195204672</v>
      </c>
      <c r="IJ15" s="15">
        <f t="shared" si="53"/>
        <v>24.744849223252626</v>
      </c>
      <c r="IK15" s="15">
        <f t="shared" si="53"/>
        <v>24.4974007310201</v>
      </c>
      <c r="IL15" s="15">
        <f t="shared" si="53"/>
        <v>24.252426723709899</v>
      </c>
      <c r="IM15" s="15">
        <f t="shared" si="53"/>
        <v>24.009902456472801</v>
      </c>
      <c r="IN15" s="15">
        <f t="shared" si="53"/>
        <v>23.769803431908073</v>
      </c>
      <c r="IO15" s="15">
        <f t="shared" si="53"/>
        <v>23.532105397588992</v>
      </c>
      <c r="IP15" s="15">
        <f t="shared" si="53"/>
        <v>23.296784343613101</v>
      </c>
      <c r="IQ15" s="15">
        <f t="shared" si="53"/>
        <v>23.063816500176969</v>
      </c>
      <c r="IR15" s="15">
        <f t="shared" si="53"/>
        <v>22.833178335175198</v>
      </c>
      <c r="IS15" s="15">
        <f t="shared" si="53"/>
        <v>22.604846551823446</v>
      </c>
      <c r="IT15" s="15">
        <f t="shared" si="53"/>
        <v>22.37879808630521</v>
      </c>
      <c r="IU15" s="15">
        <f t="shared" si="53"/>
        <v>22.155010105442159</v>
      </c>
      <c r="IV15" s="15">
        <f t="shared" si="53"/>
        <v>21.933460004387737</v>
      </c>
      <c r="IW15" s="15">
        <f t="shared" si="53"/>
        <v>21.714125404343861</v>
      </c>
      <c r="IX15" s="15">
        <f t="shared" si="53"/>
        <v>21.49698415030042</v>
      </c>
      <c r="IY15" s="15">
        <f t="shared" si="53"/>
        <v>21.282014308797415</v>
      </c>
      <c r="IZ15" s="15">
        <f t="shared" si="53"/>
        <v>21.06919416570944</v>
      </c>
      <c r="JA15" s="15">
        <f t="shared" si="53"/>
        <v>20.858502224052344</v>
      </c>
      <c r="JB15" s="15">
        <f t="shared" si="53"/>
        <v>20.649917201811821</v>
      </c>
      <c r="JC15" s="15">
        <f t="shared" si="53"/>
        <v>20.443418029793701</v>
      </c>
      <c r="JD15" s="15">
        <f t="shared" si="53"/>
        <v>20.238983849495764</v>
      </c>
      <c r="JE15" s="15">
        <f t="shared" si="53"/>
        <v>20.036594011000805</v>
      </c>
      <c r="JF15" s="15">
        <f t="shared" si="53"/>
        <v>19.836228070890797</v>
      </c>
      <c r="JG15" s="15">
        <f t="shared" si="53"/>
        <v>19.637865790181888</v>
      </c>
      <c r="JH15" s="15">
        <f t="shared" si="53"/>
        <v>19.44148713228007</v>
      </c>
      <c r="JI15" s="15">
        <f t="shared" si="53"/>
        <v>19.247072260957268</v>
      </c>
      <c r="JJ15" s="15">
        <f t="shared" si="53"/>
        <v>19.054601538347693</v>
      </c>
      <c r="JK15" s="15">
        <f t="shared" si="53"/>
        <v>18.864055522964215</v>
      </c>
      <c r="JL15" s="15">
        <f t="shared" si="53"/>
        <v>18.675414967734572</v>
      </c>
      <c r="JM15" s="15">
        <f t="shared" si="53"/>
        <v>18.488660818057227</v>
      </c>
      <c r="JN15" s="15">
        <f t="shared" si="53"/>
        <v>18.303774209876654</v>
      </c>
      <c r="JO15" s="15">
        <f t="shared" si="53"/>
        <v>18.120736467777888</v>
      </c>
      <c r="JP15" s="15">
        <f t="shared" si="53"/>
        <v>17.93952910310011</v>
      </c>
      <c r="JQ15" s="15">
        <f t="shared" si="53"/>
        <v>17.76013381206911</v>
      </c>
      <c r="JR15" s="15">
        <f t="shared" si="53"/>
        <v>17.582532473948419</v>
      </c>
      <c r="JS15" s="15">
        <f t="shared" si="53"/>
        <v>17.406707149208934</v>
      </c>
      <c r="JT15" s="15">
        <f t="shared" si="53"/>
        <v>17.232640077716844</v>
      </c>
      <c r="JU15" s="15">
        <f t="shared" si="53"/>
        <v>17.060313676939675</v>
      </c>
      <c r="JV15" s="15">
        <f t="shared" si="53"/>
        <v>16.889710540170277</v>
      </c>
      <c r="JW15" s="15">
        <f t="shared" si="53"/>
        <v>16.720813434768573</v>
      </c>
      <c r="JX15" s="15">
        <f t="shared" si="53"/>
        <v>16.553605300420887</v>
      </c>
      <c r="JY15" s="15">
        <f t="shared" si="53"/>
        <v>16.388069247416677</v>
      </c>
      <c r="JZ15" s="15">
        <f t="shared" si="53"/>
        <v>16.224188554942511</v>
      </c>
      <c r="KA15" s="15">
        <f t="shared" si="53"/>
        <v>16.061946669393087</v>
      </c>
      <c r="KB15" s="15">
        <f t="shared" si="53"/>
        <v>15.901327202699157</v>
      </c>
      <c r="KC15" s="15">
        <f t="shared" si="53"/>
        <v>15.742313930672166</v>
      </c>
      <c r="KD15" s="15">
        <f t="shared" si="53"/>
        <v>15.584890791365444</v>
      </c>
      <c r="KE15" s="15">
        <f t="shared" si="53"/>
        <v>15.42904188345179</v>
      </c>
    </row>
    <row r="16" spans="1:291" x14ac:dyDescent="0.25">
      <c r="B16" s="12" t="s">
        <v>14</v>
      </c>
      <c r="C16" s="18">
        <v>119.1</v>
      </c>
      <c r="D16" s="18">
        <v>117.1</v>
      </c>
      <c r="E16" s="18">
        <v>115</v>
      </c>
      <c r="F16" s="18">
        <v>113.3</v>
      </c>
      <c r="G16" s="18">
        <v>113.1</v>
      </c>
      <c r="H16" s="18">
        <v>111.1</v>
      </c>
      <c r="I16" s="18">
        <v>107.2</v>
      </c>
      <c r="J16" s="18">
        <v>105.2</v>
      </c>
      <c r="K16" s="18">
        <v>104.3</v>
      </c>
      <c r="L16" s="18">
        <v>105.1</v>
      </c>
      <c r="M16" s="18">
        <v>105.3</v>
      </c>
      <c r="N16" s="18">
        <v>105.2</v>
      </c>
      <c r="O16" s="7">
        <v>105</v>
      </c>
      <c r="P16" s="7">
        <v>105.2</v>
      </c>
      <c r="Q16" s="7">
        <v>104.4</v>
      </c>
      <c r="R16" s="7">
        <v>100.6</v>
      </c>
      <c r="S16" s="7">
        <v>97.2</v>
      </c>
      <c r="T16" s="7">
        <v>95.1</v>
      </c>
      <c r="U16" s="7">
        <v>94.7</v>
      </c>
      <c r="V16" s="7">
        <v>94.9</v>
      </c>
      <c r="W16" s="7">
        <v>95.1</v>
      </c>
      <c r="X16" s="7">
        <f>T16</f>
        <v>95.1</v>
      </c>
      <c r="Y16" s="7">
        <f t="shared" ref="Y16:Z16" si="54">U16</f>
        <v>94.7</v>
      </c>
      <c r="Z16" s="7">
        <f t="shared" si="54"/>
        <v>94.9</v>
      </c>
      <c r="AI16" s="7">
        <f>F16</f>
        <v>113.3</v>
      </c>
      <c r="AJ16" s="7">
        <f>J16</f>
        <v>105.2</v>
      </c>
      <c r="AK16" s="7">
        <f>N16</f>
        <v>105.2</v>
      </c>
      <c r="AL16" s="7">
        <f>R16</f>
        <v>100.6</v>
      </c>
      <c r="AM16" s="7">
        <f>V16</f>
        <v>94.9</v>
      </c>
      <c r="AN16" s="7">
        <f>Z16</f>
        <v>94.9</v>
      </c>
      <c r="AO16" s="7">
        <f>AN16*0.99</f>
        <v>93.951000000000008</v>
      </c>
      <c r="AP16" s="7">
        <f t="shared" ref="AP16:AR16" si="55">AO16*0.99</f>
        <v>93.011490000000009</v>
      </c>
      <c r="AQ16" s="7">
        <f t="shared" si="55"/>
        <v>92.081375100000002</v>
      </c>
      <c r="AR16" s="7">
        <f t="shared" si="55"/>
        <v>91.160561349000005</v>
      </c>
    </row>
    <row r="17" spans="2:48" x14ac:dyDescent="0.25">
      <c r="B17" s="12" t="s">
        <v>15</v>
      </c>
      <c r="C17" s="13">
        <f t="shared" ref="C17:N17" si="56">C15/C16</f>
        <v>1.8639798488664989</v>
      </c>
      <c r="D17" s="13">
        <f t="shared" si="56"/>
        <v>1.1528608027327072</v>
      </c>
      <c r="E17" s="13">
        <f t="shared" si="56"/>
        <v>1.5304347826086957</v>
      </c>
      <c r="F17" s="13">
        <f t="shared" si="56"/>
        <v>1.9682259488084732</v>
      </c>
      <c r="G17" s="13">
        <f t="shared" si="56"/>
        <v>1.9186560565870912</v>
      </c>
      <c r="H17" s="13">
        <f t="shared" si="56"/>
        <v>1.0801080108010801</v>
      </c>
      <c r="I17" s="13">
        <f t="shared" si="56"/>
        <v>1.585820895522388</v>
      </c>
      <c r="J17" s="13">
        <f t="shared" si="56"/>
        <v>2.167300380228137</v>
      </c>
      <c r="K17" s="13">
        <f t="shared" si="56"/>
        <v>-0.50814956855225313</v>
      </c>
      <c r="L17" s="13">
        <f t="shared" si="56"/>
        <v>1.2083729781160799</v>
      </c>
      <c r="M17" s="13">
        <f t="shared" si="56"/>
        <v>2.9724596391263058</v>
      </c>
      <c r="N17" s="13">
        <f t="shared" si="56"/>
        <v>2.1482889733840302</v>
      </c>
      <c r="O17" s="13">
        <f t="shared" ref="O17:Y17" si="57">O15/O16</f>
        <v>2.3904761904761904</v>
      </c>
      <c r="P17" s="13">
        <f t="shared" si="57"/>
        <v>4.8859315589353614</v>
      </c>
      <c r="Q17" s="13">
        <f t="shared" si="57"/>
        <v>2.5287356321839081</v>
      </c>
      <c r="R17" s="13">
        <f t="shared" si="57"/>
        <v>2.3061630218687874</v>
      </c>
      <c r="S17" s="13">
        <f t="shared" si="57"/>
        <v>1.9753086419753085</v>
      </c>
      <c r="T17" s="13">
        <f t="shared" si="57"/>
        <v>1.6508937960042063</v>
      </c>
      <c r="U17" s="13">
        <f t="shared" si="57"/>
        <v>1.7740232312565998</v>
      </c>
      <c r="V17" s="13">
        <f t="shared" si="57"/>
        <v>1.5489989462592202</v>
      </c>
      <c r="W17" s="13">
        <f t="shared" si="57"/>
        <v>1.3249211356466877</v>
      </c>
      <c r="X17" s="13">
        <f t="shared" si="57"/>
        <v>0.83892744479495318</v>
      </c>
      <c r="Y17" s="13">
        <f t="shared" si="57"/>
        <v>0.74699049630411829</v>
      </c>
      <c r="Z17" s="13">
        <f>Z15/Z16</f>
        <v>0.72834562697576455</v>
      </c>
      <c r="AA17" s="13"/>
      <c r="AB17" s="13"/>
      <c r="AC17" s="13"/>
      <c r="AD17" s="13"/>
      <c r="AE17" s="13"/>
      <c r="AF17" s="13"/>
      <c r="AG17" s="13"/>
      <c r="AI17" s="13">
        <f t="shared" ref="AI17:AK17" si="58">AI15/AI16</f>
        <v>6.5842894969108565</v>
      </c>
      <c r="AJ17" s="13">
        <f t="shared" si="58"/>
        <v>6.7585551330798479</v>
      </c>
      <c r="AK17" s="13">
        <f t="shared" si="58"/>
        <v>2.0627376425855513</v>
      </c>
      <c r="AL17" s="13">
        <f t="shared" ref="AL17:AR17" si="59">AL15/AL16</f>
        <v>4.7614314115308156</v>
      </c>
      <c r="AM17" s="13">
        <f t="shared" si="59"/>
        <v>7.7555321390937824</v>
      </c>
      <c r="AN17" s="13">
        <f t="shared" si="59"/>
        <v>3.9140358271865132</v>
      </c>
      <c r="AO17" s="13">
        <f t="shared" si="59"/>
        <v>2.4175738416834327</v>
      </c>
      <c r="AP17" s="13">
        <f t="shared" si="59"/>
        <v>1.9465543902156637</v>
      </c>
      <c r="AQ17" s="13">
        <f t="shared" si="59"/>
        <v>1.9858787213311293</v>
      </c>
      <c r="AR17" s="13">
        <f t="shared" si="59"/>
        <v>2.0259974833782315</v>
      </c>
    </row>
    <row r="18" spans="2:48" x14ac:dyDescent="0.25">
      <c r="J18" s="18"/>
      <c r="AJ18" s="24"/>
      <c r="AO18" s="13"/>
    </row>
    <row r="19" spans="2:48" x14ac:dyDescent="0.25">
      <c r="B19" s="12" t="s">
        <v>37</v>
      </c>
      <c r="G19" s="24">
        <f t="shared" ref="G19:P21" si="60">G5/C5-1</f>
        <v>2.6172839506172885E-2</v>
      </c>
      <c r="H19" s="24">
        <f t="shared" si="60"/>
        <v>-4.4893378226711356E-3</v>
      </c>
      <c r="I19" s="24">
        <f t="shared" si="60"/>
        <v>3.8709677419354938E-2</v>
      </c>
      <c r="J19" s="24">
        <f t="shared" si="60"/>
        <v>-2.2447183098591506E-2</v>
      </c>
      <c r="K19" s="24">
        <f t="shared" si="60"/>
        <v>-0.43407122232916262</v>
      </c>
      <c r="L19" s="24">
        <f t="shared" si="60"/>
        <v>0.17080045095828633</v>
      </c>
      <c r="M19" s="24">
        <f t="shared" si="60"/>
        <v>9.0062111801242128E-2</v>
      </c>
      <c r="N19" s="24">
        <f t="shared" si="60"/>
        <v>-1.4407924358397106E-2</v>
      </c>
      <c r="O19" s="24">
        <f t="shared" si="60"/>
        <v>0.83078231292517013</v>
      </c>
      <c r="P19" s="24">
        <f t="shared" si="60"/>
        <v>9.5329802599903646E-2</v>
      </c>
      <c r="Q19" s="24">
        <f t="shared" ref="Q19:Z21" si="61">Q5/M5-1</f>
        <v>3.9411206077872851E-2</v>
      </c>
      <c r="R19" s="24">
        <f t="shared" si="61"/>
        <v>7.0808588396528149E-2</v>
      </c>
      <c r="S19" s="24">
        <f t="shared" si="61"/>
        <v>1.1611704598235129E-2</v>
      </c>
      <c r="T19" s="24">
        <f t="shared" si="61"/>
        <v>-9.2307692307692313E-2</v>
      </c>
      <c r="U19" s="24">
        <f t="shared" si="61"/>
        <v>-7.3092736409319237E-3</v>
      </c>
      <c r="V19" s="24">
        <f t="shared" si="61"/>
        <v>-2.9863481228669109E-3</v>
      </c>
      <c r="W19" s="24">
        <f t="shared" si="61"/>
        <v>-0.1134067952249771</v>
      </c>
      <c r="X19" s="24">
        <f t="shared" si="61"/>
        <v>-6.9999999999999951E-2</v>
      </c>
      <c r="Y19" s="24">
        <f t="shared" si="61"/>
        <v>-7.999999999999996E-2</v>
      </c>
      <c r="Z19" s="24">
        <f t="shared" si="61"/>
        <v>-6.1206675224646956E-2</v>
      </c>
      <c r="AA19" s="24"/>
      <c r="AB19" s="24"/>
      <c r="AC19" s="24"/>
      <c r="AD19" s="24"/>
      <c r="AE19" s="24"/>
      <c r="AF19" s="24"/>
      <c r="AG19" s="24"/>
      <c r="AJ19" s="24">
        <f t="shared" ref="AJ19:AL19" si="62">AJ5/AI5-1</f>
        <v>8.3133895956668535E-3</v>
      </c>
      <c r="AK19" s="24">
        <f t="shared" si="62"/>
        <v>-5.7089319175515296E-2</v>
      </c>
      <c r="AL19" s="24">
        <f t="shared" si="62"/>
        <v>0.18720190779014301</v>
      </c>
      <c r="AM19" s="24">
        <f t="shared" ref="AM19:AR20" si="63">AM5/AL5-1</f>
        <v>-2.3211695123312115E-2</v>
      </c>
      <c r="AN19" s="24">
        <f t="shared" si="63"/>
        <v>-8.0935679195704324E-2</v>
      </c>
      <c r="AO19" s="24">
        <f t="shared" si="63"/>
        <v>2.0000000000000018E-2</v>
      </c>
      <c r="AP19" s="24">
        <f t="shared" si="63"/>
        <v>4.0000000000000036E-2</v>
      </c>
      <c r="AQ19" s="24">
        <f t="shared" si="63"/>
        <v>1.0000000000000009E-2</v>
      </c>
      <c r="AR19" s="24">
        <f t="shared" si="63"/>
        <v>1.0000000000000009E-2</v>
      </c>
    </row>
    <row r="20" spans="2:48" x14ac:dyDescent="0.25">
      <c r="B20" s="12" t="s">
        <v>60</v>
      </c>
      <c r="G20" s="24">
        <f t="shared" si="60"/>
        <v>2.207505518763786E-2</v>
      </c>
      <c r="H20" s="24">
        <f t="shared" si="60"/>
        <v>-2.4135156878519748E-3</v>
      </c>
      <c r="I20" s="24">
        <f t="shared" si="60"/>
        <v>3.1446540880503138E-2</v>
      </c>
      <c r="J20" s="24">
        <f t="shared" si="60"/>
        <v>-1.0409889394925154E-2</v>
      </c>
      <c r="K20" s="24">
        <f t="shared" si="60"/>
        <v>-0.34845212383009361</v>
      </c>
      <c r="L20" s="24">
        <f t="shared" si="60"/>
        <v>0.24112903225806459</v>
      </c>
      <c r="M20" s="24">
        <f t="shared" si="60"/>
        <v>0.10975609756097571</v>
      </c>
      <c r="N20" s="24">
        <f t="shared" si="60"/>
        <v>-3.6817882971729166E-2</v>
      </c>
      <c r="O20" s="24">
        <f t="shared" si="60"/>
        <v>0.55138121546961316</v>
      </c>
      <c r="P20" s="24">
        <f t="shared" si="60"/>
        <v>-4.028589993502274E-2</v>
      </c>
      <c r="Q20" s="24">
        <f t="shared" si="61"/>
        <v>-1.8543956043956089E-2</v>
      </c>
      <c r="R20" s="24">
        <f t="shared" si="61"/>
        <v>7.0307167235494905E-2</v>
      </c>
      <c r="S20" s="24">
        <f t="shared" si="61"/>
        <v>2.2079772079772075E-2</v>
      </c>
      <c r="T20" s="24">
        <f t="shared" si="61"/>
        <v>-4.4685172647257909E-2</v>
      </c>
      <c r="U20" s="24">
        <f t="shared" si="61"/>
        <v>3.358992302309316E-2</v>
      </c>
      <c r="V20" s="24">
        <f t="shared" si="61"/>
        <v>4.081632653061229E-2</v>
      </c>
      <c r="W20" s="24">
        <f t="shared" si="61"/>
        <v>-5.9930313588850148E-2</v>
      </c>
      <c r="X20" s="24">
        <f t="shared" si="61"/>
        <v>-2.0000000000000018E-2</v>
      </c>
      <c r="Y20" s="24">
        <f t="shared" si="61"/>
        <v>-2.0000000000000018E-2</v>
      </c>
      <c r="Z20" s="24">
        <f t="shared" si="61"/>
        <v>-2.0000000000000018E-2</v>
      </c>
      <c r="AA20" s="24"/>
      <c r="AB20" s="24"/>
      <c r="AC20" s="24"/>
      <c r="AD20" s="24"/>
      <c r="AE20" s="24"/>
      <c r="AF20" s="24"/>
      <c r="AG20" s="24"/>
      <c r="AJ20" s="24">
        <f t="shared" ref="AJ20:AL20" si="64">AJ6/AI6-1</f>
        <v>9.4252448715579362E-3</v>
      </c>
      <c r="AK20" s="24">
        <f t="shared" si="64"/>
        <v>-1.7759062614426946E-2</v>
      </c>
      <c r="AL20" s="24">
        <f t="shared" si="64"/>
        <v>9.5619757688723217E-2</v>
      </c>
      <c r="AM20" s="24">
        <f t="shared" si="63"/>
        <v>1.3099693773392262E-2</v>
      </c>
      <c r="AN20" s="24">
        <f t="shared" si="63"/>
        <v>-2.9622166246851434E-2</v>
      </c>
      <c r="AO20" s="24">
        <f t="shared" si="63"/>
        <v>5.0000000000000044E-2</v>
      </c>
      <c r="AP20" s="24">
        <f t="shared" si="63"/>
        <v>5.0000000000000044E-2</v>
      </c>
      <c r="AQ20" s="24">
        <f t="shared" si="63"/>
        <v>1.0000000000000009E-2</v>
      </c>
      <c r="AR20" s="24">
        <f t="shared" si="63"/>
        <v>1.0000000000000009E-2</v>
      </c>
    </row>
    <row r="21" spans="2:48" x14ac:dyDescent="0.25">
      <c r="B21" s="12" t="s">
        <v>38</v>
      </c>
      <c r="G21" s="24">
        <f t="shared" si="60"/>
        <v>3.4534534534534478E-2</v>
      </c>
      <c r="H21" s="24">
        <f t="shared" si="60"/>
        <v>-9.27643784786647E-3</v>
      </c>
      <c r="I21" s="24">
        <f t="shared" si="60"/>
        <v>5.4421768707483054E-2</v>
      </c>
      <c r="J21" s="24">
        <f t="shared" si="60"/>
        <v>-4.7619047619047672E-2</v>
      </c>
      <c r="K21" s="24">
        <f t="shared" si="60"/>
        <v>-0.60667634252539915</v>
      </c>
      <c r="L21" s="24">
        <f t="shared" si="60"/>
        <v>7.4906367041198685E-3</v>
      </c>
      <c r="M21" s="24">
        <f t="shared" si="60"/>
        <v>4.8387096774193505E-2</v>
      </c>
      <c r="N21" s="24">
        <f t="shared" si="60"/>
        <v>3.4285714285714253E-2</v>
      </c>
      <c r="O21" s="24">
        <f t="shared" si="60"/>
        <v>1.7638376383763839</v>
      </c>
      <c r="P21" s="24">
        <f t="shared" si="60"/>
        <v>0.48327137546468402</v>
      </c>
      <c r="Q21" s="24">
        <f t="shared" si="61"/>
        <v>0.1692307692307693</v>
      </c>
      <c r="R21" s="24">
        <f t="shared" si="61"/>
        <v>7.182320441988943E-2</v>
      </c>
      <c r="S21" s="24">
        <f t="shared" si="61"/>
        <v>-8.0106809078771546E-3</v>
      </c>
      <c r="T21" s="24">
        <f t="shared" si="61"/>
        <v>-0.18045112781954886</v>
      </c>
      <c r="U21" s="24">
        <f t="shared" si="61"/>
        <v>-8.4210526315789513E-2</v>
      </c>
      <c r="V21" s="24">
        <f t="shared" si="61"/>
        <v>-9.149484536082475E-2</v>
      </c>
      <c r="W21" s="24">
        <f t="shared" si="61"/>
        <v>-0.21668909825033644</v>
      </c>
      <c r="X21" s="24">
        <f t="shared" si="61"/>
        <v>-0.17787461773700297</v>
      </c>
      <c r="Y21" s="24">
        <f t="shared" si="61"/>
        <v>-0.20732758620689651</v>
      </c>
      <c r="Z21" s="24">
        <f t="shared" si="61"/>
        <v>-0.15659574468085091</v>
      </c>
      <c r="AA21" s="24"/>
      <c r="AB21" s="24"/>
      <c r="AC21" s="24"/>
      <c r="AD21" s="24"/>
      <c r="AE21" s="24"/>
      <c r="AF21" s="24"/>
      <c r="AG21" s="24"/>
      <c r="AJ21" s="24">
        <f t="shared" ref="AJ21:AL21" si="65">AJ7/AI7-1</f>
        <v>5.9335443037975555E-3</v>
      </c>
      <c r="AK21" s="24">
        <f t="shared" si="65"/>
        <v>-0.14156508061344864</v>
      </c>
      <c r="AL21" s="24">
        <f t="shared" si="65"/>
        <v>0.41227668346312418</v>
      </c>
      <c r="AM21" s="24">
        <f t="shared" ref="AM21:AR21" si="66">AM7/AL7-1</f>
        <v>-9.2442426208238726E-2</v>
      </c>
      <c r="AN21" s="24">
        <f t="shared" si="66"/>
        <v>-0.1901465332380271</v>
      </c>
      <c r="AO21" s="24">
        <f t="shared" si="66"/>
        <v>-5.650498462027298E-2</v>
      </c>
      <c r="AP21" s="24">
        <f t="shared" si="66"/>
        <v>1.1619622594064571E-2</v>
      </c>
      <c r="AQ21" s="24">
        <f t="shared" si="66"/>
        <v>1.0000000000000009E-2</v>
      </c>
      <c r="AR21" s="24">
        <f t="shared" si="66"/>
        <v>1.0000000000000453E-2</v>
      </c>
      <c r="AU21" s="17" t="s">
        <v>51</v>
      </c>
      <c r="AV21" s="23">
        <v>-0.01</v>
      </c>
    </row>
    <row r="22" spans="2:48" x14ac:dyDescent="0.25">
      <c r="B22" s="12" t="s">
        <v>39</v>
      </c>
      <c r="G22" s="24">
        <f>G9/C9-1</f>
        <v>8.0519480519480435E-2</v>
      </c>
      <c r="H22" s="24">
        <f t="shared" ref="H22:H23" si="67">H9/D9-1</f>
        <v>3.4210526315789469E-2</v>
      </c>
      <c r="I22" s="24">
        <f t="shared" ref="I22:I23" si="68">I9/E9-1</f>
        <v>3.2663316582914659E-2</v>
      </c>
      <c r="J22" s="24">
        <f t="shared" ref="J22:J23" si="69">J9/F9-1</f>
        <v>-4.656319290465627E-2</v>
      </c>
      <c r="K22" s="24">
        <f t="shared" ref="K22:K23" si="70">K9/G9-1</f>
        <v>-0.24038461538461542</v>
      </c>
      <c r="L22" s="24">
        <f t="shared" ref="L22:L23" si="71">L9/H9-1</f>
        <v>-1.5267175572519109E-2</v>
      </c>
      <c r="M22" s="24">
        <f t="shared" ref="M22:M23" si="72">M9/I9-1</f>
        <v>3.1630170316301776E-2</v>
      </c>
      <c r="N22" s="24">
        <f t="shared" ref="N22:N23" si="73">N9/J9-1</f>
        <v>6.9767441860465018E-2</v>
      </c>
      <c r="O22" s="24">
        <f t="shared" ref="O22:O23" si="74">O9/K9-1</f>
        <v>0.32278481012658222</v>
      </c>
      <c r="P22" s="24">
        <f t="shared" ref="P22:P23" si="75">P9/L9-1</f>
        <v>0.16279069767441867</v>
      </c>
      <c r="Q22" s="24">
        <f t="shared" ref="Q22:Q23" si="76">Q9/M9-1</f>
        <v>8.0188679245283057E-2</v>
      </c>
      <c r="R22" s="24">
        <f t="shared" ref="R22:R23" si="77">R9/N9-1</f>
        <v>0.14130434782608692</v>
      </c>
      <c r="S22" s="24">
        <f t="shared" ref="S22:Z23" si="78">S9/O9-1</f>
        <v>0.10765550239234445</v>
      </c>
      <c r="T22" s="24">
        <f t="shared" si="78"/>
        <v>4.4444444444444731E-3</v>
      </c>
      <c r="U22" s="24">
        <f t="shared" si="78"/>
        <v>1.9650655021834051E-2</v>
      </c>
      <c r="V22" s="24">
        <f t="shared" si="78"/>
        <v>-7.6190476190476364E-3</v>
      </c>
      <c r="W22" s="24">
        <f>W9/S9-1</f>
        <v>-6.9114470842332576E-2</v>
      </c>
      <c r="X22" s="24">
        <f t="shared" si="78"/>
        <v>-9.9999999999999978E-2</v>
      </c>
      <c r="Y22" s="24">
        <f t="shared" si="78"/>
        <v>-9.9999999999999978E-2</v>
      </c>
      <c r="Z22" s="24">
        <f t="shared" si="78"/>
        <v>-9.9999999999999978E-2</v>
      </c>
      <c r="AA22" s="24"/>
      <c r="AB22" s="24"/>
      <c r="AC22" s="24"/>
      <c r="AD22" s="24"/>
      <c r="AE22" s="24"/>
      <c r="AF22" s="24"/>
      <c r="AG22" s="24"/>
      <c r="AJ22" s="24">
        <f t="shared" ref="AJ22:AJ23" si="79">AJ9/AI9-1</f>
        <v>2.2304832713754719E-2</v>
      </c>
      <c r="AK22" s="24">
        <f t="shared" ref="AK22:AK23" si="80">AK9/AJ9-1</f>
        <v>-3.8181818181818206E-2</v>
      </c>
      <c r="AL22" s="24">
        <f t="shared" ref="AL22:AL23" si="81">AL9/AK9-1</f>
        <v>0.16635160680529304</v>
      </c>
      <c r="AM22" s="24">
        <f t="shared" ref="AM22:AR23" si="82">AM9/AL9-1</f>
        <v>2.8092922744462401E-2</v>
      </c>
      <c r="AN22" s="24">
        <f t="shared" si="82"/>
        <v>-9.2485549132947931E-2</v>
      </c>
      <c r="AO22" s="24">
        <f t="shared" si="82"/>
        <v>5.0000000000000044E-2</v>
      </c>
      <c r="AP22" s="24">
        <f t="shared" si="82"/>
        <v>5.0000000000000044E-2</v>
      </c>
      <c r="AQ22" s="24">
        <f t="shared" si="82"/>
        <v>1.0000000000000009E-2</v>
      </c>
      <c r="AR22" s="24">
        <f t="shared" si="82"/>
        <v>1.0000000000000009E-2</v>
      </c>
      <c r="AU22" s="17" t="s">
        <v>52</v>
      </c>
      <c r="AV22" s="26">
        <f>WACC!C18</f>
        <v>4.3869740066375812E-2</v>
      </c>
    </row>
    <row r="23" spans="2:48" x14ac:dyDescent="0.25">
      <c r="B23" s="12" t="s">
        <v>40</v>
      </c>
      <c r="G23" s="24">
        <f>G10/C10-1</f>
        <v>-2.8469750889679735E-2</v>
      </c>
      <c r="H23" s="24">
        <f t="shared" si="67"/>
        <v>-0.1132075471698113</v>
      </c>
      <c r="I23" s="24">
        <f t="shared" si="68"/>
        <v>0.10000000000000009</v>
      </c>
      <c r="J23" s="24">
        <f t="shared" si="69"/>
        <v>-4.9295774647887369E-2</v>
      </c>
      <c r="K23" s="24">
        <f t="shared" si="70"/>
        <v>-1.1648351648351649</v>
      </c>
      <c r="L23" s="24">
        <f t="shared" si="71"/>
        <v>7.0921985815602939E-2</v>
      </c>
      <c r="M23" s="24">
        <f t="shared" si="72"/>
        <v>8.1339712918660378E-2</v>
      </c>
      <c r="N23" s="24">
        <f t="shared" si="73"/>
        <v>-2.2222222222222254E-2</v>
      </c>
      <c r="O23" s="24">
        <f t="shared" si="74"/>
        <v>-8.3555555555555543</v>
      </c>
      <c r="P23" s="24">
        <f t="shared" si="75"/>
        <v>1.3046357615894038</v>
      </c>
      <c r="Q23" s="24">
        <f t="shared" si="76"/>
        <v>0.33628318584070804</v>
      </c>
      <c r="R23" s="24">
        <f t="shared" si="77"/>
        <v>-4.9242424242424199E-2</v>
      </c>
      <c r="S23" s="24">
        <f t="shared" si="78"/>
        <v>-0.15407854984894265</v>
      </c>
      <c r="T23" s="24">
        <f t="shared" si="78"/>
        <v>-0.41954022988505746</v>
      </c>
      <c r="U23" s="24">
        <f t="shared" si="78"/>
        <v>-0.24172185430463577</v>
      </c>
      <c r="V23" s="24">
        <f t="shared" si="78"/>
        <v>-0.26693227091633465</v>
      </c>
      <c r="W23" s="24">
        <f>W10/S10-1</f>
        <v>-0.46071428571428574</v>
      </c>
      <c r="X23" s="24">
        <f t="shared" si="78"/>
        <v>-0.35212871287128678</v>
      </c>
      <c r="Y23" s="24">
        <f t="shared" si="78"/>
        <v>-0.42620087336244528</v>
      </c>
      <c r="Z23" s="24">
        <f t="shared" si="78"/>
        <v>-0.31684782608695594</v>
      </c>
      <c r="AA23" s="24"/>
      <c r="AB23" s="24"/>
      <c r="AC23" s="24"/>
      <c r="AD23" s="24"/>
      <c r="AE23" s="24"/>
      <c r="AF23" s="24"/>
      <c r="AG23" s="24"/>
      <c r="AJ23" s="24">
        <f t="shared" si="79"/>
        <v>-2.2975929978118148E-2</v>
      </c>
      <c r="AK23" s="24">
        <f t="shared" si="80"/>
        <v>-0.33258678611422177</v>
      </c>
      <c r="AL23" s="24">
        <f t="shared" si="81"/>
        <v>1.0671140939597317</v>
      </c>
      <c r="AM23" s="24">
        <f t="shared" si="82"/>
        <v>-0.27353896103896103</v>
      </c>
      <c r="AN23" s="24">
        <f t="shared" si="82"/>
        <v>-0.39779888268156394</v>
      </c>
      <c r="AO23" s="24">
        <f t="shared" si="82"/>
        <v>-0.3977746442288066</v>
      </c>
      <c r="AP23" s="24">
        <f t="shared" si="82"/>
        <v>-0.20280134351506207</v>
      </c>
      <c r="AQ23" s="24">
        <f t="shared" si="82"/>
        <v>9.9999999999988987E-3</v>
      </c>
      <c r="AR23" s="24">
        <f t="shared" si="82"/>
        <v>1.0000000000004228E-2</v>
      </c>
      <c r="AU23" s="17" t="s">
        <v>53</v>
      </c>
      <c r="AV23" s="12">
        <f>NPV(AV22,AM15:KE15)</f>
        <v>4311.7506575570533</v>
      </c>
    </row>
    <row r="24" spans="2:48" x14ac:dyDescent="0.25">
      <c r="B24" s="12" t="s">
        <v>41</v>
      </c>
      <c r="G24" s="24">
        <f t="shared" ref="G24:G25" si="83">G15/C15-1</f>
        <v>-2.2522522522522515E-2</v>
      </c>
      <c r="H24" s="24">
        <f t="shared" ref="H24:H25" si="84">H15/D15-1</f>
        <v>-0.11111111111111116</v>
      </c>
      <c r="I24" s="24">
        <f t="shared" ref="I24:I25" si="85">I15/E15-1</f>
        <v>-3.4090909090909061E-2</v>
      </c>
      <c r="J24" s="24">
        <f t="shared" ref="J24:J25" si="86">J15/F15-1</f>
        <v>2.2421524663677195E-2</v>
      </c>
      <c r="K24" s="24">
        <f t="shared" ref="K24:K25" si="87">K15/G15-1</f>
        <v>-1.2442396313364055</v>
      </c>
      <c r="L24" s="24">
        <f t="shared" ref="L24:L25" si="88">L15/H15-1</f>
        <v>5.8333333333333348E-2</v>
      </c>
      <c r="M24" s="24">
        <f t="shared" ref="M24:M25" si="89">M15/I15-1</f>
        <v>0.84117647058823519</v>
      </c>
      <c r="N24" s="24">
        <f t="shared" ref="N24:N25" si="90">N15/J15-1</f>
        <v>-8.7719298245614308E-3</v>
      </c>
      <c r="O24" s="24">
        <f t="shared" ref="O24:O25" si="91">O15/K15-1</f>
        <v>-5.7358490566037732</v>
      </c>
      <c r="P24" s="24">
        <f t="shared" ref="P24:P25" si="92">P15/L15-1</f>
        <v>3.0472440944881889</v>
      </c>
      <c r="Q24" s="24">
        <f t="shared" ref="Q24:Q25" si="93">Q15/M15-1</f>
        <v>-0.1565495207667732</v>
      </c>
      <c r="R24" s="24">
        <f t="shared" ref="R24:R25" si="94">R15/N15-1</f>
        <v>2.6548672566371723E-2</v>
      </c>
      <c r="S24" s="24">
        <f t="shared" ref="S24:Z25" si="95">S15/O15-1</f>
        <v>-0.23505976095617531</v>
      </c>
      <c r="T24" s="24">
        <f t="shared" si="95"/>
        <v>-0.69455252918287935</v>
      </c>
      <c r="U24" s="24">
        <f t="shared" si="95"/>
        <v>-0.36363636363636365</v>
      </c>
      <c r="V24" s="24">
        <f t="shared" si="95"/>
        <v>-0.36637931034482762</v>
      </c>
      <c r="W24" s="24">
        <f t="shared" si="95"/>
        <v>-0.34375</v>
      </c>
      <c r="X24" s="24">
        <f t="shared" si="95"/>
        <v>-0.49183439490445835</v>
      </c>
      <c r="Y24" s="24">
        <f t="shared" si="95"/>
        <v>-0.57892857142857135</v>
      </c>
      <c r="Z24" s="24">
        <f t="shared" si="95"/>
        <v>-0.52979591836734652</v>
      </c>
      <c r="AA24" s="24"/>
      <c r="AB24" s="24"/>
      <c r="AC24" s="24"/>
      <c r="AD24" s="24"/>
      <c r="AE24" s="24"/>
      <c r="AF24" s="24"/>
      <c r="AG24" s="24"/>
      <c r="AJ24" s="24">
        <f t="shared" ref="AJ24:AJ25" si="96">AJ15/AI15-1</f>
        <v>-4.6916890080428986E-2</v>
      </c>
      <c r="AK24" s="24">
        <f t="shared" ref="AK24:AK25" si="97">AK15/AJ15-1</f>
        <v>-0.69479606188466947</v>
      </c>
      <c r="AL24" s="24">
        <f t="shared" ref="AL24:AL25" si="98">AL15/AK15-1</f>
        <v>1.2073732718894008</v>
      </c>
      <c r="AM24" s="24">
        <f t="shared" ref="AM24:AR25" si="99">AM15/AL15-1</f>
        <v>0.53653444676409179</v>
      </c>
      <c r="AN24" s="24">
        <f t="shared" si="99"/>
        <v>-0.49532336956521728</v>
      </c>
      <c r="AO24" s="24">
        <f t="shared" si="99"/>
        <v>-0.38850889237081399</v>
      </c>
      <c r="AP24" s="24">
        <f t="shared" si="99"/>
        <v>-0.20288314959115594</v>
      </c>
      <c r="AQ24" s="24">
        <f t="shared" si="99"/>
        <v>9.9999999999986766E-3</v>
      </c>
      <c r="AR24" s="24">
        <f t="shared" si="99"/>
        <v>1.000000000000445E-2</v>
      </c>
      <c r="AU24" s="17" t="s">
        <v>54</v>
      </c>
      <c r="AV24" s="18">
        <f>Main!C8-Main!C9</f>
        <v>-138</v>
      </c>
    </row>
    <row r="25" spans="2:48" x14ac:dyDescent="0.25">
      <c r="B25" s="12" t="s">
        <v>42</v>
      </c>
      <c r="G25" s="24">
        <f t="shared" si="83"/>
        <v>-5.0377833753148638E-2</v>
      </c>
      <c r="H25" s="24">
        <f t="shared" si="84"/>
        <v>-5.1238257899231421E-2</v>
      </c>
      <c r="I25" s="24">
        <f t="shared" si="85"/>
        <v>-6.7826086956521703E-2</v>
      </c>
      <c r="J25" s="24">
        <f t="shared" si="86"/>
        <v>-7.1491615180935497E-2</v>
      </c>
      <c r="K25" s="24">
        <f t="shared" si="87"/>
        <v>-7.7807250221043289E-2</v>
      </c>
      <c r="L25" s="24">
        <f t="shared" si="88"/>
        <v>-5.4005400540053983E-2</v>
      </c>
      <c r="M25" s="24">
        <f t="shared" si="89"/>
        <v>-1.7723880597015018E-2</v>
      </c>
      <c r="N25" s="24">
        <f t="shared" si="90"/>
        <v>0</v>
      </c>
      <c r="O25" s="24">
        <f t="shared" si="91"/>
        <v>6.7114093959732557E-3</v>
      </c>
      <c r="P25" s="24">
        <f t="shared" si="92"/>
        <v>9.5147478591828261E-4</v>
      </c>
      <c r="Q25" s="24">
        <f t="shared" si="93"/>
        <v>-8.5470085470085166E-3</v>
      </c>
      <c r="R25" s="24">
        <f t="shared" si="94"/>
        <v>-4.3726235741444963E-2</v>
      </c>
      <c r="S25" s="24">
        <f t="shared" si="95"/>
        <v>-7.4285714285714288E-2</v>
      </c>
      <c r="T25" s="24">
        <f t="shared" si="95"/>
        <v>-9.6007604562737714E-2</v>
      </c>
      <c r="U25" s="24">
        <f t="shared" si="95"/>
        <v>-9.2911877394636022E-2</v>
      </c>
      <c r="V25" s="24">
        <f t="shared" si="95"/>
        <v>-5.6660039761431302E-2</v>
      </c>
      <c r="W25" s="24">
        <f t="shared" si="95"/>
        <v>-2.1604938271605034E-2</v>
      </c>
      <c r="X25" s="24">
        <f t="shared" si="95"/>
        <v>0</v>
      </c>
      <c r="Y25" s="24">
        <f t="shared" si="95"/>
        <v>0</v>
      </c>
      <c r="Z25" s="24">
        <f t="shared" si="95"/>
        <v>0</v>
      </c>
      <c r="AA25" s="24"/>
      <c r="AB25" s="24"/>
      <c r="AC25" s="24"/>
      <c r="AD25" s="24"/>
      <c r="AE25" s="24"/>
      <c r="AF25" s="24"/>
      <c r="AG25" s="24"/>
      <c r="AJ25" s="24">
        <f t="shared" si="96"/>
        <v>-7.1491615180935497E-2</v>
      </c>
      <c r="AK25" s="24">
        <f t="shared" si="97"/>
        <v>0</v>
      </c>
      <c r="AL25" s="24">
        <f t="shared" si="98"/>
        <v>-4.3726235741444963E-2</v>
      </c>
      <c r="AM25" s="24">
        <f t="shared" si="99"/>
        <v>-5.6660039761431302E-2</v>
      </c>
      <c r="AN25" s="24">
        <f t="shared" si="99"/>
        <v>0</v>
      </c>
      <c r="AO25" s="24">
        <f t="shared" si="99"/>
        <v>-1.0000000000000009E-2</v>
      </c>
      <c r="AP25" s="24">
        <f t="shared" si="99"/>
        <v>-1.0000000000000009E-2</v>
      </c>
      <c r="AQ25" s="24">
        <f t="shared" si="99"/>
        <v>-1.000000000000012E-2</v>
      </c>
      <c r="AR25" s="24">
        <f t="shared" si="99"/>
        <v>-1.0000000000000009E-2</v>
      </c>
      <c r="AU25" s="18" t="s">
        <v>55</v>
      </c>
      <c r="AV25" s="18">
        <f>AV23+AV24</f>
        <v>4173.7506575570533</v>
      </c>
    </row>
    <row r="26" spans="2:48" x14ac:dyDescent="0.25">
      <c r="B26" s="12" t="s">
        <v>43</v>
      </c>
      <c r="C26" s="24">
        <f t="shared" ref="C26:Z26" si="100">C7/C5</f>
        <v>0.3288888888888889</v>
      </c>
      <c r="D26" s="24">
        <f t="shared" si="100"/>
        <v>0.30246913580246915</v>
      </c>
      <c r="E26" s="24">
        <f t="shared" si="100"/>
        <v>0.31612903225806449</v>
      </c>
      <c r="F26" s="24">
        <f t="shared" si="100"/>
        <v>0.32350352112676056</v>
      </c>
      <c r="G26" s="24">
        <f t="shared" si="100"/>
        <v>0.33156881616939365</v>
      </c>
      <c r="H26" s="24">
        <f t="shared" si="100"/>
        <v>0.30101465614430667</v>
      </c>
      <c r="I26" s="24">
        <f t="shared" si="100"/>
        <v>0.32091097308488614</v>
      </c>
      <c r="J26" s="24">
        <f t="shared" si="100"/>
        <v>0.31517334533993696</v>
      </c>
      <c r="K26" s="24">
        <f t="shared" si="100"/>
        <v>0.23044217687074831</v>
      </c>
      <c r="L26" s="24">
        <f t="shared" si="100"/>
        <v>0.2590274434280212</v>
      </c>
      <c r="M26" s="24">
        <f t="shared" si="100"/>
        <v>0.30864197530864196</v>
      </c>
      <c r="N26" s="24">
        <f t="shared" si="100"/>
        <v>0.33074463225216993</v>
      </c>
      <c r="O26" s="24">
        <f t="shared" si="100"/>
        <v>0.34788666976312121</v>
      </c>
      <c r="P26" s="24">
        <f t="shared" si="100"/>
        <v>0.35076923076923078</v>
      </c>
      <c r="Q26" s="24">
        <f t="shared" si="100"/>
        <v>0.34719049794426676</v>
      </c>
      <c r="R26" s="24">
        <f t="shared" si="100"/>
        <v>0.33105802047781568</v>
      </c>
      <c r="S26" s="24">
        <f t="shared" si="100"/>
        <v>0.34113865932047749</v>
      </c>
      <c r="T26" s="24">
        <f t="shared" si="100"/>
        <v>0.31670702179176757</v>
      </c>
      <c r="U26" s="24">
        <f t="shared" si="100"/>
        <v>0.32029452369995398</v>
      </c>
      <c r="V26" s="24">
        <f t="shared" si="100"/>
        <v>0.30166880616174585</v>
      </c>
      <c r="W26" s="24">
        <f t="shared" si="100"/>
        <v>0.30139823925427239</v>
      </c>
      <c r="X26" s="24">
        <f t="shared" si="100"/>
        <v>0.27997084016766904</v>
      </c>
      <c r="Y26" s="24">
        <f t="shared" si="100"/>
        <v>0.27596590568038576</v>
      </c>
      <c r="Z26" s="24">
        <f t="shared" si="100"/>
        <v>0.27101679155499653</v>
      </c>
      <c r="AA26" s="24"/>
      <c r="AB26" s="24"/>
      <c r="AC26" s="24"/>
      <c r="AD26" s="24"/>
      <c r="AE26" s="24"/>
      <c r="AF26" s="24"/>
      <c r="AG26" s="24"/>
      <c r="AI26" s="24">
        <f t="shared" ref="AI26" si="101">AI7/AI5</f>
        <v>0.31842801360372841</v>
      </c>
      <c r="AJ26" s="24">
        <f t="shared" ref="AJ26:AL26" si="102">AJ7/AJ5</f>
        <v>0.31767645221736412</v>
      </c>
      <c r="AK26" s="24">
        <f t="shared" si="102"/>
        <v>0.28921568627450983</v>
      </c>
      <c r="AL26" s="24">
        <f t="shared" si="102"/>
        <v>0.3440464233902466</v>
      </c>
      <c r="AM26" s="24">
        <f t="shared" ref="AM26:AR26" si="103">AM7/AM5</f>
        <v>0.31966183022963557</v>
      </c>
      <c r="AN26" s="24">
        <f t="shared" si="103"/>
        <v>0.28167695725191033</v>
      </c>
      <c r="AO26" s="24">
        <f t="shared" si="103"/>
        <v>0.26054980893579005</v>
      </c>
      <c r="AP26" s="24">
        <f t="shared" si="103"/>
        <v>0.25343971094478807</v>
      </c>
      <c r="AQ26" s="24">
        <f t="shared" si="103"/>
        <v>0.25343971094478801</v>
      </c>
      <c r="AR26" s="24">
        <f t="shared" si="103"/>
        <v>0.25343971094478812</v>
      </c>
      <c r="AU26" s="18" t="s">
        <v>56</v>
      </c>
      <c r="AV26" s="27">
        <f>AV25/Main!C6</f>
        <v>43.888019532671436</v>
      </c>
    </row>
    <row r="27" spans="2:48" x14ac:dyDescent="0.25">
      <c r="B27" s="12" t="s">
        <v>44</v>
      </c>
      <c r="C27" s="24">
        <f>C10/C5</f>
        <v>0.13876543209876543</v>
      </c>
      <c r="D27" s="24">
        <f t="shared" ref="D27:Z27" si="104">D10/D5</f>
        <v>8.9225589225589222E-2</v>
      </c>
      <c r="E27" s="24">
        <f t="shared" si="104"/>
        <v>0.10215053763440861</v>
      </c>
      <c r="F27" s="24">
        <f t="shared" si="104"/>
        <v>0.125</v>
      </c>
      <c r="G27" s="24">
        <f t="shared" si="104"/>
        <v>0.13137632338787295</v>
      </c>
      <c r="H27" s="24">
        <f t="shared" si="104"/>
        <v>7.9481397970687706E-2</v>
      </c>
      <c r="I27" s="24">
        <f t="shared" si="104"/>
        <v>0.10817805383022774</v>
      </c>
      <c r="J27" s="24">
        <f t="shared" si="104"/>
        <v>0.12156686177397569</v>
      </c>
      <c r="K27" s="24">
        <f t="shared" si="104"/>
        <v>-3.826530612244898E-2</v>
      </c>
      <c r="L27" s="24">
        <f t="shared" si="104"/>
        <v>7.2701011073663932E-2</v>
      </c>
      <c r="M27" s="24">
        <f t="shared" si="104"/>
        <v>0.10731244064577398</v>
      </c>
      <c r="N27" s="24">
        <f t="shared" si="104"/>
        <v>0.12060301507537688</v>
      </c>
      <c r="O27" s="24">
        <f t="shared" si="104"/>
        <v>0.15373896888063168</v>
      </c>
      <c r="P27" s="24">
        <f t="shared" si="104"/>
        <v>0.15296703296703296</v>
      </c>
      <c r="Q27" s="24">
        <f t="shared" si="104"/>
        <v>0.13796253997259023</v>
      </c>
      <c r="R27" s="24">
        <f t="shared" si="104"/>
        <v>0.10708191126279863</v>
      </c>
      <c r="S27" s="24">
        <f t="shared" si="104"/>
        <v>0.12855831037649221</v>
      </c>
      <c r="T27" s="24">
        <f t="shared" si="104"/>
        <v>9.782082324455206E-2</v>
      </c>
      <c r="U27" s="24">
        <f t="shared" si="104"/>
        <v>0.10538426138978371</v>
      </c>
      <c r="V27" s="24">
        <f t="shared" si="104"/>
        <v>7.8733418913136496E-2</v>
      </c>
      <c r="W27" s="24">
        <f>W10/W5</f>
        <v>7.8197824961160026E-2</v>
      </c>
      <c r="X27" s="24">
        <f t="shared" si="104"/>
        <v>6.814548673487987E-2</v>
      </c>
      <c r="Y27" s="24">
        <f t="shared" si="104"/>
        <v>6.5727605594349647E-2</v>
      </c>
      <c r="Z27" s="24">
        <f t="shared" si="104"/>
        <v>5.7293660777771746E-2</v>
      </c>
      <c r="AA27" s="24"/>
      <c r="AB27" s="24"/>
      <c r="AC27" s="24"/>
      <c r="AD27" s="24"/>
      <c r="AE27" s="24"/>
      <c r="AF27" s="24"/>
      <c r="AG27" s="24"/>
      <c r="AI27" s="24">
        <f t="shared" ref="AI27" si="105">AI10/AI5</f>
        <v>0.11512784985514549</v>
      </c>
      <c r="AJ27" s="24">
        <f t="shared" ref="AJ27:AL27" si="106">AJ10/AJ5</f>
        <v>0.11155527795128045</v>
      </c>
      <c r="AK27" s="24">
        <f t="shared" si="106"/>
        <v>7.8961314255431903E-2</v>
      </c>
      <c r="AL27" s="24">
        <f t="shared" si="106"/>
        <v>0.13748465573038723</v>
      </c>
      <c r="AM27" s="24">
        <f t="shared" ref="AM27:AR27" si="107">AM10/AM5</f>
        <v>0.10225065691762825</v>
      </c>
      <c r="AN27" s="24">
        <f t="shared" si="107"/>
        <v>6.6997987462350417E-2</v>
      </c>
      <c r="AO27" s="24">
        <f t="shared" si="107"/>
        <v>3.9556751799478367E-2</v>
      </c>
      <c r="AP27" s="24">
        <f t="shared" si="107"/>
        <v>3.032172056678106E-2</v>
      </c>
      <c r="AQ27" s="24">
        <f t="shared" si="107"/>
        <v>3.0321720566781025E-2</v>
      </c>
      <c r="AR27" s="24">
        <f t="shared" si="107"/>
        <v>3.032172056678115E-2</v>
      </c>
      <c r="AU27" s="18" t="s">
        <v>57</v>
      </c>
      <c r="AV27" s="27">
        <f>Main!C5</f>
        <v>27.305</v>
      </c>
    </row>
    <row r="28" spans="2:48" x14ac:dyDescent="0.25">
      <c r="B28" s="12" t="s">
        <v>45</v>
      </c>
      <c r="C28" s="24">
        <f t="shared" ref="C28:G28" si="108">C14/C13</f>
        <v>0.22377622377622378</v>
      </c>
      <c r="D28" s="24">
        <f t="shared" si="108"/>
        <v>0.16666666666666666</v>
      </c>
      <c r="E28" s="24">
        <f t="shared" si="108"/>
        <v>8.3333333333333329E-2</v>
      </c>
      <c r="F28" s="24">
        <f t="shared" si="108"/>
        <v>0.22569444444444445</v>
      </c>
      <c r="G28" s="24">
        <f t="shared" si="108"/>
        <v>0.22222222222222221</v>
      </c>
      <c r="H28" s="24">
        <f t="shared" ref="H28:R28" si="109">H14/H13</f>
        <v>0.17241379310344829</v>
      </c>
      <c r="I28" s="24">
        <f t="shared" si="109"/>
        <v>0.21296296296296297</v>
      </c>
      <c r="J28" s="24">
        <f t="shared" si="109"/>
        <v>0.17391304347826086</v>
      </c>
      <c r="K28" s="24">
        <f t="shared" si="109"/>
        <v>-0.17777777777777778</v>
      </c>
      <c r="L28" s="24">
        <f t="shared" si="109"/>
        <v>0.16447368421052633</v>
      </c>
      <c r="M28" s="24">
        <f t="shared" si="109"/>
        <v>0.24940047961630696</v>
      </c>
      <c r="N28" s="24">
        <f t="shared" si="109"/>
        <v>0.14068441064638784</v>
      </c>
      <c r="O28" s="24">
        <f t="shared" si="109"/>
        <v>0.24624624624624625</v>
      </c>
      <c r="P28" s="24">
        <f t="shared" si="109"/>
        <v>0.23397913561847988</v>
      </c>
      <c r="Q28" s="24">
        <f t="shared" si="109"/>
        <v>0.1951219512195122</v>
      </c>
      <c r="R28" s="24">
        <f t="shared" si="109"/>
        <v>0.16245487364620939</v>
      </c>
      <c r="S28" s="24">
        <f t="shared" ref="S28:Z28" si="110">S14/S13</f>
        <v>0.23200000000000001</v>
      </c>
      <c r="T28" s="24">
        <f t="shared" si="110"/>
        <v>0.23786407766990292</v>
      </c>
      <c r="U28" s="24">
        <f t="shared" si="110"/>
        <v>0.21860465116279071</v>
      </c>
      <c r="V28" s="24">
        <f t="shared" si="110"/>
        <v>0.15028901734104047</v>
      </c>
      <c r="W28" s="24">
        <f t="shared" si="110"/>
        <v>0.14285714285714285</v>
      </c>
      <c r="X28" s="24">
        <f t="shared" si="110"/>
        <v>0.4</v>
      </c>
      <c r="Y28" s="24">
        <f t="shared" si="110"/>
        <v>0.4</v>
      </c>
      <c r="Z28" s="24">
        <f t="shared" si="110"/>
        <v>0.4</v>
      </c>
      <c r="AA28" s="24"/>
      <c r="AB28" s="24"/>
      <c r="AC28" s="24"/>
      <c r="AD28" s="24"/>
      <c r="AE28" s="24"/>
      <c r="AF28" s="24"/>
      <c r="AG28" s="24"/>
      <c r="AI28" s="24">
        <f t="shared" ref="AI28" si="111">AI14/AI13</f>
        <v>0.18736383442265794</v>
      </c>
      <c r="AJ28" s="24">
        <f t="shared" ref="AJ28:AL28" si="112">AJ14/AJ13</f>
        <v>0.20291479820627803</v>
      </c>
      <c r="AK28" s="24">
        <f t="shared" si="112"/>
        <v>0.44501278772378516</v>
      </c>
      <c r="AL28" s="24">
        <f t="shared" si="112"/>
        <v>0.42079806529625152</v>
      </c>
      <c r="AM28" s="24">
        <f t="shared" ref="AM28:AR28" si="113">AM14/AM13</f>
        <v>0.1965065502183406</v>
      </c>
      <c r="AN28" s="24">
        <f t="shared" si="113"/>
        <v>0.3107020246070481</v>
      </c>
      <c r="AO28" s="24">
        <f t="shared" si="113"/>
        <v>0.3</v>
      </c>
      <c r="AP28" s="24">
        <f t="shared" si="113"/>
        <v>0.3</v>
      </c>
      <c r="AQ28" s="24">
        <f t="shared" si="113"/>
        <v>0.3</v>
      </c>
      <c r="AR28" s="24">
        <f t="shared" si="113"/>
        <v>0.3</v>
      </c>
      <c r="AU28" s="25" t="s">
        <v>58</v>
      </c>
      <c r="AV28" s="28">
        <f>AV26/AV27-1</f>
        <v>0.60732538116357571</v>
      </c>
    </row>
  </sheetData>
  <phoneticPr fontId="4" type="noConversion"/>
  <conditionalFormatting sqref="AV28">
    <cfRule type="cellIs" dxfId="1" priority="1" operator="lessThan">
      <formula>0</formula>
    </cfRule>
    <cfRule type="cellIs" dxfId="0" priority="2" operator="greaterThan">
      <formula>0</formula>
    </cfRule>
  </conditionalFormatting>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86D2A-AAAE-4123-BB43-C858CF872FF3}">
  <dimension ref="B3:D18"/>
  <sheetViews>
    <sheetView workbookViewId="0">
      <selection activeCell="C19" sqref="C19"/>
    </sheetView>
  </sheetViews>
  <sheetFormatPr defaultRowHeight="14.4" x14ac:dyDescent="0.3"/>
  <cols>
    <col min="2" max="2" width="15.6640625" bestFit="1" customWidth="1"/>
  </cols>
  <sheetData>
    <row r="3" spans="2:4" x14ac:dyDescent="0.3">
      <c r="B3" s="17" t="s">
        <v>7</v>
      </c>
      <c r="C3" s="18">
        <f>Main!C9</f>
        <v>451</v>
      </c>
      <c r="D3" s="17"/>
    </row>
    <row r="4" spans="2:4" x14ac:dyDescent="0.3">
      <c r="B4" s="17" t="s">
        <v>25</v>
      </c>
      <c r="C4" s="18">
        <f>Main!C7</f>
        <v>2596.7055</v>
      </c>
      <c r="D4" s="17"/>
    </row>
    <row r="5" spans="2:4" x14ac:dyDescent="0.3">
      <c r="B5" s="17" t="s">
        <v>26</v>
      </c>
      <c r="C5" s="18">
        <f>C3+C4</f>
        <v>3047.7055</v>
      </c>
      <c r="D5" s="17"/>
    </row>
    <row r="6" spans="2:4" x14ac:dyDescent="0.3">
      <c r="B6" s="19" t="s">
        <v>27</v>
      </c>
      <c r="C6" s="20">
        <f>C3/C5</f>
        <v>0.14798017721856654</v>
      </c>
      <c r="D6" s="17"/>
    </row>
    <row r="7" spans="2:4" x14ac:dyDescent="0.3">
      <c r="B7" s="19" t="s">
        <v>28</v>
      </c>
      <c r="C7" s="20">
        <f>C4/C5</f>
        <v>0.8520198227814334</v>
      </c>
      <c r="D7" s="17"/>
    </row>
    <row r="8" spans="2:4" x14ac:dyDescent="0.3">
      <c r="B8" s="17"/>
      <c r="C8" s="17"/>
      <c r="D8" s="17"/>
    </row>
    <row r="9" spans="2:4" x14ac:dyDescent="0.3">
      <c r="B9" s="17" t="s">
        <v>29</v>
      </c>
      <c r="C9" s="23">
        <f>AVERAGE(Model!AI28:AM28)</f>
        <v>0.29051920717346263</v>
      </c>
      <c r="D9" s="17"/>
    </row>
    <row r="10" spans="2:4" x14ac:dyDescent="0.3">
      <c r="B10" s="17" t="s">
        <v>30</v>
      </c>
      <c r="C10" s="18">
        <f>Model!AM11</f>
        <v>15</v>
      </c>
      <c r="D10" s="17"/>
    </row>
    <row r="11" spans="2:4" x14ac:dyDescent="0.3">
      <c r="B11" s="19" t="s">
        <v>31</v>
      </c>
      <c r="C11" s="22">
        <f>C10/C3</f>
        <v>3.325942350332594E-2</v>
      </c>
      <c r="D11" s="17"/>
    </row>
    <row r="12" spans="2:4" x14ac:dyDescent="0.3">
      <c r="B12" s="17"/>
      <c r="C12" s="17"/>
      <c r="D12" s="17"/>
    </row>
    <row r="13" spans="2:4" x14ac:dyDescent="0.3">
      <c r="B13" s="17" t="s">
        <v>32</v>
      </c>
      <c r="C13" s="21">
        <f>'[1]T-Bond Yields'!$C$12</f>
        <v>3.8899999999999997E-2</v>
      </c>
      <c r="D13" s="17"/>
    </row>
    <row r="14" spans="2:4" x14ac:dyDescent="0.3">
      <c r="B14" s="17" t="s">
        <v>33</v>
      </c>
      <c r="C14" s="17">
        <v>1.21</v>
      </c>
      <c r="D14" s="17" t="s">
        <v>78</v>
      </c>
    </row>
    <row r="15" spans="2:4" x14ac:dyDescent="0.3">
      <c r="B15" s="17" t="s">
        <v>34</v>
      </c>
      <c r="C15" s="23">
        <v>0.06</v>
      </c>
      <c r="D15" s="17"/>
    </row>
    <row r="16" spans="2:4" x14ac:dyDescent="0.3">
      <c r="B16" s="19" t="s">
        <v>35</v>
      </c>
      <c r="C16" s="20">
        <f>C13+C14*(C15-C13)</f>
        <v>6.4431000000000002E-2</v>
      </c>
      <c r="D16" s="17"/>
    </row>
    <row r="17" spans="2:4" x14ac:dyDescent="0.3">
      <c r="B17" s="17"/>
      <c r="C17" s="17"/>
      <c r="D17" s="17"/>
    </row>
    <row r="18" spans="2:4" x14ac:dyDescent="0.3">
      <c r="B18" s="19" t="s">
        <v>36</v>
      </c>
      <c r="C18" s="20">
        <f>(C6*C11)+(C7*C16)*(1-C9)</f>
        <v>4.3869740066375812E-2</v>
      </c>
      <c r="D18" s="1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Model</vt:lpstr>
      <vt:lpstr>WACC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Bill Sheldon</dc:creator>
  <cp:lastModifiedBy>Bill Sheldon</cp:lastModifiedBy>
  <dcterms:created xsi:type="dcterms:W3CDTF">2023-02-26T20:58:42Z</dcterms:created>
  <dcterms:modified xsi:type="dcterms:W3CDTF">2023-06-16T19:46:32Z</dcterms:modified>
</cp:coreProperties>
</file>