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70919519-015B-4C2A-9EC4-ACC6DDB770EE}" xr6:coauthVersionLast="47" xr6:coauthVersionMax="47" xr10:uidLastSave="{00000000-0000-0000-0000-000000000000}"/>
  <bookViews>
    <workbookView xWindow="-28920" yWindow="-120" windowWidth="29040" windowHeight="15720" tabRatio="597" activeTab="1" xr2:uid="{E111F6CE-28DF-433D-BE5C-B517463893F7}"/>
  </bookViews>
  <sheets>
    <sheet name="Main" sheetId="1" r:id="rId1"/>
    <sheet name="Model" sheetId="3" r:id="rId2"/>
    <sheet name="WACC" sheetId="2" r:id="rId3"/>
    <sheet name="Ratios"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E58" i="3" l="1"/>
  <c r="C11" i="2"/>
  <c r="C5" i="1" l="1"/>
  <c r="BE57" i="3"/>
  <c r="AZ64" i="3"/>
  <c r="AZ63" i="3"/>
  <c r="AZ62" i="3"/>
  <c r="AZ61" i="3"/>
  <c r="AZ60" i="3"/>
  <c r="AZ59" i="3"/>
  <c r="AZ58" i="3"/>
  <c r="AZ57" i="3"/>
  <c r="AZ56" i="3"/>
  <c r="AZ55" i="3"/>
  <c r="AZ54" i="3"/>
  <c r="AX34" i="3"/>
  <c r="AX35" i="3" s="1"/>
  <c r="AX36" i="3" s="1"/>
  <c r="AW40" i="3"/>
  <c r="AX40" i="3" s="1"/>
  <c r="AY40" i="3" s="1"/>
  <c r="AZ40" i="3" s="1"/>
  <c r="AW39" i="3"/>
  <c r="AX39" i="3" s="1"/>
  <c r="AY39" i="3" s="1"/>
  <c r="AZ39" i="3" s="1"/>
  <c r="AW38" i="3"/>
  <c r="AX37" i="3"/>
  <c r="AX43" i="3"/>
  <c r="AY43" i="3" s="1"/>
  <c r="AZ43" i="3" s="1"/>
  <c r="AW43" i="3"/>
  <c r="AY45" i="3"/>
  <c r="AZ45" i="3" s="1"/>
  <c r="AV46" i="3"/>
  <c r="AV44" i="3"/>
  <c r="AV41" i="3"/>
  <c r="AW36" i="3"/>
  <c r="AV36" i="3"/>
  <c r="AW35" i="3"/>
  <c r="AV35" i="3"/>
  <c r="AZ33" i="3"/>
  <c r="AY33" i="3"/>
  <c r="AX33" i="3"/>
  <c r="AW33" i="3"/>
  <c r="AV33" i="3"/>
  <c r="AY32" i="3"/>
  <c r="AZ32" i="3" s="1"/>
  <c r="AX32" i="3"/>
  <c r="AX30" i="3"/>
  <c r="AY30" i="3" s="1"/>
  <c r="AZ30" i="3" s="1"/>
  <c r="AV43" i="3"/>
  <c r="AV42" i="3"/>
  <c r="AV40" i="3"/>
  <c r="AV39" i="3"/>
  <c r="AV38" i="3"/>
  <c r="AV37" i="3"/>
  <c r="AV34" i="3"/>
  <c r="AV32" i="3"/>
  <c r="AV30" i="3"/>
  <c r="AW30" i="3" s="1"/>
  <c r="AY54" i="3"/>
  <c r="AY60" i="3"/>
  <c r="AW32" i="3"/>
  <c r="AZ31" i="3"/>
  <c r="AZ29" i="3"/>
  <c r="AY29" i="3"/>
  <c r="AX29" i="3"/>
  <c r="AW29" i="3"/>
  <c r="AV29" i="3"/>
  <c r="AU29" i="3"/>
  <c r="AT29" i="3"/>
  <c r="AZ27" i="3"/>
  <c r="AY27" i="3"/>
  <c r="AX25" i="3"/>
  <c r="AY25" i="3" s="1"/>
  <c r="AZ25" i="3" s="1"/>
  <c r="AW25" i="3"/>
  <c r="AZ18" i="3"/>
  <c r="AX16" i="3"/>
  <c r="AY16" i="3" s="1"/>
  <c r="AZ16" i="3" s="1"/>
  <c r="AW16" i="3"/>
  <c r="AZ9" i="3"/>
  <c r="AX7" i="3"/>
  <c r="AY7" i="3" s="1"/>
  <c r="AZ7" i="3" s="1"/>
  <c r="AW7" i="3"/>
  <c r="C13" i="2"/>
  <c r="C10" i="2"/>
  <c r="AV45" i="3"/>
  <c r="AV31" i="3"/>
  <c r="AV24" i="3"/>
  <c r="AV23" i="3"/>
  <c r="AV22" i="3"/>
  <c r="AV21" i="3"/>
  <c r="AV20" i="3"/>
  <c r="AV15" i="3"/>
  <c r="AV14" i="3"/>
  <c r="AV13" i="3"/>
  <c r="AV12" i="3"/>
  <c r="AV11" i="3"/>
  <c r="AV6" i="3"/>
  <c r="AV5" i="3"/>
  <c r="AV4" i="3"/>
  <c r="AV3" i="3"/>
  <c r="AH40" i="3"/>
  <c r="AH41" i="3" s="1"/>
  <c r="AH42" i="3" s="1"/>
  <c r="AH64" i="3" s="1"/>
  <c r="AG40" i="3"/>
  <c r="AG41" i="3" s="1"/>
  <c r="AG42" i="3" s="1"/>
  <c r="AG64" i="3" s="1"/>
  <c r="AF40" i="3"/>
  <c r="AF41" i="3" s="1"/>
  <c r="AE40" i="3"/>
  <c r="AE41" i="3"/>
  <c r="AE39" i="3"/>
  <c r="AE34" i="3"/>
  <c r="AE56" i="3"/>
  <c r="AH45" i="3"/>
  <c r="AH60" i="3" s="1"/>
  <c r="AG45" i="3"/>
  <c r="AG60" i="3" s="1"/>
  <c r="AF45" i="3"/>
  <c r="AE45" i="3"/>
  <c r="AH39" i="3"/>
  <c r="AG39" i="3"/>
  <c r="AF39" i="3"/>
  <c r="AH38" i="3"/>
  <c r="AG38" i="3"/>
  <c r="AF38" i="3"/>
  <c r="AE38" i="3"/>
  <c r="AH37" i="3"/>
  <c r="AG37" i="3"/>
  <c r="AF37" i="3"/>
  <c r="AE37" i="3"/>
  <c r="AH43" i="3"/>
  <c r="AG43" i="3"/>
  <c r="AF43" i="3"/>
  <c r="AE43" i="3"/>
  <c r="AH35" i="3"/>
  <c r="AH36" i="3" s="1"/>
  <c r="AG35" i="3"/>
  <c r="AG36" i="3" s="1"/>
  <c r="AG58" i="3" s="1"/>
  <c r="AF35" i="3"/>
  <c r="AF36" i="3" s="1"/>
  <c r="AF58" i="3" s="1"/>
  <c r="AH34" i="3"/>
  <c r="AH56" i="3" s="1"/>
  <c r="AG34" i="3"/>
  <c r="AG56" i="3" s="1"/>
  <c r="AF34" i="3"/>
  <c r="AF56" i="3" s="1"/>
  <c r="AH32" i="3"/>
  <c r="AH33" i="3" s="1"/>
  <c r="AG32" i="3"/>
  <c r="AF32" i="3"/>
  <c r="AE32" i="3"/>
  <c r="AE33" i="3" s="1"/>
  <c r="AG33" i="3"/>
  <c r="AF33" i="3"/>
  <c r="AH6" i="3"/>
  <c r="AH7" i="3" s="1"/>
  <c r="AG6" i="3"/>
  <c r="AF6" i="3"/>
  <c r="AE6" i="3"/>
  <c r="AH5" i="3"/>
  <c r="AG5" i="3"/>
  <c r="AF5" i="3"/>
  <c r="AE5" i="3"/>
  <c r="AH4" i="3"/>
  <c r="AG4" i="3"/>
  <c r="AF4" i="3"/>
  <c r="AE4" i="3"/>
  <c r="AH3" i="3"/>
  <c r="AG3" i="3"/>
  <c r="AF3" i="3"/>
  <c r="AE3" i="3"/>
  <c r="AH30" i="3"/>
  <c r="AG30" i="3"/>
  <c r="AF30" i="3"/>
  <c r="AE30" i="3"/>
  <c r="AG7" i="3"/>
  <c r="AF7" i="3"/>
  <c r="AH15" i="3"/>
  <c r="AG15" i="3"/>
  <c r="AF15" i="3"/>
  <c r="AE15" i="3"/>
  <c r="AH14" i="3"/>
  <c r="AG14" i="3"/>
  <c r="AF14" i="3"/>
  <c r="AE14" i="3"/>
  <c r="AH13" i="3"/>
  <c r="AG13" i="3"/>
  <c r="AF13" i="3"/>
  <c r="AE13" i="3"/>
  <c r="AH12" i="3"/>
  <c r="AG12" i="3"/>
  <c r="AF12" i="3"/>
  <c r="AE12" i="3"/>
  <c r="AH11" i="3"/>
  <c r="AG11" i="3"/>
  <c r="AG16" i="3" s="1"/>
  <c r="AG18" i="3" s="1"/>
  <c r="AF11" i="3"/>
  <c r="AF16" i="3" s="1"/>
  <c r="AF18" i="3" s="1"/>
  <c r="AE11" i="3"/>
  <c r="AE16" i="3" s="1"/>
  <c r="AE18" i="3" s="1"/>
  <c r="AF60" i="3"/>
  <c r="AE60" i="3"/>
  <c r="AH57" i="3"/>
  <c r="AG57" i="3"/>
  <c r="AF57" i="3"/>
  <c r="AG55" i="3"/>
  <c r="AF55" i="3"/>
  <c r="AH24" i="3"/>
  <c r="AG24" i="3"/>
  <c r="AF24" i="3"/>
  <c r="AE24" i="3"/>
  <c r="AH23" i="3"/>
  <c r="AG23" i="3"/>
  <c r="AF23" i="3"/>
  <c r="AE23" i="3"/>
  <c r="AH22" i="3"/>
  <c r="AG22" i="3"/>
  <c r="AF22" i="3"/>
  <c r="AE22" i="3"/>
  <c r="AH21" i="3"/>
  <c r="AG21" i="3"/>
  <c r="AF21" i="3"/>
  <c r="AE21" i="3"/>
  <c r="AE25" i="3" s="1"/>
  <c r="AE27" i="3" s="1"/>
  <c r="AH20" i="3"/>
  <c r="AH25" i="3" s="1"/>
  <c r="AH27" i="3" s="1"/>
  <c r="AG20" i="3"/>
  <c r="AG25" i="3" s="1"/>
  <c r="AG27" i="3" s="1"/>
  <c r="AF20" i="3"/>
  <c r="AF25" i="3" s="1"/>
  <c r="AF27" i="3" s="1"/>
  <c r="AE20" i="3"/>
  <c r="AC16" i="3"/>
  <c r="AB16" i="3"/>
  <c r="AD15" i="3"/>
  <c r="AU15" i="3" s="1"/>
  <c r="AD13" i="3"/>
  <c r="AU13" i="3" s="1"/>
  <c r="AD12" i="3"/>
  <c r="AU12" i="3" s="1"/>
  <c r="AD11" i="3"/>
  <c r="AU11" i="3" s="1"/>
  <c r="AC25" i="3"/>
  <c r="AB25" i="3"/>
  <c r="AC7" i="3"/>
  <c r="AB7" i="3"/>
  <c r="AU30" i="3"/>
  <c r="AU14" i="3"/>
  <c r="AD24" i="3"/>
  <c r="AU24" i="3" s="1"/>
  <c r="AD23" i="3"/>
  <c r="AU23" i="3" s="1"/>
  <c r="AD22" i="3"/>
  <c r="AU22" i="3" s="1"/>
  <c r="AD21" i="3"/>
  <c r="AU21" i="3" s="1"/>
  <c r="AD20" i="3"/>
  <c r="AU20" i="3" s="1"/>
  <c r="AD6" i="3"/>
  <c r="AU6" i="3" s="1"/>
  <c r="AD5" i="3"/>
  <c r="AU5" i="3" s="1"/>
  <c r="AD4" i="3"/>
  <c r="AD3" i="3"/>
  <c r="AU3" i="3" s="1"/>
  <c r="C8" i="1"/>
  <c r="Z48" i="3"/>
  <c r="Y48" i="3"/>
  <c r="X48" i="3"/>
  <c r="AD35" i="3"/>
  <c r="AC35" i="3"/>
  <c r="AB35" i="3"/>
  <c r="AU39" i="3"/>
  <c r="AU38" i="3"/>
  <c r="AU45" i="3"/>
  <c r="AU40" i="3"/>
  <c r="AA132" i="3"/>
  <c r="Z132" i="3"/>
  <c r="Y132" i="3"/>
  <c r="X132" i="3"/>
  <c r="AA122" i="3"/>
  <c r="Z122" i="3"/>
  <c r="Y122" i="3"/>
  <c r="X122" i="3"/>
  <c r="AA116" i="3"/>
  <c r="AA134" i="3" s="1"/>
  <c r="Z116" i="3"/>
  <c r="Z134" i="3" s="1"/>
  <c r="Y116" i="3"/>
  <c r="Y134" i="3" s="1"/>
  <c r="X116" i="3"/>
  <c r="X134" i="3" s="1"/>
  <c r="W48" i="3"/>
  <c r="AA48" i="3"/>
  <c r="AW41" i="3" l="1"/>
  <c r="AW42" i="3" s="1"/>
  <c r="AW44" i="3" s="1"/>
  <c r="AW46" i="3" s="1"/>
  <c r="AY34" i="3"/>
  <c r="AY37" i="3"/>
  <c r="AX38" i="3"/>
  <c r="AY38" i="3" s="1"/>
  <c r="AZ38" i="3" s="1"/>
  <c r="AY55" i="3"/>
  <c r="AE35" i="3"/>
  <c r="AE57" i="3" s="1"/>
  <c r="AF42" i="3"/>
  <c r="AF44" i="3" s="1"/>
  <c r="AH44" i="3"/>
  <c r="AH46" i="3" s="1"/>
  <c r="AG44" i="3"/>
  <c r="AG59" i="3" s="1"/>
  <c r="AH55" i="3"/>
  <c r="AE55" i="3"/>
  <c r="AE7" i="3"/>
  <c r="AH16" i="3"/>
  <c r="AG29" i="3"/>
  <c r="AG31" i="3" s="1"/>
  <c r="AF29" i="3"/>
  <c r="AF31" i="3" s="1"/>
  <c r="AE29" i="3"/>
  <c r="AE31" i="3" s="1"/>
  <c r="AE54" i="3" s="1"/>
  <c r="AF9" i="3"/>
  <c r="AG9" i="3"/>
  <c r="AB29" i="3"/>
  <c r="AC29" i="3"/>
  <c r="AD7" i="3"/>
  <c r="AH9" i="3" s="1"/>
  <c r="AD16" i="3"/>
  <c r="AU4" i="3"/>
  <c r="AD25" i="3"/>
  <c r="AD29" i="3" s="1"/>
  <c r="AU43" i="3"/>
  <c r="AU32" i="3"/>
  <c r="AU37" i="3"/>
  <c r="AA133" i="3"/>
  <c r="X133" i="3"/>
  <c r="Y133" i="3"/>
  <c r="Z133" i="3"/>
  <c r="AU34" i="3"/>
  <c r="AU35" i="3" s="1"/>
  <c r="AZ34" i="3" l="1"/>
  <c r="AZ35" i="3" s="1"/>
  <c r="AZ36" i="3" s="1"/>
  <c r="AY35" i="3"/>
  <c r="AY36" i="3" s="1"/>
  <c r="AY41" i="3"/>
  <c r="AY42" i="3" s="1"/>
  <c r="AZ37" i="3"/>
  <c r="AZ41" i="3" s="1"/>
  <c r="AZ42" i="3" s="1"/>
  <c r="AX41" i="3"/>
  <c r="AZ44" i="3"/>
  <c r="AZ46" i="3" s="1"/>
  <c r="AG46" i="3"/>
  <c r="AG61" i="3" s="1"/>
  <c r="AE36" i="3"/>
  <c r="AE58" i="3"/>
  <c r="AF64" i="3"/>
  <c r="AF59" i="3"/>
  <c r="AF46" i="3"/>
  <c r="AF61" i="3" s="1"/>
  <c r="AF54" i="3"/>
  <c r="AF63" i="3"/>
  <c r="AF62" i="3"/>
  <c r="AG63" i="3"/>
  <c r="AG62" i="3"/>
  <c r="AG54" i="3"/>
  <c r="AH29" i="3"/>
  <c r="AH31" i="3" s="1"/>
  <c r="AH18" i="3"/>
  <c r="AE63" i="3"/>
  <c r="AE62" i="3"/>
  <c r="AC31" i="3"/>
  <c r="AB31" i="3"/>
  <c r="AY44" i="3" l="1"/>
  <c r="AY46" i="3" s="1"/>
  <c r="AX42" i="3"/>
  <c r="AX44" i="3"/>
  <c r="AX46" i="3" s="1"/>
  <c r="AE42" i="3"/>
  <c r="AE64" i="3" s="1"/>
  <c r="AH63" i="3"/>
  <c r="AH62" i="3"/>
  <c r="AH54" i="3"/>
  <c r="AC33" i="3"/>
  <c r="AC36" i="3" s="1"/>
  <c r="AC41" i="3" s="1"/>
  <c r="AB33" i="3"/>
  <c r="AB36" i="3" s="1"/>
  <c r="G8" i="1"/>
  <c r="AD89" i="3"/>
  <c r="AD97" i="3" s="1"/>
  <c r="AD99" i="3" s="1"/>
  <c r="AC89" i="3"/>
  <c r="AC97" i="3" s="1"/>
  <c r="AC99" i="3" s="1"/>
  <c r="AB89" i="3"/>
  <c r="AB97" i="3" s="1"/>
  <c r="AB99" i="3" s="1"/>
  <c r="AA89" i="3"/>
  <c r="AA97" i="3" s="1"/>
  <c r="AA99" i="3" s="1"/>
  <c r="AD72" i="3"/>
  <c r="AD79" i="3" s="1"/>
  <c r="AC72" i="3"/>
  <c r="AC79" i="3" s="1"/>
  <c r="AB72" i="3"/>
  <c r="AB79" i="3" s="1"/>
  <c r="AA72" i="3"/>
  <c r="AA79" i="3" s="1"/>
  <c r="AD67" i="3"/>
  <c r="AC67" i="3"/>
  <c r="AB67" i="3"/>
  <c r="AA67" i="3"/>
  <c r="AD60" i="3"/>
  <c r="AC60" i="3"/>
  <c r="AB60" i="3"/>
  <c r="AA60" i="3"/>
  <c r="AD56" i="3"/>
  <c r="AC56" i="3"/>
  <c r="AB56" i="3"/>
  <c r="AA56" i="3"/>
  <c r="AD55" i="3"/>
  <c r="AC55" i="3"/>
  <c r="AB55" i="3"/>
  <c r="AA55" i="3"/>
  <c r="AT48" i="3"/>
  <c r="AV25" i="3"/>
  <c r="AV16" i="3"/>
  <c r="AV7" i="3"/>
  <c r="AT14" i="3"/>
  <c r="AT30" i="3"/>
  <c r="Z24" i="3"/>
  <c r="AT24" i="3" s="1"/>
  <c r="Z23" i="3"/>
  <c r="Z22" i="3"/>
  <c r="Z21" i="3"/>
  <c r="Z20" i="3"/>
  <c r="Z15" i="3"/>
  <c r="Z13" i="3"/>
  <c r="Z12" i="3"/>
  <c r="Z11" i="3"/>
  <c r="Z6" i="3"/>
  <c r="Z5" i="3"/>
  <c r="Z4" i="3"/>
  <c r="Z3" i="3"/>
  <c r="AA35" i="3"/>
  <c r="Z35" i="3"/>
  <c r="AD57" i="3" s="1"/>
  <c r="Y35" i="3"/>
  <c r="AC57" i="3" s="1"/>
  <c r="AA25" i="3"/>
  <c r="Y25" i="3"/>
  <c r="AC27" i="3" s="1"/>
  <c r="X25" i="3"/>
  <c r="AA16" i="3"/>
  <c r="Y16" i="3"/>
  <c r="AC18" i="3" s="1"/>
  <c r="X16" i="3"/>
  <c r="AA7" i="3"/>
  <c r="AE9" i="3" s="1"/>
  <c r="Y7" i="3"/>
  <c r="X7" i="3"/>
  <c r="AB9" i="3" s="1"/>
  <c r="C12" i="4"/>
  <c r="C11" i="4"/>
  <c r="Z89" i="3"/>
  <c r="Z97" i="3" s="1"/>
  <c r="Z99" i="3" s="1"/>
  <c r="Y89" i="3"/>
  <c r="Y97" i="3" s="1"/>
  <c r="Y99" i="3" s="1"/>
  <c r="X89" i="3"/>
  <c r="X97" i="3" s="1"/>
  <c r="X99" i="3" s="1"/>
  <c r="Z72" i="3"/>
  <c r="Z79" i="3" s="1"/>
  <c r="Y72" i="3"/>
  <c r="Y79" i="3" s="1"/>
  <c r="X72" i="3"/>
  <c r="X79" i="3" s="1"/>
  <c r="Z67" i="3"/>
  <c r="Y67" i="3"/>
  <c r="X67" i="3"/>
  <c r="J6" i="1"/>
  <c r="G6" i="1"/>
  <c r="AS3" i="3"/>
  <c r="AS24" i="3"/>
  <c r="AR24" i="3"/>
  <c r="AS23" i="3"/>
  <c r="AR23" i="3"/>
  <c r="AS22" i="3"/>
  <c r="AR22" i="3"/>
  <c r="AS21" i="3"/>
  <c r="AR21" i="3"/>
  <c r="AS20" i="3"/>
  <c r="AR20" i="3"/>
  <c r="AO25" i="3"/>
  <c r="AS15" i="3"/>
  <c r="AR15" i="3"/>
  <c r="AS14" i="3"/>
  <c r="AR14" i="3"/>
  <c r="AS13" i="3"/>
  <c r="AR13" i="3"/>
  <c r="AS12" i="3"/>
  <c r="AR12" i="3"/>
  <c r="AS11" i="3"/>
  <c r="AR11" i="3"/>
  <c r="AO16" i="3"/>
  <c r="AS6" i="3"/>
  <c r="AR6" i="3"/>
  <c r="AS5" i="3"/>
  <c r="AR5" i="3"/>
  <c r="AS4" i="3"/>
  <c r="AR4" i="3"/>
  <c r="AR3" i="3"/>
  <c r="AQ6" i="3"/>
  <c r="AQ5" i="3"/>
  <c r="AQ4" i="3"/>
  <c r="AQ3" i="3"/>
  <c r="AP6" i="3"/>
  <c r="AP5" i="3"/>
  <c r="AP4" i="3"/>
  <c r="AP3" i="3"/>
  <c r="AO7" i="3"/>
  <c r="F29" i="3"/>
  <c r="E29" i="3"/>
  <c r="D29" i="3"/>
  <c r="C29" i="3"/>
  <c r="W25" i="3"/>
  <c r="V25" i="3"/>
  <c r="U25" i="3"/>
  <c r="T25" i="3"/>
  <c r="S25" i="3"/>
  <c r="R25" i="3"/>
  <c r="Q25" i="3"/>
  <c r="P25" i="3"/>
  <c r="O25" i="3"/>
  <c r="M25" i="3"/>
  <c r="L25" i="3"/>
  <c r="K25" i="3"/>
  <c r="I25" i="3"/>
  <c r="I27" i="3" s="1"/>
  <c r="H25" i="3"/>
  <c r="H27" i="3" s="1"/>
  <c r="G25" i="3"/>
  <c r="G27" i="3" s="1"/>
  <c r="N24" i="3"/>
  <c r="AQ24" i="3" s="1"/>
  <c r="J24" i="3"/>
  <c r="AP24" i="3" s="1"/>
  <c r="N23" i="3"/>
  <c r="AQ23" i="3" s="1"/>
  <c r="J23" i="3"/>
  <c r="AP23" i="3" s="1"/>
  <c r="N22" i="3"/>
  <c r="AQ22" i="3" s="1"/>
  <c r="J22" i="3"/>
  <c r="AP22" i="3" s="1"/>
  <c r="N21" i="3"/>
  <c r="AQ21" i="3" s="1"/>
  <c r="J21" i="3"/>
  <c r="AP21" i="3" s="1"/>
  <c r="N20" i="3"/>
  <c r="J20" i="3"/>
  <c r="W16" i="3"/>
  <c r="V16" i="3"/>
  <c r="U16" i="3"/>
  <c r="T16" i="3"/>
  <c r="S16" i="3"/>
  <c r="R16" i="3"/>
  <c r="Q16" i="3"/>
  <c r="P16" i="3"/>
  <c r="O16" i="3"/>
  <c r="M16" i="3"/>
  <c r="L16" i="3"/>
  <c r="K16" i="3"/>
  <c r="I16" i="3"/>
  <c r="I18" i="3" s="1"/>
  <c r="H16" i="3"/>
  <c r="G16" i="3"/>
  <c r="G18" i="3" s="1"/>
  <c r="N15" i="3"/>
  <c r="J15" i="3"/>
  <c r="AP15" i="3" s="1"/>
  <c r="N14" i="3"/>
  <c r="J14" i="3"/>
  <c r="AQ13" i="3" s="1"/>
  <c r="N13" i="3"/>
  <c r="J13" i="3"/>
  <c r="N12" i="3"/>
  <c r="J12" i="3"/>
  <c r="AQ11" i="3" s="1"/>
  <c r="N11" i="3"/>
  <c r="J11" i="3"/>
  <c r="AP11" i="3" s="1"/>
  <c r="V7" i="3"/>
  <c r="U7" i="3"/>
  <c r="T7" i="3"/>
  <c r="S7" i="3"/>
  <c r="R7" i="3"/>
  <c r="Q7" i="3"/>
  <c r="P7" i="3"/>
  <c r="O7" i="3"/>
  <c r="N7" i="3"/>
  <c r="M7" i="3"/>
  <c r="L7" i="3"/>
  <c r="K7" i="3"/>
  <c r="J7" i="3"/>
  <c r="N9" i="3" s="1"/>
  <c r="I7" i="3"/>
  <c r="M9" i="3" s="1"/>
  <c r="H7" i="3"/>
  <c r="L9" i="3" s="1"/>
  <c r="G7" i="3"/>
  <c r="W7" i="3"/>
  <c r="AE44" i="3" l="1"/>
  <c r="T9" i="3"/>
  <c r="P27" i="3"/>
  <c r="V27" i="3"/>
  <c r="U27" i="3"/>
  <c r="AB62" i="3"/>
  <c r="AB41" i="3"/>
  <c r="AB63" i="3"/>
  <c r="AC63" i="3"/>
  <c r="AC62" i="3"/>
  <c r="AT3" i="3"/>
  <c r="T29" i="3"/>
  <c r="AP7" i="3"/>
  <c r="AP9" i="3" s="1"/>
  <c r="O9" i="3"/>
  <c r="Q9" i="3"/>
  <c r="R9" i="3"/>
  <c r="V9" i="3"/>
  <c r="S9" i="3"/>
  <c r="U9" i="3"/>
  <c r="L18" i="3"/>
  <c r="AW18" i="3"/>
  <c r="AW9" i="3"/>
  <c r="AX9" i="3"/>
  <c r="AS25" i="3"/>
  <c r="AY18" i="3"/>
  <c r="AS16" i="3"/>
  <c r="AT4" i="3"/>
  <c r="AT13" i="3"/>
  <c r="AT15" i="3"/>
  <c r="I9" i="3"/>
  <c r="AT20" i="3"/>
  <c r="J9" i="3"/>
  <c r="O18" i="3"/>
  <c r="AT21" i="3"/>
  <c r="P9" i="3"/>
  <c r="P18" i="3"/>
  <c r="AT22" i="3"/>
  <c r="W9" i="3"/>
  <c r="AT23" i="3"/>
  <c r="S18" i="3"/>
  <c r="AY9" i="3"/>
  <c r="L27" i="3"/>
  <c r="N16" i="3"/>
  <c r="AU25" i="3"/>
  <c r="AV27" i="3" s="1"/>
  <c r="Y9" i="3"/>
  <c r="AC9" i="3"/>
  <c r="AA9" i="3"/>
  <c r="AR16" i="3"/>
  <c r="AU16" i="3"/>
  <c r="U29" i="3"/>
  <c r="R29" i="3"/>
  <c r="S29" i="3"/>
  <c r="AP12" i="3"/>
  <c r="T18" i="3"/>
  <c r="AQ14" i="3"/>
  <c r="AB27" i="3"/>
  <c r="O27" i="3"/>
  <c r="AA27" i="3"/>
  <c r="P29" i="3"/>
  <c r="M18" i="3"/>
  <c r="AT6" i="3"/>
  <c r="G9" i="3"/>
  <c r="AR25" i="3"/>
  <c r="AU7" i="3"/>
  <c r="AV9" i="3" s="1"/>
  <c r="AT11" i="3"/>
  <c r="AW27" i="3"/>
  <c r="J16" i="3"/>
  <c r="J18" i="3" s="1"/>
  <c r="AX27" i="3"/>
  <c r="X18" i="3"/>
  <c r="AB18" i="3"/>
  <c r="K27" i="3"/>
  <c r="L29" i="3"/>
  <c r="M27" i="3"/>
  <c r="Q29" i="3"/>
  <c r="AT5" i="3"/>
  <c r="AO29" i="3"/>
  <c r="J25" i="3"/>
  <c r="H9" i="3"/>
  <c r="Q18" i="3"/>
  <c r="N25" i="3"/>
  <c r="T27" i="3"/>
  <c r="AT12" i="3"/>
  <c r="AX18" i="3"/>
  <c r="J8" i="1"/>
  <c r="Z25" i="3"/>
  <c r="Z27" i="3" s="1"/>
  <c r="X29" i="3"/>
  <c r="X31" i="3" s="1"/>
  <c r="AB54" i="3" s="1"/>
  <c r="Z16" i="3"/>
  <c r="Z18" i="3" s="1"/>
  <c r="Z7" i="3"/>
  <c r="Z9" i="3" s="1"/>
  <c r="Y27" i="3"/>
  <c r="Y18" i="3"/>
  <c r="Y29" i="3"/>
  <c r="Y31" i="3" s="1"/>
  <c r="AA18" i="3"/>
  <c r="AA29" i="3"/>
  <c r="X9" i="3"/>
  <c r="W29" i="3"/>
  <c r="W31" i="3" s="1"/>
  <c r="W27" i="3"/>
  <c r="H18" i="3"/>
  <c r="AP14" i="3"/>
  <c r="X27" i="3"/>
  <c r="C6" i="4"/>
  <c r="K18" i="3"/>
  <c r="I29" i="3"/>
  <c r="AQ20" i="3"/>
  <c r="AQ25" i="3" s="1"/>
  <c r="C9" i="4"/>
  <c r="U18" i="3"/>
  <c r="C5" i="4"/>
  <c r="AQ7" i="3"/>
  <c r="C4" i="4"/>
  <c r="H29" i="3"/>
  <c r="K29" i="3"/>
  <c r="V18" i="3"/>
  <c r="W18" i="3"/>
  <c r="G29" i="3"/>
  <c r="AP20" i="3"/>
  <c r="AP25" i="3" s="1"/>
  <c r="M29" i="3"/>
  <c r="AR7" i="3"/>
  <c r="AQ12" i="3"/>
  <c r="Q27" i="3"/>
  <c r="S27" i="3"/>
  <c r="AS7" i="3"/>
  <c r="V29" i="3"/>
  <c r="O29" i="3"/>
  <c r="AP13" i="3"/>
  <c r="K9" i="3"/>
  <c r="C10" i="4"/>
  <c r="BH57" i="3"/>
  <c r="AO116" i="3"/>
  <c r="AO134" i="3" s="1"/>
  <c r="AR132" i="3"/>
  <c r="AQ132" i="3"/>
  <c r="AP132" i="3"/>
  <c r="AO132" i="3"/>
  <c r="AS132" i="3"/>
  <c r="W132" i="3"/>
  <c r="S132" i="3"/>
  <c r="C132" i="3"/>
  <c r="D132" i="3"/>
  <c r="AS122" i="3"/>
  <c r="AR122" i="3"/>
  <c r="AQ122" i="3"/>
  <c r="AP122" i="3"/>
  <c r="AO122" i="3"/>
  <c r="AS116" i="3"/>
  <c r="AS134" i="3" s="1"/>
  <c r="AR116" i="3"/>
  <c r="AR134" i="3" s="1"/>
  <c r="AQ116" i="3"/>
  <c r="AQ134" i="3" s="1"/>
  <c r="AP116" i="3"/>
  <c r="AP134" i="3" s="1"/>
  <c r="W116" i="3"/>
  <c r="S116" i="3"/>
  <c r="S134" i="3" s="1"/>
  <c r="C116" i="3"/>
  <c r="C134" i="3" s="1"/>
  <c r="AS98" i="3"/>
  <c r="AS96" i="3"/>
  <c r="AS95" i="3"/>
  <c r="AS94" i="3"/>
  <c r="AS93" i="3"/>
  <c r="AS92" i="3"/>
  <c r="AS91" i="3"/>
  <c r="AS90" i="3"/>
  <c r="AS88" i="3"/>
  <c r="AS87" i="3"/>
  <c r="AS86" i="3"/>
  <c r="AS85" i="3"/>
  <c r="AS84" i="3"/>
  <c r="AS83" i="3"/>
  <c r="AS82" i="3"/>
  <c r="AS81" i="3"/>
  <c r="AS80" i="3"/>
  <c r="AS78" i="3"/>
  <c r="AS77" i="3"/>
  <c r="AS76" i="3"/>
  <c r="AS75" i="3"/>
  <c r="AS74" i="3"/>
  <c r="AS73" i="3"/>
  <c r="AS71" i="3"/>
  <c r="AS70" i="3"/>
  <c r="AS69" i="3"/>
  <c r="AS68" i="3"/>
  <c r="AR98" i="3"/>
  <c r="AR96" i="3"/>
  <c r="AR95" i="3"/>
  <c r="AR94" i="3"/>
  <c r="AR93" i="3"/>
  <c r="AR92" i="3"/>
  <c r="AR91" i="3"/>
  <c r="AR90" i="3"/>
  <c r="AR88" i="3"/>
  <c r="AR87" i="3"/>
  <c r="AR86" i="3"/>
  <c r="AR85" i="3"/>
  <c r="AR84" i="3"/>
  <c r="AR83" i="3"/>
  <c r="AR82" i="3"/>
  <c r="AR81" i="3"/>
  <c r="AR80" i="3"/>
  <c r="AR78" i="3"/>
  <c r="AR77" i="3"/>
  <c r="AR76" i="3"/>
  <c r="AR75" i="3"/>
  <c r="AR74" i="3"/>
  <c r="AR73" i="3"/>
  <c r="AR71" i="3"/>
  <c r="AR70" i="3"/>
  <c r="AR69" i="3"/>
  <c r="AR68" i="3"/>
  <c r="AQ98" i="3"/>
  <c r="AQ96" i="3"/>
  <c r="AQ95" i="3"/>
  <c r="AQ94" i="3"/>
  <c r="AQ93" i="3"/>
  <c r="AQ92" i="3"/>
  <c r="AQ91" i="3"/>
  <c r="AQ90" i="3"/>
  <c r="AQ88" i="3"/>
  <c r="AQ87" i="3"/>
  <c r="AQ86" i="3"/>
  <c r="AQ85" i="3"/>
  <c r="AQ84" i="3"/>
  <c r="AQ83" i="3"/>
  <c r="AQ82" i="3"/>
  <c r="AQ81" i="3"/>
  <c r="AQ80" i="3"/>
  <c r="AQ78" i="3"/>
  <c r="AQ77" i="3"/>
  <c r="AQ76" i="3"/>
  <c r="AQ75" i="3"/>
  <c r="AQ74" i="3"/>
  <c r="AQ73" i="3"/>
  <c r="AQ71" i="3"/>
  <c r="AQ70" i="3"/>
  <c r="AQ69" i="3"/>
  <c r="AQ68" i="3"/>
  <c r="AP98" i="3"/>
  <c r="AP96" i="3"/>
  <c r="AP95" i="3"/>
  <c r="AP94" i="3"/>
  <c r="AP93" i="3"/>
  <c r="AP92" i="3"/>
  <c r="AP91" i="3"/>
  <c r="AP90" i="3"/>
  <c r="AP88" i="3"/>
  <c r="AP87" i="3"/>
  <c r="AP86" i="3"/>
  <c r="AP85" i="3"/>
  <c r="AP84" i="3"/>
  <c r="AP83" i="3"/>
  <c r="AP82" i="3"/>
  <c r="AP81" i="3"/>
  <c r="AP80" i="3"/>
  <c r="AP78" i="3"/>
  <c r="AP77" i="3"/>
  <c r="AP76" i="3"/>
  <c r="AP75" i="3"/>
  <c r="AP74" i="3"/>
  <c r="AP73" i="3"/>
  <c r="AP71" i="3"/>
  <c r="AP70" i="3"/>
  <c r="AP69" i="3"/>
  <c r="AP68" i="3"/>
  <c r="AO98" i="3"/>
  <c r="AO96" i="3"/>
  <c r="AO95" i="3"/>
  <c r="AO94" i="3"/>
  <c r="AO93" i="3"/>
  <c r="AO92" i="3"/>
  <c r="AO91" i="3"/>
  <c r="AO90" i="3"/>
  <c r="AO88" i="3"/>
  <c r="AO87" i="3"/>
  <c r="AO86" i="3"/>
  <c r="AO85" i="3"/>
  <c r="AO84" i="3"/>
  <c r="AO83" i="3"/>
  <c r="AO82" i="3"/>
  <c r="AO81" i="3"/>
  <c r="AO80" i="3"/>
  <c r="AO78" i="3"/>
  <c r="AO77" i="3"/>
  <c r="AO76" i="3"/>
  <c r="AO75" i="3"/>
  <c r="AO74" i="3"/>
  <c r="AO73" i="3"/>
  <c r="AO71" i="3"/>
  <c r="AO70" i="3"/>
  <c r="AO69" i="3"/>
  <c r="AO68" i="3"/>
  <c r="C48" i="3"/>
  <c r="D48" i="3"/>
  <c r="E48" i="3"/>
  <c r="F48" i="3"/>
  <c r="G48" i="3"/>
  <c r="H48" i="3"/>
  <c r="I48" i="3"/>
  <c r="J48" i="3"/>
  <c r="K48" i="3"/>
  <c r="L48" i="3"/>
  <c r="M48" i="3"/>
  <c r="N48" i="3"/>
  <c r="R48" i="3"/>
  <c r="Q48" i="3"/>
  <c r="P48" i="3"/>
  <c r="O48" i="3"/>
  <c r="V48" i="3"/>
  <c r="U48" i="3"/>
  <c r="T48" i="3"/>
  <c r="S48" i="3"/>
  <c r="S122" i="3"/>
  <c r="V116" i="3"/>
  <c r="U116" i="3"/>
  <c r="U134" i="3" s="1"/>
  <c r="T116" i="3"/>
  <c r="T134" i="3" s="1"/>
  <c r="R116" i="3"/>
  <c r="R134" i="3" s="1"/>
  <c r="Q116" i="3"/>
  <c r="P116" i="3"/>
  <c r="O116" i="3"/>
  <c r="O134" i="3" s="1"/>
  <c r="N116" i="3"/>
  <c r="N134" i="3" s="1"/>
  <c r="M116" i="3"/>
  <c r="L116" i="3"/>
  <c r="K116" i="3"/>
  <c r="K134" i="3" s="1"/>
  <c r="J116" i="3"/>
  <c r="J134" i="3" s="1"/>
  <c r="I116" i="3"/>
  <c r="H116" i="3"/>
  <c r="G116" i="3"/>
  <c r="G134" i="3" s="1"/>
  <c r="F116" i="3"/>
  <c r="F134" i="3" s="1"/>
  <c r="E116" i="3"/>
  <c r="D116" i="3"/>
  <c r="D134" i="3" s="1"/>
  <c r="V122" i="3"/>
  <c r="U122" i="3"/>
  <c r="T122" i="3"/>
  <c r="R122" i="3"/>
  <c r="Q122" i="3"/>
  <c r="P122" i="3"/>
  <c r="O122" i="3"/>
  <c r="N122" i="3"/>
  <c r="M122" i="3"/>
  <c r="L122" i="3"/>
  <c r="K122" i="3"/>
  <c r="J122" i="3"/>
  <c r="I122" i="3"/>
  <c r="H122" i="3"/>
  <c r="G122" i="3"/>
  <c r="F122" i="3"/>
  <c r="E122" i="3"/>
  <c r="D122" i="3"/>
  <c r="C122" i="3"/>
  <c r="V132" i="3"/>
  <c r="U132" i="3"/>
  <c r="T132" i="3"/>
  <c r="R132" i="3"/>
  <c r="Q132" i="3"/>
  <c r="P132" i="3"/>
  <c r="O132" i="3"/>
  <c r="N132" i="3"/>
  <c r="M132" i="3"/>
  <c r="L132" i="3"/>
  <c r="K132" i="3"/>
  <c r="J132" i="3"/>
  <c r="I132" i="3"/>
  <c r="H132" i="3"/>
  <c r="G132" i="3"/>
  <c r="F132" i="3"/>
  <c r="E132" i="3"/>
  <c r="AE59" i="3" l="1"/>
  <c r="AE46" i="3"/>
  <c r="AE61" i="3" s="1"/>
  <c r="N27" i="3"/>
  <c r="J29" i="3"/>
  <c r="AS27" i="3"/>
  <c r="AA31" i="3"/>
  <c r="AA54" i="3" s="1"/>
  <c r="N18" i="3"/>
  <c r="AC44" i="3"/>
  <c r="AC46" i="3" s="1"/>
  <c r="AC64" i="3"/>
  <c r="AQ9" i="3"/>
  <c r="AR27" i="3"/>
  <c r="AS29" i="3"/>
  <c r="R18" i="3"/>
  <c r="AR29" i="3"/>
  <c r="AQ15" i="3"/>
  <c r="AT25" i="3"/>
  <c r="AT27" i="3" s="1"/>
  <c r="AT7" i="3"/>
  <c r="AT9" i="3" s="1"/>
  <c r="AQ16" i="3"/>
  <c r="AR18" i="3" s="1"/>
  <c r="J27" i="3"/>
  <c r="AD18" i="3"/>
  <c r="Y33" i="3"/>
  <c r="Y36" i="3" s="1"/>
  <c r="Y41" i="3" s="1"/>
  <c r="AC54" i="3"/>
  <c r="AT16" i="3"/>
  <c r="R27" i="3"/>
  <c r="N29" i="3"/>
  <c r="AD31" i="3"/>
  <c r="AD33" i="3" s="1"/>
  <c r="AD27" i="3"/>
  <c r="AP16" i="3"/>
  <c r="AP18" i="3" s="1"/>
  <c r="AS18" i="3"/>
  <c r="AD9" i="3"/>
  <c r="AV18" i="3"/>
  <c r="Z29" i="3"/>
  <c r="Z31" i="3" s="1"/>
  <c r="Z33" i="3" s="1"/>
  <c r="Z36" i="3" s="1"/>
  <c r="Z41" i="3" s="1"/>
  <c r="AR9" i="3"/>
  <c r="AT134" i="3"/>
  <c r="AU134" i="3" s="1"/>
  <c r="AV134" i="3" s="1"/>
  <c r="AW134" i="3" s="1"/>
  <c r="AX134" i="3" s="1"/>
  <c r="AY134" i="3" s="1"/>
  <c r="AZ134" i="3" s="1"/>
  <c r="BA134" i="3" s="1"/>
  <c r="BB134" i="3" s="1"/>
  <c r="BC134" i="3" s="1"/>
  <c r="BD134" i="3" s="1"/>
  <c r="BE134" i="3" s="1"/>
  <c r="BF134" i="3" s="1"/>
  <c r="BG134" i="3" s="1"/>
  <c r="BH134" i="3" s="1"/>
  <c r="BI134" i="3" s="1"/>
  <c r="BJ134" i="3" s="1"/>
  <c r="BK134" i="3" s="1"/>
  <c r="BL134" i="3" s="1"/>
  <c r="BM134" i="3" s="1"/>
  <c r="BN134" i="3" s="1"/>
  <c r="BO134" i="3" s="1"/>
  <c r="BP134" i="3" s="1"/>
  <c r="BQ134" i="3" s="1"/>
  <c r="BR134" i="3" s="1"/>
  <c r="BS134" i="3" s="1"/>
  <c r="BT134" i="3" s="1"/>
  <c r="BU134" i="3" s="1"/>
  <c r="BV134" i="3" s="1"/>
  <c r="BW134" i="3" s="1"/>
  <c r="BX134" i="3" s="1"/>
  <c r="BY134" i="3" s="1"/>
  <c r="BZ134" i="3" s="1"/>
  <c r="CA134" i="3" s="1"/>
  <c r="CB134" i="3" s="1"/>
  <c r="CC134" i="3" s="1"/>
  <c r="CD134" i="3" s="1"/>
  <c r="CE134" i="3" s="1"/>
  <c r="CF134" i="3" s="1"/>
  <c r="CG134" i="3" s="1"/>
  <c r="CH134" i="3" s="1"/>
  <c r="CI134" i="3" s="1"/>
  <c r="CJ134" i="3" s="1"/>
  <c r="CK134" i="3" s="1"/>
  <c r="CL134" i="3" s="1"/>
  <c r="CM134" i="3" s="1"/>
  <c r="CN134" i="3" s="1"/>
  <c r="CO134" i="3" s="1"/>
  <c r="CP134" i="3" s="1"/>
  <c r="CQ134" i="3" s="1"/>
  <c r="CR134" i="3" s="1"/>
  <c r="CS134" i="3" s="1"/>
  <c r="CT134" i="3" s="1"/>
  <c r="CU134" i="3" s="1"/>
  <c r="CV134" i="3" s="1"/>
  <c r="CW134" i="3" s="1"/>
  <c r="CX134" i="3" s="1"/>
  <c r="CY134" i="3" s="1"/>
  <c r="CZ134" i="3" s="1"/>
  <c r="DA134" i="3" s="1"/>
  <c r="DB134" i="3" s="1"/>
  <c r="DC134" i="3" s="1"/>
  <c r="DD134" i="3" s="1"/>
  <c r="DE134" i="3" s="1"/>
  <c r="DF134" i="3" s="1"/>
  <c r="DG134" i="3" s="1"/>
  <c r="DH134" i="3" s="1"/>
  <c r="DI134" i="3" s="1"/>
  <c r="DJ134" i="3" s="1"/>
  <c r="DK134" i="3" s="1"/>
  <c r="DL134" i="3" s="1"/>
  <c r="DM134" i="3" s="1"/>
  <c r="DN134" i="3" s="1"/>
  <c r="DO134" i="3" s="1"/>
  <c r="DP134" i="3" s="1"/>
  <c r="DQ134" i="3" s="1"/>
  <c r="DR134" i="3" s="1"/>
  <c r="DS134" i="3" s="1"/>
  <c r="DT134" i="3" s="1"/>
  <c r="DU134" i="3" s="1"/>
  <c r="DV134" i="3" s="1"/>
  <c r="DW134" i="3" s="1"/>
  <c r="DX134" i="3" s="1"/>
  <c r="DY134" i="3" s="1"/>
  <c r="DZ134" i="3" s="1"/>
  <c r="EA134" i="3" s="1"/>
  <c r="EB134" i="3" s="1"/>
  <c r="EC134" i="3" s="1"/>
  <c r="ED134" i="3" s="1"/>
  <c r="EE134" i="3" s="1"/>
  <c r="EF134" i="3" s="1"/>
  <c r="EG134" i="3" s="1"/>
  <c r="EH134" i="3" s="1"/>
  <c r="EI134" i="3" s="1"/>
  <c r="EJ134" i="3" s="1"/>
  <c r="EK134" i="3" s="1"/>
  <c r="EL134" i="3" s="1"/>
  <c r="EM134" i="3" s="1"/>
  <c r="EN134" i="3" s="1"/>
  <c r="EO134" i="3" s="1"/>
  <c r="EP134" i="3" s="1"/>
  <c r="EQ134" i="3" s="1"/>
  <c r="ER134" i="3" s="1"/>
  <c r="ES134" i="3" s="1"/>
  <c r="ET134" i="3" s="1"/>
  <c r="EU134" i="3" s="1"/>
  <c r="EV134" i="3" s="1"/>
  <c r="EW134" i="3" s="1"/>
  <c r="EX134" i="3" s="1"/>
  <c r="EY134" i="3" s="1"/>
  <c r="EZ134" i="3" s="1"/>
  <c r="FA134" i="3" s="1"/>
  <c r="FB134" i="3" s="1"/>
  <c r="FC134" i="3" s="1"/>
  <c r="FD134" i="3" s="1"/>
  <c r="FE134" i="3" s="1"/>
  <c r="FF134" i="3" s="1"/>
  <c r="FG134" i="3" s="1"/>
  <c r="FH134" i="3" s="1"/>
  <c r="FI134" i="3" s="1"/>
  <c r="FJ134" i="3" s="1"/>
  <c r="FK134" i="3" s="1"/>
  <c r="FL134" i="3" s="1"/>
  <c r="FM134" i="3" s="1"/>
  <c r="FN134" i="3" s="1"/>
  <c r="FO134" i="3" s="1"/>
  <c r="FP134" i="3" s="1"/>
  <c r="FQ134" i="3" s="1"/>
  <c r="FR134" i="3" s="1"/>
  <c r="FS134" i="3" s="1"/>
  <c r="FT134" i="3" s="1"/>
  <c r="FU134" i="3" s="1"/>
  <c r="FV134" i="3" s="1"/>
  <c r="FW134" i="3" s="1"/>
  <c r="FX134" i="3" s="1"/>
  <c r="FY134" i="3" s="1"/>
  <c r="FZ134" i="3" s="1"/>
  <c r="GA134" i="3" s="1"/>
  <c r="GB134" i="3" s="1"/>
  <c r="GC134" i="3" s="1"/>
  <c r="GD134" i="3" s="1"/>
  <c r="GE134" i="3" s="1"/>
  <c r="GF134" i="3" s="1"/>
  <c r="GG134" i="3" s="1"/>
  <c r="GH134" i="3" s="1"/>
  <c r="GI134" i="3" s="1"/>
  <c r="GJ134" i="3" s="1"/>
  <c r="GK134" i="3" s="1"/>
  <c r="GL134" i="3" s="1"/>
  <c r="GM134" i="3" s="1"/>
  <c r="GN134" i="3" s="1"/>
  <c r="GO134" i="3" s="1"/>
  <c r="GP134" i="3" s="1"/>
  <c r="GQ134" i="3" s="1"/>
  <c r="GR134" i="3" s="1"/>
  <c r="GS134" i="3" s="1"/>
  <c r="GT134" i="3" s="1"/>
  <c r="GU134" i="3" s="1"/>
  <c r="GV134" i="3" s="1"/>
  <c r="GW134" i="3" s="1"/>
  <c r="GX134" i="3" s="1"/>
  <c r="GY134" i="3" s="1"/>
  <c r="GZ134" i="3" s="1"/>
  <c r="HA134" i="3" s="1"/>
  <c r="HB134" i="3" s="1"/>
  <c r="HC134" i="3" s="1"/>
  <c r="HD134" i="3" s="1"/>
  <c r="HE134" i="3" s="1"/>
  <c r="HF134" i="3" s="1"/>
  <c r="HG134" i="3" s="1"/>
  <c r="HH134" i="3" s="1"/>
  <c r="HI134" i="3" s="1"/>
  <c r="HJ134" i="3" s="1"/>
  <c r="HK134" i="3" s="1"/>
  <c r="HL134" i="3" s="1"/>
  <c r="HM134" i="3" s="1"/>
  <c r="HN134" i="3" s="1"/>
  <c r="HO134" i="3" s="1"/>
  <c r="HP134" i="3" s="1"/>
  <c r="HQ134" i="3" s="1"/>
  <c r="HR134" i="3" s="1"/>
  <c r="HS134" i="3" s="1"/>
  <c r="HT134" i="3" s="1"/>
  <c r="HU134" i="3" s="1"/>
  <c r="HV134" i="3" s="1"/>
  <c r="HW134" i="3" s="1"/>
  <c r="HX134" i="3" s="1"/>
  <c r="HY134" i="3" s="1"/>
  <c r="HZ134" i="3" s="1"/>
  <c r="IA134" i="3" s="1"/>
  <c r="IB134" i="3" s="1"/>
  <c r="IC134" i="3" s="1"/>
  <c r="ID134" i="3" s="1"/>
  <c r="IE134" i="3" s="1"/>
  <c r="IF134" i="3" s="1"/>
  <c r="IG134" i="3" s="1"/>
  <c r="IH134" i="3" s="1"/>
  <c r="II134" i="3" s="1"/>
  <c r="IJ134" i="3" s="1"/>
  <c r="IK134" i="3" s="1"/>
  <c r="IL134" i="3" s="1"/>
  <c r="IM134" i="3" s="1"/>
  <c r="IN134" i="3" s="1"/>
  <c r="IO134" i="3" s="1"/>
  <c r="IP134" i="3" s="1"/>
  <c r="IQ134" i="3" s="1"/>
  <c r="IR134" i="3" s="1"/>
  <c r="IS134" i="3" s="1"/>
  <c r="IT134" i="3" s="1"/>
  <c r="IU134" i="3" s="1"/>
  <c r="IV134" i="3" s="1"/>
  <c r="IW134" i="3" s="1"/>
  <c r="IX134" i="3" s="1"/>
  <c r="IY134" i="3" s="1"/>
  <c r="IZ134" i="3" s="1"/>
  <c r="JA134" i="3" s="1"/>
  <c r="JB134" i="3" s="1"/>
  <c r="JC134" i="3" s="1"/>
  <c r="JD134" i="3" s="1"/>
  <c r="JE134" i="3" s="1"/>
  <c r="JF134" i="3" s="1"/>
  <c r="JG134" i="3" s="1"/>
  <c r="JH134" i="3" s="1"/>
  <c r="JI134" i="3" s="1"/>
  <c r="JJ134" i="3" s="1"/>
  <c r="JK134" i="3" s="1"/>
  <c r="JL134" i="3" s="1"/>
  <c r="JM134" i="3" s="1"/>
  <c r="JN134" i="3" s="1"/>
  <c r="JO134" i="3" s="1"/>
  <c r="JP134" i="3" s="1"/>
  <c r="JQ134" i="3" s="1"/>
  <c r="JR134" i="3" s="1"/>
  <c r="JS134" i="3" s="1"/>
  <c r="JT134" i="3" s="1"/>
  <c r="JU134" i="3" s="1"/>
  <c r="JV134" i="3" s="1"/>
  <c r="JW134" i="3" s="1"/>
  <c r="JX134" i="3" s="1"/>
  <c r="JY134" i="3" s="1"/>
  <c r="JZ134" i="3" s="1"/>
  <c r="KA134" i="3" s="1"/>
  <c r="KB134" i="3" s="1"/>
  <c r="KC134" i="3" s="1"/>
  <c r="KD134" i="3" s="1"/>
  <c r="KE134" i="3" s="1"/>
  <c r="KF134" i="3" s="1"/>
  <c r="KG134" i="3" s="1"/>
  <c r="KH134" i="3" s="1"/>
  <c r="KI134" i="3" s="1"/>
  <c r="KJ134" i="3" s="1"/>
  <c r="KK134" i="3" s="1"/>
  <c r="KL134" i="3" s="1"/>
  <c r="KM134" i="3" s="1"/>
  <c r="KN134" i="3" s="1"/>
  <c r="KO134" i="3" s="1"/>
  <c r="KP134" i="3" s="1"/>
  <c r="KQ134" i="3" s="1"/>
  <c r="KR134" i="3" s="1"/>
  <c r="KS134" i="3" s="1"/>
  <c r="KT134" i="3" s="1"/>
  <c r="KU134" i="3" s="1"/>
  <c r="KV134" i="3" s="1"/>
  <c r="KW134" i="3" s="1"/>
  <c r="KX134" i="3" s="1"/>
  <c r="KY134" i="3" s="1"/>
  <c r="KZ134" i="3" s="1"/>
  <c r="LA134" i="3" s="1"/>
  <c r="LB134" i="3" s="1"/>
  <c r="LC134" i="3" s="1"/>
  <c r="LD134" i="3" s="1"/>
  <c r="LE134" i="3" s="1"/>
  <c r="LF134" i="3" s="1"/>
  <c r="LG134" i="3" s="1"/>
  <c r="LH134" i="3" s="1"/>
  <c r="LI134" i="3" s="1"/>
  <c r="LJ134" i="3" s="1"/>
  <c r="LK134" i="3" s="1"/>
  <c r="LL134" i="3" s="1"/>
  <c r="LM134" i="3" s="1"/>
  <c r="LN134" i="3" s="1"/>
  <c r="LO134" i="3" s="1"/>
  <c r="LP134" i="3" s="1"/>
  <c r="LQ134" i="3" s="1"/>
  <c r="LR134" i="3" s="1"/>
  <c r="LS134" i="3" s="1"/>
  <c r="LT134" i="3" s="1"/>
  <c r="LU134" i="3" s="1"/>
  <c r="LV134" i="3" s="1"/>
  <c r="LW134" i="3" s="1"/>
  <c r="LX134" i="3" s="1"/>
  <c r="LY134" i="3" s="1"/>
  <c r="LZ134" i="3" s="1"/>
  <c r="MA134" i="3" s="1"/>
  <c r="MB134" i="3" s="1"/>
  <c r="MC134" i="3" s="1"/>
  <c r="MD134" i="3" s="1"/>
  <c r="ME134" i="3" s="1"/>
  <c r="MF134" i="3" s="1"/>
  <c r="MG134" i="3" s="1"/>
  <c r="MH134" i="3" s="1"/>
  <c r="MI134" i="3" s="1"/>
  <c r="MJ134" i="3" s="1"/>
  <c r="MK134" i="3" s="1"/>
  <c r="ML134" i="3" s="1"/>
  <c r="MM134" i="3" s="1"/>
  <c r="MN134" i="3" s="1"/>
  <c r="MO134" i="3" s="1"/>
  <c r="MP134" i="3" s="1"/>
  <c r="MQ134" i="3" s="1"/>
  <c r="MR134" i="3" s="1"/>
  <c r="MS134" i="3" s="1"/>
  <c r="MT134" i="3" s="1"/>
  <c r="MU134" i="3" s="1"/>
  <c r="MV134" i="3" s="1"/>
  <c r="MW134" i="3" s="1"/>
  <c r="MX134" i="3" s="1"/>
  <c r="MY134" i="3" s="1"/>
  <c r="MZ134" i="3" s="1"/>
  <c r="NA134" i="3" s="1"/>
  <c r="NB134" i="3" s="1"/>
  <c r="NC134" i="3" s="1"/>
  <c r="ND134" i="3" s="1"/>
  <c r="NE134" i="3" s="1"/>
  <c r="NF134" i="3" s="1"/>
  <c r="NG134" i="3" s="1"/>
  <c r="NH134" i="3" s="1"/>
  <c r="NI134" i="3" s="1"/>
  <c r="NJ134" i="3" s="1"/>
  <c r="NK134" i="3" s="1"/>
  <c r="NL134" i="3" s="1"/>
  <c r="NM134" i="3" s="1"/>
  <c r="NN134" i="3" s="1"/>
  <c r="NO134" i="3" s="1"/>
  <c r="NP134" i="3" s="1"/>
  <c r="NQ134" i="3" s="1"/>
  <c r="NR134" i="3" s="1"/>
  <c r="NS134" i="3" s="1"/>
  <c r="NT134" i="3" s="1"/>
  <c r="NU134" i="3" s="1"/>
  <c r="NV134" i="3" s="1"/>
  <c r="NW134" i="3" s="1"/>
  <c r="NX134" i="3" s="1"/>
  <c r="NY134" i="3" s="1"/>
  <c r="NZ134" i="3" s="1"/>
  <c r="OA134" i="3" s="1"/>
  <c r="OB134" i="3" s="1"/>
  <c r="OC134" i="3" s="1"/>
  <c r="OD134" i="3" s="1"/>
  <c r="OE134" i="3" s="1"/>
  <c r="OF134" i="3" s="1"/>
  <c r="OG134" i="3" s="1"/>
  <c r="OH134" i="3" s="1"/>
  <c r="OI134" i="3" s="1"/>
  <c r="OJ134" i="3" s="1"/>
  <c r="OK134" i="3" s="1"/>
  <c r="OL134" i="3" s="1"/>
  <c r="OM134" i="3" s="1"/>
  <c r="ON134" i="3" s="1"/>
  <c r="OO134" i="3" s="1"/>
  <c r="OP134" i="3" s="1"/>
  <c r="OQ134" i="3" s="1"/>
  <c r="OR134" i="3" s="1"/>
  <c r="OS134" i="3" s="1"/>
  <c r="OT134" i="3" s="1"/>
  <c r="OU134" i="3" s="1"/>
  <c r="OV134" i="3" s="1"/>
  <c r="OW134" i="3" s="1"/>
  <c r="OX134" i="3" s="1"/>
  <c r="OY134" i="3" s="1"/>
  <c r="OZ134" i="3" s="1"/>
  <c r="PA134" i="3" s="1"/>
  <c r="PB134" i="3" s="1"/>
  <c r="PC134" i="3" s="1"/>
  <c r="PD134" i="3" s="1"/>
  <c r="PE134" i="3" s="1"/>
  <c r="PF134" i="3" s="1"/>
  <c r="PG134" i="3" s="1"/>
  <c r="PH134" i="3" s="1"/>
  <c r="PI134" i="3" s="1"/>
  <c r="PJ134" i="3" s="1"/>
  <c r="PK134" i="3" s="1"/>
  <c r="PL134" i="3" s="1"/>
  <c r="PM134" i="3" s="1"/>
  <c r="PN134" i="3" s="1"/>
  <c r="PO134" i="3" s="1"/>
  <c r="PP134" i="3" s="1"/>
  <c r="PQ134" i="3" s="1"/>
  <c r="PR134" i="3" s="1"/>
  <c r="PS134" i="3" s="1"/>
  <c r="PT134" i="3" s="1"/>
  <c r="PU134" i="3" s="1"/>
  <c r="PV134" i="3" s="1"/>
  <c r="PW134" i="3" s="1"/>
  <c r="PX134" i="3" s="1"/>
  <c r="PY134" i="3" s="1"/>
  <c r="PZ134" i="3" s="1"/>
  <c r="AQ27" i="3"/>
  <c r="AP27" i="3"/>
  <c r="AS9" i="3"/>
  <c r="AS133" i="3"/>
  <c r="AO133" i="3"/>
  <c r="AP133" i="3"/>
  <c r="AR133" i="3"/>
  <c r="AQ133" i="3"/>
  <c r="AP67" i="3"/>
  <c r="AO48" i="3"/>
  <c r="AP72" i="3"/>
  <c r="AP79" i="3" s="1"/>
  <c r="AO72" i="3"/>
  <c r="AO79" i="3" s="1"/>
  <c r="AS89" i="3"/>
  <c r="AS97" i="3" s="1"/>
  <c r="AS99" i="3" s="1"/>
  <c r="AP89" i="3"/>
  <c r="AP97" i="3" s="1"/>
  <c r="AP99" i="3" s="1"/>
  <c r="AR72" i="3"/>
  <c r="AR79" i="3" s="1"/>
  <c r="AR89" i="3"/>
  <c r="AR97" i="3" s="1"/>
  <c r="AR99" i="3" s="1"/>
  <c r="AR67" i="3"/>
  <c r="F133" i="3"/>
  <c r="R133" i="3"/>
  <c r="D133" i="3"/>
  <c r="H133" i="3"/>
  <c r="L133" i="3"/>
  <c r="P133" i="3"/>
  <c r="U133" i="3"/>
  <c r="S133" i="3"/>
  <c r="AQ89" i="3"/>
  <c r="AQ97" i="3" s="1"/>
  <c r="AQ99" i="3" s="1"/>
  <c r="AS72" i="3"/>
  <c r="AS79" i="3" s="1"/>
  <c r="E133" i="3"/>
  <c r="I133" i="3"/>
  <c r="M133" i="3"/>
  <c r="Q133" i="3"/>
  <c r="V133" i="3"/>
  <c r="AR48" i="3"/>
  <c r="AQ72" i="3"/>
  <c r="AQ79" i="3" s="1"/>
  <c r="J133" i="3"/>
  <c r="N133" i="3"/>
  <c r="AS48" i="3"/>
  <c r="AO89" i="3"/>
  <c r="AO97" i="3" s="1"/>
  <c r="AO99" i="3" s="1"/>
  <c r="AS67" i="3"/>
  <c r="AQ67" i="3"/>
  <c r="AO67" i="3"/>
  <c r="C133" i="3"/>
  <c r="K133" i="3"/>
  <c r="T133" i="3"/>
  <c r="L134" i="3"/>
  <c r="P134" i="3"/>
  <c r="G133" i="3"/>
  <c r="O133" i="3"/>
  <c r="H134" i="3"/>
  <c r="AQ48" i="3"/>
  <c r="AP48" i="3"/>
  <c r="E134" i="3"/>
  <c r="I134" i="3"/>
  <c r="M134" i="3"/>
  <c r="Q134" i="3"/>
  <c r="V134" i="3"/>
  <c r="W122" i="3"/>
  <c r="W89" i="3"/>
  <c r="W97" i="3" s="1"/>
  <c r="V89" i="3"/>
  <c r="V97" i="3" s="1"/>
  <c r="V99" i="3" s="1"/>
  <c r="U89" i="3"/>
  <c r="U97" i="3" s="1"/>
  <c r="U99" i="3" s="1"/>
  <c r="T89" i="3"/>
  <c r="T97" i="3" s="1"/>
  <c r="T99" i="3" s="1"/>
  <c r="S89" i="3"/>
  <c r="S97" i="3" s="1"/>
  <c r="S99" i="3" s="1"/>
  <c r="R89" i="3"/>
  <c r="R97" i="3" s="1"/>
  <c r="R99" i="3" s="1"/>
  <c r="Q89" i="3"/>
  <c r="Q97" i="3" s="1"/>
  <c r="Q99" i="3" s="1"/>
  <c r="P89" i="3"/>
  <c r="P97" i="3" s="1"/>
  <c r="P99" i="3" s="1"/>
  <c r="O89" i="3"/>
  <c r="O97" i="3" s="1"/>
  <c r="O99" i="3" s="1"/>
  <c r="N89" i="3"/>
  <c r="N97" i="3" s="1"/>
  <c r="N99" i="3" s="1"/>
  <c r="M89" i="3"/>
  <c r="M97" i="3" s="1"/>
  <c r="M99" i="3" s="1"/>
  <c r="L89" i="3"/>
  <c r="L97" i="3" s="1"/>
  <c r="L99" i="3" s="1"/>
  <c r="K89" i="3"/>
  <c r="K97" i="3" s="1"/>
  <c r="K99" i="3" s="1"/>
  <c r="J89" i="3"/>
  <c r="J97" i="3" s="1"/>
  <c r="J99" i="3" s="1"/>
  <c r="I89" i="3"/>
  <c r="I97" i="3" s="1"/>
  <c r="I99" i="3" s="1"/>
  <c r="H89" i="3"/>
  <c r="H97" i="3" s="1"/>
  <c r="H99" i="3" s="1"/>
  <c r="G89" i="3"/>
  <c r="G97" i="3" s="1"/>
  <c r="G99" i="3" s="1"/>
  <c r="F89" i="3"/>
  <c r="F97" i="3" s="1"/>
  <c r="F99" i="3" s="1"/>
  <c r="E89" i="3"/>
  <c r="E97" i="3" s="1"/>
  <c r="E99" i="3" s="1"/>
  <c r="D89" i="3"/>
  <c r="D97" i="3" s="1"/>
  <c r="D99" i="3" s="1"/>
  <c r="C89" i="3"/>
  <c r="C97" i="3" s="1"/>
  <c r="C99" i="3" s="1"/>
  <c r="C72" i="3"/>
  <c r="C79" i="3" s="1"/>
  <c r="C67" i="3"/>
  <c r="D67" i="3"/>
  <c r="E67" i="3"/>
  <c r="F67" i="3"/>
  <c r="G67" i="3"/>
  <c r="H67" i="3"/>
  <c r="I67" i="3"/>
  <c r="J67" i="3"/>
  <c r="K67" i="3"/>
  <c r="L67" i="3"/>
  <c r="M67" i="3"/>
  <c r="N67" i="3"/>
  <c r="O67" i="3"/>
  <c r="P67" i="3"/>
  <c r="Q67" i="3"/>
  <c r="R67" i="3"/>
  <c r="S67" i="3"/>
  <c r="T67" i="3"/>
  <c r="U67" i="3"/>
  <c r="V67" i="3"/>
  <c r="W67" i="3"/>
  <c r="D72" i="3"/>
  <c r="D79" i="3" s="1"/>
  <c r="E72" i="3"/>
  <c r="E79" i="3" s="1"/>
  <c r="F72" i="3"/>
  <c r="F79" i="3" s="1"/>
  <c r="G72" i="3"/>
  <c r="G79" i="3" s="1"/>
  <c r="H72" i="3"/>
  <c r="H79" i="3" s="1"/>
  <c r="I72" i="3"/>
  <c r="I79" i="3" s="1"/>
  <c r="J72" i="3"/>
  <c r="J79" i="3" s="1"/>
  <c r="K72" i="3"/>
  <c r="K79" i="3" s="1"/>
  <c r="L72" i="3"/>
  <c r="L79" i="3" s="1"/>
  <c r="M72" i="3"/>
  <c r="M79" i="3" s="1"/>
  <c r="N72" i="3"/>
  <c r="N79" i="3" s="1"/>
  <c r="O72" i="3"/>
  <c r="O79" i="3" s="1"/>
  <c r="P72" i="3"/>
  <c r="P79" i="3" s="1"/>
  <c r="Q72" i="3"/>
  <c r="Q79" i="3" s="1"/>
  <c r="R72" i="3"/>
  <c r="R79" i="3" s="1"/>
  <c r="S72" i="3"/>
  <c r="S79" i="3" s="1"/>
  <c r="T72" i="3"/>
  <c r="T79" i="3" s="1"/>
  <c r="U72" i="3"/>
  <c r="U79" i="3" s="1"/>
  <c r="V72" i="3"/>
  <c r="V79" i="3" s="1"/>
  <c r="W72" i="3"/>
  <c r="W79" i="3" s="1"/>
  <c r="AU9" i="3" l="1"/>
  <c r="AA33" i="3"/>
  <c r="AA36" i="3" s="1"/>
  <c r="AA41" i="3" s="1"/>
  <c r="AQ29" i="3"/>
  <c r="AU27" i="3"/>
  <c r="AP29" i="3"/>
  <c r="AQ18" i="3"/>
  <c r="AT18" i="3"/>
  <c r="AC58" i="3"/>
  <c r="AD54" i="3"/>
  <c r="AU31" i="3"/>
  <c r="AU33" i="3" s="1"/>
  <c r="AU36" i="3" s="1"/>
  <c r="AU41" i="3" s="1"/>
  <c r="AU18" i="3"/>
  <c r="J7" i="1"/>
  <c r="J9" i="1" s="1"/>
  <c r="J10" i="1" s="1"/>
  <c r="W99" i="3"/>
  <c r="W134" i="3"/>
  <c r="W133" i="3"/>
  <c r="BH59" i="3"/>
  <c r="AS39" i="3"/>
  <c r="AS38" i="3"/>
  <c r="AR39" i="3"/>
  <c r="AR38" i="3"/>
  <c r="AQ39" i="3"/>
  <c r="AQ38" i="3"/>
  <c r="AP39" i="3"/>
  <c r="AP38" i="3"/>
  <c r="AO39" i="3"/>
  <c r="AO38" i="3"/>
  <c r="Z55" i="3"/>
  <c r="Y55" i="3"/>
  <c r="Z56" i="3"/>
  <c r="X35" i="3"/>
  <c r="AB57" i="3" s="1"/>
  <c r="X55" i="3"/>
  <c r="C37" i="3"/>
  <c r="D37" i="3"/>
  <c r="E37" i="3"/>
  <c r="F37" i="3"/>
  <c r="G37" i="3"/>
  <c r="H37" i="3"/>
  <c r="I37" i="3"/>
  <c r="J37" i="3"/>
  <c r="K37" i="3"/>
  <c r="L37" i="3"/>
  <c r="M37" i="3"/>
  <c r="N37" i="3"/>
  <c r="O37" i="3"/>
  <c r="P37" i="3"/>
  <c r="Q37" i="3"/>
  <c r="R37" i="3"/>
  <c r="T37" i="3"/>
  <c r="U37" i="3"/>
  <c r="V37" i="3"/>
  <c r="S37" i="3"/>
  <c r="AT45" i="3"/>
  <c r="W35" i="3"/>
  <c r="AA57" i="3" s="1"/>
  <c r="Y60" i="3"/>
  <c r="X60" i="3"/>
  <c r="W60" i="3"/>
  <c r="W56" i="3"/>
  <c r="W55" i="3"/>
  <c r="AS45" i="3"/>
  <c r="AS43" i="3"/>
  <c r="AS42" i="3"/>
  <c r="AS40" i="3"/>
  <c r="AS34" i="3"/>
  <c r="AS35" i="3" s="1"/>
  <c r="AS32" i="3"/>
  <c r="AS30" i="3"/>
  <c r="AS31" i="3" s="1"/>
  <c r="AR34" i="3"/>
  <c r="AR35" i="3" s="1"/>
  <c r="AR32" i="3"/>
  <c r="AR30" i="3"/>
  <c r="AQ30" i="3"/>
  <c r="S55" i="3"/>
  <c r="T55" i="3"/>
  <c r="U55" i="3"/>
  <c r="V55" i="3"/>
  <c r="S56" i="3"/>
  <c r="T56" i="3"/>
  <c r="U56" i="3"/>
  <c r="V56" i="3"/>
  <c r="S60" i="3"/>
  <c r="T60" i="3"/>
  <c r="U60" i="3"/>
  <c r="V60" i="3"/>
  <c r="V31" i="3"/>
  <c r="V33" i="3" s="1"/>
  <c r="V35" i="3"/>
  <c r="U35" i="3"/>
  <c r="T35" i="3"/>
  <c r="S35" i="3"/>
  <c r="R35" i="3"/>
  <c r="U31" i="3"/>
  <c r="T31" i="3"/>
  <c r="S31" i="3"/>
  <c r="S33" i="3" s="1"/>
  <c r="R31" i="3"/>
  <c r="Q31" i="3"/>
  <c r="S36" i="3" l="1"/>
  <c r="AA62" i="3"/>
  <c r="AD36" i="3"/>
  <c r="AD62" i="3"/>
  <c r="AA63" i="3"/>
  <c r="U33" i="3"/>
  <c r="U36" i="3" s="1"/>
  <c r="T33" i="3"/>
  <c r="T62" i="3" s="1"/>
  <c r="X54" i="3"/>
  <c r="W33" i="3"/>
  <c r="W62" i="3" s="1"/>
  <c r="W54" i="3"/>
  <c r="Z57" i="3"/>
  <c r="Z60" i="3"/>
  <c r="AT38" i="3"/>
  <c r="Y56" i="3"/>
  <c r="AT39" i="3"/>
  <c r="AO37" i="3"/>
  <c r="AT40" i="3"/>
  <c r="AP37" i="3"/>
  <c r="AT37" i="3"/>
  <c r="AS33" i="3"/>
  <c r="AS36" i="3" s="1"/>
  <c r="AS41" i="3" s="1"/>
  <c r="X56" i="3"/>
  <c r="AT32" i="3"/>
  <c r="AT43" i="3"/>
  <c r="X57" i="3"/>
  <c r="AS37" i="3"/>
  <c r="AT34" i="3"/>
  <c r="AT35" i="3" s="1"/>
  <c r="W57" i="3"/>
  <c r="Y57" i="3"/>
  <c r="AR31" i="3"/>
  <c r="AR33" i="3" s="1"/>
  <c r="AR36" i="3" s="1"/>
  <c r="V57" i="3"/>
  <c r="V36" i="3"/>
  <c r="V41" i="3" s="1"/>
  <c r="U54" i="3"/>
  <c r="V62" i="3"/>
  <c r="V54" i="3"/>
  <c r="S62" i="3"/>
  <c r="Q35" i="3"/>
  <c r="U57" i="3" s="1"/>
  <c r="Q33" i="3"/>
  <c r="AD41" i="3" l="1"/>
  <c r="AH58" i="3"/>
  <c r="U41" i="3"/>
  <c r="U64" i="3" s="1"/>
  <c r="S63" i="3"/>
  <c r="S41" i="3"/>
  <c r="T36" i="3"/>
  <c r="U62" i="3"/>
  <c r="AW37" i="3"/>
  <c r="AD58" i="3"/>
  <c r="AD63" i="3"/>
  <c r="AB44" i="3"/>
  <c r="AA44" i="3"/>
  <c r="AA64" i="3"/>
  <c r="AT31" i="3"/>
  <c r="AT33" i="3" s="1"/>
  <c r="AT36" i="3" s="1"/>
  <c r="AT41" i="3" s="1"/>
  <c r="W36" i="3"/>
  <c r="W58" i="3" s="1"/>
  <c r="U63" i="3"/>
  <c r="V63" i="3"/>
  <c r="V44" i="3"/>
  <c r="V102" i="3" s="1"/>
  <c r="X33" i="3"/>
  <c r="Z54" i="3"/>
  <c r="Y54" i="3"/>
  <c r="AS54" i="3"/>
  <c r="S44" i="3"/>
  <c r="S102" i="3" s="1"/>
  <c r="S64" i="3"/>
  <c r="BE59" i="3"/>
  <c r="W63" i="3" l="1"/>
  <c r="W41" i="3"/>
  <c r="T63" i="3"/>
  <c r="T41" i="3"/>
  <c r="U44" i="3"/>
  <c r="T44" i="3"/>
  <c r="T102" i="3" s="1"/>
  <c r="AD44" i="3"/>
  <c r="AH59" i="3" s="1"/>
  <c r="AD64" i="3"/>
  <c r="W64" i="3"/>
  <c r="AA58" i="3"/>
  <c r="AB46" i="3"/>
  <c r="AU42" i="3"/>
  <c r="AB64" i="3"/>
  <c r="AA46" i="3"/>
  <c r="AA102" i="3"/>
  <c r="V64" i="3"/>
  <c r="U46" i="3"/>
  <c r="U102" i="3"/>
  <c r="T64" i="3"/>
  <c r="Y62" i="3"/>
  <c r="Z62" i="3"/>
  <c r="X62" i="3"/>
  <c r="C15" i="4" s="1"/>
  <c r="X36" i="3"/>
  <c r="S46" i="3"/>
  <c r="V46" i="3"/>
  <c r="Q60" i="3"/>
  <c r="AR43" i="3"/>
  <c r="G60" i="3"/>
  <c r="R60" i="3"/>
  <c r="P60" i="3"/>
  <c r="O60" i="3"/>
  <c r="N60" i="3"/>
  <c r="M60" i="3"/>
  <c r="L60" i="3"/>
  <c r="K60" i="3"/>
  <c r="J60" i="3"/>
  <c r="I60" i="3"/>
  <c r="H60" i="3"/>
  <c r="P56" i="3"/>
  <c r="O56" i="3"/>
  <c r="N56" i="3"/>
  <c r="M56" i="3"/>
  <c r="L56" i="3"/>
  <c r="K56" i="3"/>
  <c r="J56" i="3"/>
  <c r="I56" i="3"/>
  <c r="H56" i="3"/>
  <c r="G56" i="3"/>
  <c r="G55" i="3"/>
  <c r="P55" i="3"/>
  <c r="O55" i="3"/>
  <c r="N55" i="3"/>
  <c r="M55" i="3"/>
  <c r="L55" i="3"/>
  <c r="K55" i="3"/>
  <c r="J55" i="3"/>
  <c r="I55" i="3"/>
  <c r="H55" i="3"/>
  <c r="C3" i="2"/>
  <c r="AR45" i="3"/>
  <c r="AR40" i="3"/>
  <c r="AQ42" i="3"/>
  <c r="AQ45" i="3"/>
  <c r="AQ43" i="3"/>
  <c r="AQ40" i="3"/>
  <c r="AQ34" i="3"/>
  <c r="AQ35" i="3" s="1"/>
  <c r="AQ32" i="3"/>
  <c r="AQ31" i="3"/>
  <c r="AP45" i="3"/>
  <c r="AP43" i="3"/>
  <c r="AP42" i="3"/>
  <c r="AP40" i="3"/>
  <c r="AP34" i="3"/>
  <c r="AP35" i="3" s="1"/>
  <c r="AP32" i="3"/>
  <c r="AP30" i="3"/>
  <c r="AO40" i="3"/>
  <c r="AO34" i="3"/>
  <c r="AO35" i="3" s="1"/>
  <c r="AO32" i="3"/>
  <c r="AO45" i="3"/>
  <c r="AO43" i="3"/>
  <c r="AO42" i="3"/>
  <c r="AO30" i="3"/>
  <c r="M31" i="3"/>
  <c r="M33" i="3" s="1"/>
  <c r="M62" i="3" s="1"/>
  <c r="M35" i="3"/>
  <c r="N31" i="3"/>
  <c r="N35" i="3"/>
  <c r="AR37" i="3"/>
  <c r="AR41" i="3" s="1"/>
  <c r="O31" i="3"/>
  <c r="S54" i="3" s="1"/>
  <c r="O35" i="3"/>
  <c r="S57" i="3" s="1"/>
  <c r="K31" i="3"/>
  <c r="K33" i="3" s="1"/>
  <c r="K62" i="3" s="1"/>
  <c r="K35" i="3"/>
  <c r="P35" i="3"/>
  <c r="T57" i="3" s="1"/>
  <c r="P31" i="3"/>
  <c r="L35" i="3"/>
  <c r="L31" i="3"/>
  <c r="L33" i="3" s="1"/>
  <c r="L62" i="3" s="1"/>
  <c r="F35" i="3"/>
  <c r="F31" i="3"/>
  <c r="F33" i="3" s="1"/>
  <c r="F62" i="3" s="1"/>
  <c r="J35" i="3"/>
  <c r="J31" i="3"/>
  <c r="J33" i="3" s="1"/>
  <c r="I35" i="3"/>
  <c r="I31" i="3"/>
  <c r="I33" i="3" s="1"/>
  <c r="I62" i="3" s="1"/>
  <c r="E35" i="3"/>
  <c r="E31" i="3"/>
  <c r="E33" i="3" s="1"/>
  <c r="E62" i="3" s="1"/>
  <c r="H31" i="3"/>
  <c r="H35" i="3"/>
  <c r="D31" i="3"/>
  <c r="D33" i="3" s="1"/>
  <c r="D62" i="3" s="1"/>
  <c r="D35" i="3"/>
  <c r="C35" i="3"/>
  <c r="C31" i="3"/>
  <c r="C33" i="3" s="1"/>
  <c r="G35" i="3"/>
  <c r="G31" i="3"/>
  <c r="C16" i="2"/>
  <c r="C4" i="1" a="1"/>
  <c r="C4" i="1" s="1"/>
  <c r="T46" i="3" l="1"/>
  <c r="AB58" i="3"/>
  <c r="X41" i="3"/>
  <c r="W44" i="3"/>
  <c r="AD46" i="3"/>
  <c r="AH61" i="3" s="1"/>
  <c r="M4" i="1"/>
  <c r="J11" i="1"/>
  <c r="J12" i="1" s="1"/>
  <c r="G11" i="1"/>
  <c r="BE62" i="3"/>
  <c r="BH62" i="3"/>
  <c r="Y58" i="3"/>
  <c r="Z58" i="3"/>
  <c r="X44" i="3"/>
  <c r="X58" i="3"/>
  <c r="X63" i="3"/>
  <c r="C16" i="4" s="1"/>
  <c r="Y63" i="3"/>
  <c r="Z63" i="3"/>
  <c r="G54" i="3"/>
  <c r="H54" i="3"/>
  <c r="AO31" i="3"/>
  <c r="AO33" i="3" s="1"/>
  <c r="AQ57" i="3"/>
  <c r="G57" i="3"/>
  <c r="P33" i="3"/>
  <c r="P62" i="3" s="1"/>
  <c r="T54" i="3"/>
  <c r="AP56" i="3"/>
  <c r="I54" i="3"/>
  <c r="K57" i="3"/>
  <c r="AP60" i="3"/>
  <c r="AQ60" i="3"/>
  <c r="M54" i="3"/>
  <c r="I57" i="3"/>
  <c r="J57" i="3"/>
  <c r="G33" i="3"/>
  <c r="G62" i="3" s="1"/>
  <c r="O57" i="3"/>
  <c r="M57" i="3"/>
  <c r="H57" i="3"/>
  <c r="H33" i="3"/>
  <c r="H62" i="3" s="1"/>
  <c r="F36" i="3"/>
  <c r="F41" i="3" s="1"/>
  <c r="P57" i="3"/>
  <c r="AP57" i="3"/>
  <c r="N57" i="3"/>
  <c r="AQ56" i="3"/>
  <c r="C36" i="3"/>
  <c r="C41" i="3" s="1"/>
  <c r="C44" i="3" s="1"/>
  <c r="J36" i="3"/>
  <c r="J41" i="3" s="1"/>
  <c r="AQ37" i="3"/>
  <c r="N33" i="3"/>
  <c r="N62" i="3" s="1"/>
  <c r="AQ55" i="3"/>
  <c r="AQ33" i="3"/>
  <c r="AQ36" i="3" s="1"/>
  <c r="AQ41" i="3" s="1"/>
  <c r="Q54" i="3"/>
  <c r="O33" i="3"/>
  <c r="O62" i="3" s="1"/>
  <c r="AR54" i="3"/>
  <c r="J62" i="3"/>
  <c r="L57" i="3"/>
  <c r="AP55" i="3"/>
  <c r="C62" i="3"/>
  <c r="K54" i="3"/>
  <c r="O54" i="3"/>
  <c r="J54" i="3"/>
  <c r="N54" i="3"/>
  <c r="E36" i="3"/>
  <c r="E41" i="3" s="1"/>
  <c r="L54" i="3"/>
  <c r="P54" i="3"/>
  <c r="C6" i="1"/>
  <c r="C9" i="1" s="1"/>
  <c r="AS60" i="3"/>
  <c r="AR60" i="3"/>
  <c r="Q36" i="3"/>
  <c r="Q41" i="3" s="1"/>
  <c r="Q62" i="3"/>
  <c r="R54" i="3"/>
  <c r="Q57" i="3"/>
  <c r="AP31" i="3"/>
  <c r="M36" i="3"/>
  <c r="M41" i="3" s="1"/>
  <c r="K36" i="3"/>
  <c r="K41" i="3" s="1"/>
  <c r="L36" i="3"/>
  <c r="L41" i="3" s="1"/>
  <c r="I36" i="3"/>
  <c r="I41" i="3" s="1"/>
  <c r="D36" i="3"/>
  <c r="D41" i="3" s="1"/>
  <c r="X46" i="3" l="1"/>
  <c r="AB61" i="3" s="1"/>
  <c r="X102" i="3"/>
  <c r="AB59" i="3"/>
  <c r="AO62" i="3"/>
  <c r="AO36" i="3"/>
  <c r="AO41" i="3" s="1"/>
  <c r="W102" i="3"/>
  <c r="AA59" i="3"/>
  <c r="W46" i="3"/>
  <c r="W59" i="3"/>
  <c r="G36" i="3"/>
  <c r="J64" i="3"/>
  <c r="J58" i="3"/>
  <c r="I58" i="3"/>
  <c r="Q44" i="3"/>
  <c r="Q58" i="3"/>
  <c r="U58" i="3"/>
  <c r="M58" i="3"/>
  <c r="P36" i="3"/>
  <c r="P41" i="3" s="1"/>
  <c r="F63" i="3"/>
  <c r="F64" i="3"/>
  <c r="E63" i="3"/>
  <c r="E44" i="3"/>
  <c r="J63" i="3"/>
  <c r="N36" i="3"/>
  <c r="N41" i="3" s="1"/>
  <c r="C4" i="2"/>
  <c r="C5" i="2" s="1"/>
  <c r="C6" i="2" s="1"/>
  <c r="O36" i="3"/>
  <c r="C63" i="3"/>
  <c r="H36" i="3"/>
  <c r="H41" i="3" s="1"/>
  <c r="AQ62" i="3"/>
  <c r="I63" i="3"/>
  <c r="L63" i="3"/>
  <c r="M63" i="3"/>
  <c r="D64" i="3"/>
  <c r="D63" i="3"/>
  <c r="F44" i="3"/>
  <c r="K63" i="3"/>
  <c r="AP33" i="3"/>
  <c r="AP36" i="3" s="1"/>
  <c r="AP41" i="3" s="1"/>
  <c r="AP54" i="3"/>
  <c r="AQ54" i="3"/>
  <c r="AT60" i="3"/>
  <c r="R57" i="3"/>
  <c r="R56" i="3"/>
  <c r="Q55" i="3"/>
  <c r="Q56" i="3"/>
  <c r="G58" i="3" l="1"/>
  <c r="G41" i="3"/>
  <c r="G44" i="3" s="1"/>
  <c r="G102" i="3" s="1"/>
  <c r="O63" i="3"/>
  <c r="O41" i="3"/>
  <c r="K58" i="3"/>
  <c r="W61" i="3"/>
  <c r="AA61" i="3"/>
  <c r="Z64" i="3"/>
  <c r="Z44" i="3"/>
  <c r="Y64" i="3"/>
  <c r="Y44" i="3"/>
  <c r="G63" i="3"/>
  <c r="E46" i="3"/>
  <c r="E102" i="3"/>
  <c r="U59" i="3"/>
  <c r="Q102" i="3"/>
  <c r="F46" i="3"/>
  <c r="F102" i="3"/>
  <c r="H44" i="3"/>
  <c r="H102" i="3" s="1"/>
  <c r="H58" i="3"/>
  <c r="AO63" i="3"/>
  <c r="AO64" i="3"/>
  <c r="P64" i="3"/>
  <c r="P58" i="3"/>
  <c r="T58" i="3"/>
  <c r="P63" i="3"/>
  <c r="AT42" i="3"/>
  <c r="L58" i="3"/>
  <c r="N64" i="3"/>
  <c r="N58" i="3"/>
  <c r="AR58" i="3"/>
  <c r="O64" i="3"/>
  <c r="O58" i="3"/>
  <c r="S58" i="3"/>
  <c r="X64" i="3"/>
  <c r="C7" i="2"/>
  <c r="J44" i="3"/>
  <c r="E64" i="3"/>
  <c r="N63" i="3"/>
  <c r="H63" i="3"/>
  <c r="C64" i="3"/>
  <c r="D44" i="3"/>
  <c r="K64" i="3"/>
  <c r="K44" i="3"/>
  <c r="K102" i="3" s="1"/>
  <c r="L64" i="3"/>
  <c r="L44" i="3"/>
  <c r="AQ63" i="3"/>
  <c r="AQ58" i="3"/>
  <c r="AP62" i="3"/>
  <c r="M44" i="3"/>
  <c r="M64" i="3"/>
  <c r="I44" i="3"/>
  <c r="I102" i="3" s="1"/>
  <c r="I64" i="3"/>
  <c r="AU60" i="3"/>
  <c r="Q46" i="3"/>
  <c r="U61" i="3" s="1"/>
  <c r="AR56" i="3"/>
  <c r="AR57" i="3"/>
  <c r="Q63" i="3"/>
  <c r="G64" i="3" l="1"/>
  <c r="Y46" i="3"/>
  <c r="AC61" i="3" s="1"/>
  <c r="Y102" i="3"/>
  <c r="AC59" i="3"/>
  <c r="Z46" i="3"/>
  <c r="Z102" i="3"/>
  <c r="AD59" i="3"/>
  <c r="AW31" i="3"/>
  <c r="AW54" i="3" s="1"/>
  <c r="Y59" i="3"/>
  <c r="X59" i="3"/>
  <c r="C19" i="4"/>
  <c r="C18" i="4"/>
  <c r="C17" i="4"/>
  <c r="X61" i="3"/>
  <c r="P44" i="3"/>
  <c r="P102" i="3" s="1"/>
  <c r="Q59" i="3"/>
  <c r="M102" i="3"/>
  <c r="L46" i="3"/>
  <c r="L102" i="3"/>
  <c r="D46" i="3"/>
  <c r="D102" i="3"/>
  <c r="C46" i="3"/>
  <c r="C102" i="3"/>
  <c r="J46" i="3"/>
  <c r="J61" i="3" s="1"/>
  <c r="J102" i="3"/>
  <c r="H64" i="3"/>
  <c r="O44" i="3"/>
  <c r="O59" i="3" s="1"/>
  <c r="AV60" i="3"/>
  <c r="AW45" i="3"/>
  <c r="AP58" i="3"/>
  <c r="Z59" i="3"/>
  <c r="J59" i="3"/>
  <c r="AO44" i="3"/>
  <c r="N44" i="3"/>
  <c r="K59" i="3"/>
  <c r="AS62" i="3"/>
  <c r="AT62" i="3"/>
  <c r="AT54" i="3"/>
  <c r="AQ44" i="3"/>
  <c r="AQ64" i="3"/>
  <c r="L59" i="3"/>
  <c r="H46" i="3"/>
  <c r="H59" i="3"/>
  <c r="I46" i="3"/>
  <c r="I61" i="3" s="1"/>
  <c r="I59" i="3"/>
  <c r="M46" i="3"/>
  <c r="M59" i="3"/>
  <c r="AP63" i="3"/>
  <c r="K46" i="3"/>
  <c r="G59" i="3"/>
  <c r="G46" i="3"/>
  <c r="AS56" i="3"/>
  <c r="AU54" i="3"/>
  <c r="Q64" i="3"/>
  <c r="T59" i="3" l="1"/>
  <c r="P46" i="3"/>
  <c r="T61" i="3" s="1"/>
  <c r="Y61" i="3"/>
  <c r="P59" i="3"/>
  <c r="Z61" i="3"/>
  <c r="AD61" i="3"/>
  <c r="AX31" i="3"/>
  <c r="AX54" i="3" s="1"/>
  <c r="AO51" i="3"/>
  <c r="H61" i="3"/>
  <c r="AQ102" i="3"/>
  <c r="AQ51" i="3"/>
  <c r="AO46" i="3"/>
  <c r="AO49" i="3" s="1"/>
  <c r="AO102" i="3"/>
  <c r="N46" i="3"/>
  <c r="N61" i="3" s="1"/>
  <c r="N102" i="3"/>
  <c r="S59" i="3"/>
  <c r="O102" i="3"/>
  <c r="O46" i="3"/>
  <c r="S61" i="3" s="1"/>
  <c r="G61" i="3"/>
  <c r="AW60" i="3"/>
  <c r="AX45" i="3"/>
  <c r="AX60" i="3" s="1"/>
  <c r="M61" i="3"/>
  <c r="N59" i="3"/>
  <c r="P61" i="3"/>
  <c r="AT55" i="3"/>
  <c r="AP44" i="3"/>
  <c r="AP64" i="3"/>
  <c r="Q61" i="3"/>
  <c r="AQ46" i="3"/>
  <c r="AQ49" i="3" s="1"/>
  <c r="K61" i="3"/>
  <c r="L61" i="3"/>
  <c r="AV54" i="3"/>
  <c r="AV62" i="3"/>
  <c r="AU62" i="3"/>
  <c r="AS57" i="3"/>
  <c r="AT56" i="3"/>
  <c r="AY31" i="3" l="1"/>
  <c r="AP51" i="3"/>
  <c r="AQ52" i="3" s="1"/>
  <c r="AQ59" i="3"/>
  <c r="AP102" i="3"/>
  <c r="O61" i="3"/>
  <c r="AS58" i="3"/>
  <c r="AT58" i="3"/>
  <c r="AU55" i="3"/>
  <c r="AP59" i="3"/>
  <c r="AP46" i="3"/>
  <c r="AT57" i="3"/>
  <c r="AS63" i="3"/>
  <c r="AU56" i="3"/>
  <c r="AW34" i="3" l="1"/>
  <c r="AP52" i="3"/>
  <c r="AP61" i="3"/>
  <c r="AP49" i="3"/>
  <c r="AV55" i="3"/>
  <c r="AQ61" i="3"/>
  <c r="AS64" i="3"/>
  <c r="AU57" i="3"/>
  <c r="AT63" i="3"/>
  <c r="AV56" i="3"/>
  <c r="AW56" i="3" l="1"/>
  <c r="AY56" i="3"/>
  <c r="AX56" i="3"/>
  <c r="AW57" i="3"/>
  <c r="AU58" i="3"/>
  <c r="AU63" i="3"/>
  <c r="AV57" i="3"/>
  <c r="AS44" i="3"/>
  <c r="AS51" i="3" s="1"/>
  <c r="AY57" i="3" l="1"/>
  <c r="AS102" i="3"/>
  <c r="AX57" i="3"/>
  <c r="AU44" i="3"/>
  <c r="AU51" i="3" s="1"/>
  <c r="AV58" i="3"/>
  <c r="AT64" i="3"/>
  <c r="AT44" i="3"/>
  <c r="AT51" i="3" s="1"/>
  <c r="AV63" i="3"/>
  <c r="AS46" i="3"/>
  <c r="AT46" i="3" l="1"/>
  <c r="AT49" i="3" s="1"/>
  <c r="AT52" i="3"/>
  <c r="AS49" i="3"/>
  <c r="C22" i="4"/>
  <c r="AU64" i="3"/>
  <c r="C9" i="2" s="1"/>
  <c r="AT59" i="3"/>
  <c r="AV64" i="3"/>
  <c r="AU46" i="3"/>
  <c r="AU59" i="3"/>
  <c r="AU52" i="3" l="1"/>
  <c r="AT61" i="3"/>
  <c r="AU61" i="3"/>
  <c r="AV59" i="3" l="1"/>
  <c r="AV61" i="3" l="1"/>
  <c r="R33" i="3"/>
  <c r="R36" i="3" s="1"/>
  <c r="R41" i="3" s="1"/>
  <c r="R55" i="3"/>
  <c r="R58" i="3" l="1"/>
  <c r="V58" i="3"/>
  <c r="AR62" i="3"/>
  <c r="R63" i="3"/>
  <c r="AS55" i="3"/>
  <c r="R62" i="3"/>
  <c r="AR55" i="3"/>
  <c r="AR63" i="3" l="1"/>
  <c r="R44" i="3"/>
  <c r="R102" i="3" s="1"/>
  <c r="R46" i="3" l="1"/>
  <c r="V61" i="3" s="1"/>
  <c r="V59" i="3"/>
  <c r="R64" i="3"/>
  <c r="AR42" i="3"/>
  <c r="AR64" i="3" s="1"/>
  <c r="C18" i="2" l="1"/>
  <c r="AR44" i="3"/>
  <c r="AR51" i="3" s="1"/>
  <c r="R61" i="3"/>
  <c r="R59" i="3"/>
  <c r="BE56" i="3" l="1"/>
  <c r="BH56" i="3"/>
  <c r="BH58" i="3" s="1"/>
  <c r="BH60" i="3" s="1"/>
  <c r="BH61" i="3" s="1"/>
  <c r="BH63" i="3" s="1"/>
  <c r="AR52" i="3"/>
  <c r="AS52" i="3"/>
  <c r="AS59" i="3"/>
  <c r="AR102" i="3"/>
  <c r="AR46" i="3"/>
  <c r="AR59" i="3"/>
  <c r="AS61" i="3" l="1"/>
  <c r="AR49" i="3"/>
  <c r="AR61" i="3"/>
  <c r="AW55" i="3" l="1"/>
  <c r="AY62" i="3"/>
  <c r="AX55" i="3"/>
  <c r="AW62" i="3"/>
  <c r="AW58" i="3" l="1"/>
  <c r="AX62" i="3"/>
  <c r="AY58" i="3"/>
  <c r="AY63" i="3"/>
  <c r="AW64" i="3"/>
  <c r="AX63" i="3"/>
  <c r="AX58" i="3"/>
  <c r="AW63" i="3"/>
  <c r="BA44" i="3" l="1"/>
  <c r="BB44" i="3" s="1"/>
  <c r="BC44" i="3" s="1"/>
  <c r="BD44" i="3" s="1"/>
  <c r="BE44" i="3" s="1"/>
  <c r="BF44" i="3" s="1"/>
  <c r="BG44" i="3" s="1"/>
  <c r="BH44" i="3" s="1"/>
  <c r="BI44" i="3" s="1"/>
  <c r="BJ44" i="3" s="1"/>
  <c r="BK44" i="3" s="1"/>
  <c r="BL44" i="3" s="1"/>
  <c r="BM44" i="3" s="1"/>
  <c r="BN44" i="3" s="1"/>
  <c r="BO44" i="3" s="1"/>
  <c r="BP44" i="3" s="1"/>
  <c r="BQ44" i="3" s="1"/>
  <c r="BR44" i="3" s="1"/>
  <c r="BS44" i="3" s="1"/>
  <c r="BT44" i="3" s="1"/>
  <c r="BU44" i="3" s="1"/>
  <c r="BV44" i="3" s="1"/>
  <c r="BW44" i="3" s="1"/>
  <c r="BX44" i="3" s="1"/>
  <c r="BY44" i="3" s="1"/>
  <c r="BZ44" i="3" s="1"/>
  <c r="CA44" i="3" s="1"/>
  <c r="CB44" i="3" s="1"/>
  <c r="CC44" i="3" s="1"/>
  <c r="CD44" i="3" s="1"/>
  <c r="CE44" i="3" s="1"/>
  <c r="CF44" i="3" s="1"/>
  <c r="CG44" i="3" s="1"/>
  <c r="CH44" i="3" s="1"/>
  <c r="CI44" i="3" s="1"/>
  <c r="CJ44" i="3" s="1"/>
  <c r="CK44" i="3" s="1"/>
  <c r="CL44" i="3" s="1"/>
  <c r="CM44" i="3" s="1"/>
  <c r="CN44" i="3" s="1"/>
  <c r="CO44" i="3" s="1"/>
  <c r="CP44" i="3" s="1"/>
  <c r="CQ44" i="3" s="1"/>
  <c r="CR44" i="3" s="1"/>
  <c r="CS44" i="3" s="1"/>
  <c r="CT44" i="3" s="1"/>
  <c r="CU44" i="3" s="1"/>
  <c r="CV44" i="3" s="1"/>
  <c r="CW44" i="3" s="1"/>
  <c r="CX44" i="3" s="1"/>
  <c r="CY44" i="3" s="1"/>
  <c r="CZ44" i="3" s="1"/>
  <c r="DA44" i="3" s="1"/>
  <c r="DB44" i="3" s="1"/>
  <c r="DC44" i="3" s="1"/>
  <c r="DD44" i="3" s="1"/>
  <c r="DE44" i="3" s="1"/>
  <c r="DF44" i="3" s="1"/>
  <c r="DG44" i="3" s="1"/>
  <c r="DH44" i="3" s="1"/>
  <c r="DI44" i="3" s="1"/>
  <c r="DJ44" i="3" s="1"/>
  <c r="DK44" i="3" s="1"/>
  <c r="DL44" i="3" s="1"/>
  <c r="DM44" i="3" s="1"/>
  <c r="DN44" i="3" s="1"/>
  <c r="DO44" i="3" s="1"/>
  <c r="DP44" i="3" s="1"/>
  <c r="DQ44" i="3" s="1"/>
  <c r="DR44" i="3" s="1"/>
  <c r="DS44" i="3" s="1"/>
  <c r="DT44" i="3" s="1"/>
  <c r="DU44" i="3" s="1"/>
  <c r="DV44" i="3" s="1"/>
  <c r="DW44" i="3" s="1"/>
  <c r="DX44" i="3" s="1"/>
  <c r="DY44" i="3" s="1"/>
  <c r="DZ44" i="3" s="1"/>
  <c r="EA44" i="3" s="1"/>
  <c r="EB44" i="3" s="1"/>
  <c r="EC44" i="3" s="1"/>
  <c r="ED44" i="3" s="1"/>
  <c r="EE44" i="3" s="1"/>
  <c r="EF44" i="3" s="1"/>
  <c r="EG44" i="3" s="1"/>
  <c r="EH44" i="3" s="1"/>
  <c r="EI44" i="3" s="1"/>
  <c r="EJ44" i="3" s="1"/>
  <c r="EK44" i="3" s="1"/>
  <c r="EL44" i="3" s="1"/>
  <c r="EM44" i="3" s="1"/>
  <c r="EN44" i="3" s="1"/>
  <c r="EO44" i="3" s="1"/>
  <c r="EP44" i="3" s="1"/>
  <c r="EQ44" i="3" s="1"/>
  <c r="ER44" i="3" s="1"/>
  <c r="ES44" i="3" s="1"/>
  <c r="ET44" i="3" s="1"/>
  <c r="EU44" i="3" s="1"/>
  <c r="EV44" i="3" s="1"/>
  <c r="EW44" i="3" s="1"/>
  <c r="EX44" i="3" s="1"/>
  <c r="EY44" i="3" s="1"/>
  <c r="EZ44" i="3" s="1"/>
  <c r="FA44" i="3" s="1"/>
  <c r="FB44" i="3" s="1"/>
  <c r="FC44" i="3" s="1"/>
  <c r="FD44" i="3" s="1"/>
  <c r="FE44" i="3" s="1"/>
  <c r="FF44" i="3" s="1"/>
  <c r="FG44" i="3" s="1"/>
  <c r="FH44" i="3" s="1"/>
  <c r="FI44" i="3" s="1"/>
  <c r="FJ44" i="3" s="1"/>
  <c r="FK44" i="3" s="1"/>
  <c r="FL44" i="3" s="1"/>
  <c r="FM44" i="3" s="1"/>
  <c r="FN44" i="3" s="1"/>
  <c r="FO44" i="3" s="1"/>
  <c r="FP44" i="3" s="1"/>
  <c r="FQ44" i="3" s="1"/>
  <c r="FR44" i="3" s="1"/>
  <c r="FS44" i="3" s="1"/>
  <c r="FT44" i="3" s="1"/>
  <c r="FU44" i="3" s="1"/>
  <c r="FV44" i="3" s="1"/>
  <c r="FW44" i="3" s="1"/>
  <c r="FX44" i="3" s="1"/>
  <c r="FY44" i="3" s="1"/>
  <c r="FZ44" i="3" s="1"/>
  <c r="GA44" i="3" s="1"/>
  <c r="GB44" i="3" s="1"/>
  <c r="GC44" i="3" s="1"/>
  <c r="GD44" i="3" s="1"/>
  <c r="GE44" i="3" s="1"/>
  <c r="GF44" i="3" s="1"/>
  <c r="GG44" i="3" s="1"/>
  <c r="GH44" i="3" s="1"/>
  <c r="GI44" i="3" s="1"/>
  <c r="GJ44" i="3" s="1"/>
  <c r="GK44" i="3" s="1"/>
  <c r="GL44" i="3" s="1"/>
  <c r="GM44" i="3" s="1"/>
  <c r="GN44" i="3" s="1"/>
  <c r="GO44" i="3" s="1"/>
  <c r="GP44" i="3" s="1"/>
  <c r="GQ44" i="3" s="1"/>
  <c r="GR44" i="3" s="1"/>
  <c r="GS44" i="3" s="1"/>
  <c r="GT44" i="3" s="1"/>
  <c r="GU44" i="3" s="1"/>
  <c r="GV44" i="3" s="1"/>
  <c r="GW44" i="3" s="1"/>
  <c r="GX44" i="3" s="1"/>
  <c r="GY44" i="3" s="1"/>
  <c r="GZ44" i="3" s="1"/>
  <c r="HA44" i="3" s="1"/>
  <c r="HB44" i="3" s="1"/>
  <c r="HC44" i="3" s="1"/>
  <c r="HD44" i="3" s="1"/>
  <c r="HE44" i="3" s="1"/>
  <c r="HF44" i="3" s="1"/>
  <c r="HG44" i="3" s="1"/>
  <c r="HH44" i="3" s="1"/>
  <c r="HI44" i="3" s="1"/>
  <c r="HJ44" i="3" s="1"/>
  <c r="HK44" i="3" s="1"/>
  <c r="HL44" i="3" s="1"/>
  <c r="HM44" i="3" s="1"/>
  <c r="HN44" i="3" s="1"/>
  <c r="HO44" i="3" s="1"/>
  <c r="HP44" i="3" s="1"/>
  <c r="HQ44" i="3" s="1"/>
  <c r="HR44" i="3" s="1"/>
  <c r="HS44" i="3" s="1"/>
  <c r="HT44" i="3" s="1"/>
  <c r="HU44" i="3" s="1"/>
  <c r="HV44" i="3" s="1"/>
  <c r="HW44" i="3" s="1"/>
  <c r="HX44" i="3" s="1"/>
  <c r="HY44" i="3" s="1"/>
  <c r="HZ44" i="3" s="1"/>
  <c r="IA44" i="3" s="1"/>
  <c r="IB44" i="3" s="1"/>
  <c r="IC44" i="3" s="1"/>
  <c r="ID44" i="3" s="1"/>
  <c r="IE44" i="3" s="1"/>
  <c r="IF44" i="3" s="1"/>
  <c r="IG44" i="3" s="1"/>
  <c r="IH44" i="3" s="1"/>
  <c r="II44" i="3" s="1"/>
  <c r="IJ44" i="3" s="1"/>
  <c r="IK44" i="3" s="1"/>
  <c r="IL44" i="3" s="1"/>
  <c r="IM44" i="3" s="1"/>
  <c r="IN44" i="3" s="1"/>
  <c r="IO44" i="3" s="1"/>
  <c r="IP44" i="3" s="1"/>
  <c r="IQ44" i="3" s="1"/>
  <c r="IR44" i="3" s="1"/>
  <c r="IS44" i="3" s="1"/>
  <c r="IT44" i="3" s="1"/>
  <c r="IU44" i="3" s="1"/>
  <c r="IV44" i="3" s="1"/>
  <c r="IW44" i="3" s="1"/>
  <c r="IX44" i="3" s="1"/>
  <c r="IY44" i="3" s="1"/>
  <c r="IZ44" i="3" s="1"/>
  <c r="JA44" i="3" s="1"/>
  <c r="JB44" i="3" s="1"/>
  <c r="JC44" i="3" s="1"/>
  <c r="JD44" i="3" s="1"/>
  <c r="JE44" i="3" s="1"/>
  <c r="JF44" i="3" s="1"/>
  <c r="JG44" i="3" s="1"/>
  <c r="JH44" i="3" s="1"/>
  <c r="JI44" i="3" s="1"/>
  <c r="JJ44" i="3" s="1"/>
  <c r="JK44" i="3" s="1"/>
  <c r="JL44" i="3" s="1"/>
  <c r="JM44" i="3" s="1"/>
  <c r="JN44" i="3" s="1"/>
  <c r="JO44" i="3" s="1"/>
  <c r="JP44" i="3" s="1"/>
  <c r="JQ44" i="3" s="1"/>
  <c r="JR44" i="3" s="1"/>
  <c r="JS44" i="3" s="1"/>
  <c r="JT44" i="3" s="1"/>
  <c r="JU44" i="3" s="1"/>
  <c r="JV44" i="3" s="1"/>
  <c r="JW44" i="3" s="1"/>
  <c r="JX44" i="3" s="1"/>
  <c r="JY44" i="3" s="1"/>
  <c r="JZ44" i="3" s="1"/>
  <c r="KA44" i="3" s="1"/>
  <c r="KB44" i="3" s="1"/>
  <c r="KC44" i="3" s="1"/>
  <c r="KD44" i="3" s="1"/>
  <c r="KE44" i="3" s="1"/>
  <c r="KF44" i="3" s="1"/>
  <c r="KG44" i="3" s="1"/>
  <c r="KH44" i="3" s="1"/>
  <c r="KI44" i="3" s="1"/>
  <c r="KJ44" i="3" s="1"/>
  <c r="KK44" i="3" s="1"/>
  <c r="KL44" i="3" s="1"/>
  <c r="KM44" i="3" s="1"/>
  <c r="KN44" i="3" s="1"/>
  <c r="KO44" i="3" s="1"/>
  <c r="KP44" i="3" s="1"/>
  <c r="KQ44" i="3" s="1"/>
  <c r="KR44" i="3" s="1"/>
  <c r="KS44" i="3" s="1"/>
  <c r="KT44" i="3" s="1"/>
  <c r="KU44" i="3" s="1"/>
  <c r="KV44" i="3" s="1"/>
  <c r="KW44" i="3" s="1"/>
  <c r="KX44" i="3" s="1"/>
  <c r="KY44" i="3" s="1"/>
  <c r="KZ44" i="3" s="1"/>
  <c r="LA44" i="3" s="1"/>
  <c r="LB44" i="3" s="1"/>
  <c r="LC44" i="3" s="1"/>
  <c r="LD44" i="3" s="1"/>
  <c r="LE44" i="3" s="1"/>
  <c r="LF44" i="3" s="1"/>
  <c r="LG44" i="3" s="1"/>
  <c r="LH44" i="3" s="1"/>
  <c r="LI44" i="3" s="1"/>
  <c r="LJ44" i="3" s="1"/>
  <c r="LK44" i="3" s="1"/>
  <c r="LL44" i="3" s="1"/>
  <c r="LM44" i="3" s="1"/>
  <c r="LN44" i="3" s="1"/>
  <c r="LO44" i="3" s="1"/>
  <c r="LP44" i="3" s="1"/>
  <c r="LQ44" i="3" s="1"/>
  <c r="LR44" i="3" s="1"/>
  <c r="LS44" i="3" s="1"/>
  <c r="LT44" i="3" s="1"/>
  <c r="LU44" i="3" s="1"/>
  <c r="LV44" i="3" s="1"/>
  <c r="LW44" i="3" s="1"/>
  <c r="LX44" i="3" s="1"/>
  <c r="LY44" i="3" s="1"/>
  <c r="LZ44" i="3" s="1"/>
  <c r="MA44" i="3" s="1"/>
  <c r="MB44" i="3" s="1"/>
  <c r="MC44" i="3" s="1"/>
  <c r="MD44" i="3" s="1"/>
  <c r="ME44" i="3" s="1"/>
  <c r="MF44" i="3" s="1"/>
  <c r="MG44" i="3" s="1"/>
  <c r="MH44" i="3" s="1"/>
  <c r="MI44" i="3" s="1"/>
  <c r="MJ44" i="3" s="1"/>
  <c r="MK44" i="3" s="1"/>
  <c r="ML44" i="3" s="1"/>
  <c r="MM44" i="3" s="1"/>
  <c r="MN44" i="3" s="1"/>
  <c r="MO44" i="3" s="1"/>
  <c r="MP44" i="3" s="1"/>
  <c r="MQ44" i="3" s="1"/>
  <c r="MR44" i="3" s="1"/>
  <c r="MS44" i="3" s="1"/>
  <c r="MT44" i="3" s="1"/>
  <c r="MU44" i="3" s="1"/>
  <c r="MV44" i="3" s="1"/>
  <c r="MW44" i="3" s="1"/>
  <c r="MX44" i="3" s="1"/>
  <c r="MY44" i="3" s="1"/>
  <c r="MZ44" i="3" s="1"/>
  <c r="NA44" i="3" s="1"/>
  <c r="NB44" i="3" s="1"/>
  <c r="NC44" i="3" s="1"/>
  <c r="ND44" i="3" s="1"/>
  <c r="NE44" i="3" s="1"/>
  <c r="NF44" i="3" s="1"/>
  <c r="NG44" i="3" s="1"/>
  <c r="NH44" i="3" s="1"/>
  <c r="NI44" i="3" s="1"/>
  <c r="NJ44" i="3" s="1"/>
  <c r="NK44" i="3" s="1"/>
  <c r="NL44" i="3" s="1"/>
  <c r="NM44" i="3" s="1"/>
  <c r="NN44" i="3" s="1"/>
  <c r="NO44" i="3" s="1"/>
  <c r="NP44" i="3" s="1"/>
  <c r="NQ44" i="3" s="1"/>
  <c r="NR44" i="3" s="1"/>
  <c r="NS44" i="3" s="1"/>
  <c r="NT44" i="3" s="1"/>
  <c r="NU44" i="3" s="1"/>
  <c r="NV44" i="3" s="1"/>
  <c r="NW44" i="3" s="1"/>
  <c r="NX44" i="3" s="1"/>
  <c r="NY44" i="3" s="1"/>
  <c r="NZ44" i="3" s="1"/>
  <c r="OA44" i="3" s="1"/>
  <c r="OB44" i="3" s="1"/>
  <c r="OC44" i="3" s="1"/>
  <c r="OD44" i="3" s="1"/>
  <c r="OE44" i="3" s="1"/>
  <c r="OF44" i="3" s="1"/>
  <c r="OG44" i="3" s="1"/>
  <c r="OH44" i="3" s="1"/>
  <c r="OI44" i="3" s="1"/>
  <c r="OJ44" i="3" s="1"/>
  <c r="OK44" i="3" s="1"/>
  <c r="OL44" i="3" s="1"/>
  <c r="OM44" i="3" s="1"/>
  <c r="ON44" i="3" s="1"/>
  <c r="OO44" i="3" s="1"/>
  <c r="OP44" i="3" s="1"/>
  <c r="OQ44" i="3" s="1"/>
  <c r="OR44" i="3" s="1"/>
  <c r="OS44" i="3" s="1"/>
  <c r="OT44" i="3" s="1"/>
  <c r="OU44" i="3" s="1"/>
  <c r="OV44" i="3" s="1"/>
  <c r="OW44" i="3" s="1"/>
  <c r="OX44" i="3" s="1"/>
  <c r="OY44" i="3" s="1"/>
  <c r="OZ44" i="3" s="1"/>
  <c r="PA44" i="3" s="1"/>
  <c r="PB44" i="3" s="1"/>
  <c r="PC44" i="3" s="1"/>
  <c r="PD44" i="3" s="1"/>
  <c r="PE44" i="3" s="1"/>
  <c r="PF44" i="3" s="1"/>
  <c r="PG44" i="3" s="1"/>
  <c r="PH44" i="3" s="1"/>
  <c r="PI44" i="3" s="1"/>
  <c r="PJ44" i="3" s="1"/>
  <c r="PK44" i="3" s="1"/>
  <c r="PL44" i="3" s="1"/>
  <c r="PM44" i="3" s="1"/>
  <c r="PN44" i="3" s="1"/>
  <c r="PO44" i="3" s="1"/>
  <c r="PP44" i="3" s="1"/>
  <c r="PQ44" i="3" s="1"/>
  <c r="PR44" i="3" s="1"/>
  <c r="PS44" i="3" s="1"/>
  <c r="PT44" i="3" s="1"/>
  <c r="PU44" i="3" s="1"/>
  <c r="PV44" i="3" s="1"/>
  <c r="PW44" i="3" s="1"/>
  <c r="PX44" i="3" s="1"/>
  <c r="PY44" i="3" s="1"/>
  <c r="PZ44" i="3" s="1"/>
  <c r="QA44" i="3" s="1"/>
  <c r="AY64" i="3"/>
  <c r="AW61" i="3"/>
  <c r="AW59" i="3"/>
  <c r="AX64" i="3"/>
  <c r="BE60" i="3" l="1"/>
  <c r="BE61" i="3" s="1"/>
  <c r="BE63" i="3" s="1"/>
  <c r="G7" i="1"/>
  <c r="G9" i="1" s="1"/>
  <c r="G10" i="1" s="1"/>
  <c r="G12" i="1" s="1"/>
  <c r="AY59" i="3"/>
  <c r="AX61" i="3"/>
  <c r="AX59" i="3"/>
  <c r="M3" i="1" l="1"/>
  <c r="AY61" i="3"/>
  <c r="M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tc={DF6CAB1C-77BD-4CA1-ABBE-CA67D4232F38}</author>
  </authors>
  <commentList>
    <comment ref="C5" authorId="0" shapeId="0" xr:uid="{DF6CAB1C-77BD-4CA1-ABBE-CA67D4232F38}">
      <text>
        <t>[Threaded comment]
Your version of Excel allows you to read this threaded comment; however, any edits to it will get removed if the file is opened in a newer version of Excel. Learn more: https://go.microsoft.com/fwlink/?linkid=870924
Comment:
    3-for-1 split effective 2/26/2024</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tc={C04F929E-3126-4705-8AC2-FE20D9BC15A4}</author>
    <author>tc={3A04E0AF-E6A4-4E66-867E-327EA08A4406}</author>
    <author>tc={2BD067CA-BCD3-46A4-95EA-DE271672641D}</author>
    <author>tc={506AE078-CAB0-4036-832E-3DCFFC2C5C29}</author>
    <author>tc={C9725445-92B2-4455-96A8-4DBFDF2578BB}</author>
    <author>tc={C8DF45A8-7DCB-4C7D-8E2F-0E1964E9D88F}</author>
    <author>tc={A2DC3507-DA2B-4491-8DED-9BA1601695F0}</author>
    <author>tc={57A07CC9-F672-46E6-BBF0-803316448D6E}</author>
    <author>tc={D897748F-3BE0-448F-A31C-E424F36B0AB2}</author>
    <author>tc={00295A0A-2A70-4EFB-BC3A-1DA895C8E33A}</author>
    <author>tc={492D7A3A-C837-4698-BAEE-38CE008A39C5}</author>
    <author>tc={E824E4CC-ADF3-4261-A3EB-5A1AC785309E}</author>
  </authors>
  <commentList>
    <comment ref="AE31" authorId="0" shapeId="0" xr:uid="{C04F929E-3126-4705-8AC2-FE20D9BC15A4}">
      <text>
        <t>[Threaded comment]
Your version of Excel allows you to read this threaded comment; however, any edits to it will get removed if the file is opened in a newer version of Excel. Learn more: https://go.microsoft.com/fwlink/?linkid=870924
Comment:
    WMT guidance +4%-5%</t>
      </text>
    </comment>
    <comment ref="AV31" authorId="1" shapeId="0" xr:uid="{3A04E0AF-E6A4-4E66-867E-327EA08A4406}">
      <text>
        <t>[Threaded comment]
Your version of Excel allows you to read this threaded comment; however, any edits to it will get removed if the file is opened in a newer version of Excel. Learn more: https://go.microsoft.com/fwlink/?linkid=870924
Comment:
    WMT guidance +3%-4%</t>
      </text>
    </comment>
    <comment ref="AE36" authorId="2" shapeId="0" xr:uid="{2BD067CA-BCD3-46A4-95EA-DE271672641D}">
      <text>
        <t>[Threaded comment]
Your version of Excel allows you to read this threaded comment; however, any edits to it will get removed if the file is opened in a newer version of Excel. Learn more: https://go.microsoft.com/fwlink/?linkid=870924
Comment:
    WMT guidance +3%-4.5%</t>
      </text>
    </comment>
    <comment ref="AE45" authorId="3" shapeId="0" xr:uid="{506AE078-CAB0-4036-832E-3DCFFC2C5C29}">
      <text>
        <t>[Threaded comment]
Your version of Excel allows you to read this threaded comment; however, any edits to it will get removed if the file is opened in a newer version of Excel. Learn more: https://go.microsoft.com/fwlink/?linkid=870924
Comment:
    3:1 split effective 2/26/24</t>
      </text>
    </comment>
    <comment ref="AE46" authorId="4" shapeId="0" xr:uid="{C9725445-92B2-4455-96A8-4DBFDF2578BB}">
      <text>
        <t>[Threaded comment]
Your version of Excel allows you to read this threaded comment; however, any edits to it will get removed if the file is opened in a newer version of Excel. Learn more: https://go.microsoft.com/fwlink/?linkid=870924
Comment:
    WMT guidance $1.48-$1.56 pre-split, $0.49-$0.52 post-split</t>
      </text>
    </comment>
    <comment ref="B51" authorId="5" shapeId="0" xr:uid="{C8DF45A8-7DCB-4C7D-8E2F-0E1964E9D88F}">
      <text>
        <t>[Threaded comment]
Your version of Excel allows you to read this threaded comment; however, any edits to it will get removed if the file is opened in a newer version of Excel. Learn more: https://go.microsoft.com/fwlink/?linkid=870924
Comment:
    = NI + Taxes + Debt Interest Expense + D&amp;A</t>
      </text>
    </comment>
    <comment ref="AE54" authorId="6" shapeId="0" xr:uid="{A2DC3507-DA2B-4491-8DED-9BA1601695F0}">
      <text>
        <t>[Threaded comment]
Your version of Excel allows you to read this threaded comment; however, any edits to it will get removed if the file is opened in a newer version of Excel. Learn more: https://go.microsoft.com/fwlink/?linkid=870924
Comment:
    WMT guidance +4%-5%, leap year estimated to benefit approx. 100bps</t>
      </text>
    </comment>
    <comment ref="AV54" authorId="7" shapeId="0" xr:uid="{57A07CC9-F672-46E6-BBF0-803316448D6E}">
      <text>
        <t>[Threaded comment]
Your version of Excel allows you to read this threaded comment; however, any edits to it will get removed if the file is opened in a newer version of Excel. Learn more: https://go.microsoft.com/fwlink/?linkid=870924
Comment:
    WMT guidance +3%-4%</t>
      </text>
    </comment>
    <comment ref="AE58" authorId="8" shapeId="0" xr:uid="{D897748F-3BE0-448F-A31C-E424F36B0AB2}">
      <text>
        <t>[Threaded comment]
Your version of Excel allows you to read this threaded comment; however, any edits to it will get removed if the file is opened in a newer version of Excel. Learn more: https://go.microsoft.com/fwlink/?linkid=870924
Comment:
    WMT guidance +3%-4.5%</t>
      </text>
    </comment>
    <comment ref="AV58" authorId="9" shapeId="0" xr:uid="{00295A0A-2A70-4EFB-BC3A-1DA895C8E33A}">
      <text>
        <t>[Threaded comment]
Your version of Excel allows you to read this threaded comment; however, any edits to it will get removed if the file is opened in a newer version of Excel. Learn more: https://go.microsoft.com/fwlink/?linkid=870924
Comment:
    WMT guidance +4%-6%</t>
      </text>
    </comment>
    <comment ref="AE60" authorId="10" shapeId="0" xr:uid="{492D7A3A-C837-4698-BAEE-38CE008A39C5}">
      <text>
        <t>[Threaded comment]
Your version of Excel allows you to read this threaded comment; however, any edits to it will get removed if the file is opened in a newer version of Excel. Learn more: https://go.microsoft.com/fwlink/?linkid=870924
Comment:
    3:1 split effective 2/26/24</t>
      </text>
    </comment>
    <comment ref="AV64" authorId="11" shapeId="0" xr:uid="{E824E4CC-ADF3-4261-A3EB-5A1AC785309E}">
      <text>
        <t>[Threaded comment]
Your version of Excel allows you to read this threaded comment; however, any edits to it will get removed if the file is opened in a newer version of Excel. Learn more: https://go.microsoft.com/fwlink/?linkid=870924
Comment:
    WMT guidance 25%-26%</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<sst xmlns="http://schemas.openxmlformats.org/spreadsheetml/2006/main" count="246" uniqueCount="197">
  <si>
    <t>Company</t>
  </si>
  <si>
    <t>Source</t>
  </si>
  <si>
    <t>Price</t>
  </si>
  <si>
    <t>Shares</t>
  </si>
  <si>
    <t>Market Cap</t>
  </si>
  <si>
    <t>Cash</t>
  </si>
  <si>
    <t>Debt</t>
  </si>
  <si>
    <t>EV</t>
  </si>
  <si>
    <t>Equity</t>
  </si>
  <si>
    <t>D+E</t>
  </si>
  <si>
    <t>Wdebt</t>
  </si>
  <si>
    <t>Wequity</t>
  </si>
  <si>
    <t>Tax rate</t>
  </si>
  <si>
    <t>Interest expense</t>
  </si>
  <si>
    <t>Cost of debt</t>
  </si>
  <si>
    <t>Risk-free rate</t>
  </si>
  <si>
    <t>Beta</t>
  </si>
  <si>
    <t>Market return</t>
  </si>
  <si>
    <t>Cost of equity</t>
  </si>
  <si>
    <t>WACC</t>
  </si>
  <si>
    <t>Membership &amp; other</t>
  </si>
  <si>
    <t>Total Revenue</t>
  </si>
  <si>
    <t>Cost of Sales</t>
  </si>
  <si>
    <t xml:space="preserve">Gross Profit </t>
  </si>
  <si>
    <t>OSG&amp;A</t>
  </si>
  <si>
    <t>Opex</t>
  </si>
  <si>
    <t>Operating Income</t>
  </si>
  <si>
    <t>Pretax Income</t>
  </si>
  <si>
    <t>Taxes</t>
  </si>
  <si>
    <t>Net Income</t>
  </si>
  <si>
    <t>EPS</t>
  </si>
  <si>
    <t>1Q18</t>
  </si>
  <si>
    <t>2Q18</t>
  </si>
  <si>
    <t>3Q18</t>
  </si>
  <si>
    <t>4Q18</t>
  </si>
  <si>
    <t>1Q19</t>
  </si>
  <si>
    <t>2Q19</t>
  </si>
  <si>
    <t>3Q19</t>
  </si>
  <si>
    <t>4Q19</t>
  </si>
  <si>
    <t>1Q20</t>
  </si>
  <si>
    <t>2Q20</t>
  </si>
  <si>
    <t>3Q20</t>
  </si>
  <si>
    <t>4Q20</t>
  </si>
  <si>
    <t>1Q21</t>
  </si>
  <si>
    <t>Minority Interest</t>
  </si>
  <si>
    <t>2Q21</t>
  </si>
  <si>
    <t>3Q21</t>
  </si>
  <si>
    <t>4Q21</t>
  </si>
  <si>
    <t>Gross Margin</t>
  </si>
  <si>
    <t>Operating Margin</t>
  </si>
  <si>
    <t>Revenue Y/Y</t>
  </si>
  <si>
    <t>COGS Y/Y</t>
  </si>
  <si>
    <t>OSG&amp;A Y/Y</t>
  </si>
  <si>
    <t>Opex Y/Y</t>
  </si>
  <si>
    <t>NI Y/Y</t>
  </si>
  <si>
    <t>Shares Y/Y</t>
  </si>
  <si>
    <t>EPS Y/Y</t>
  </si>
  <si>
    <t>Maturity</t>
  </si>
  <si>
    <t>NPV</t>
  </si>
  <si>
    <t>Value</t>
  </si>
  <si>
    <t>Model Price</t>
  </si>
  <si>
    <t>Market Price</t>
  </si>
  <si>
    <t>Difference</t>
  </si>
  <si>
    <t>Net Cash</t>
  </si>
  <si>
    <t>Dividends</t>
  </si>
  <si>
    <t>1Q22</t>
  </si>
  <si>
    <t>2Q22</t>
  </si>
  <si>
    <t>3Q22</t>
  </si>
  <si>
    <t>4Q22</t>
  </si>
  <si>
    <t>Loss on Extinguishment of Debt</t>
  </si>
  <si>
    <t>1Q23</t>
  </si>
  <si>
    <t>2Q23</t>
  </si>
  <si>
    <t>3Q23</t>
  </si>
  <si>
    <t>4Q23</t>
  </si>
  <si>
    <t>Interest Income</t>
  </si>
  <si>
    <t>Debt Interest Expense</t>
  </si>
  <si>
    <t>Finance Lease Obligatons Expense</t>
  </si>
  <si>
    <t>Other Losses/(Gains)</t>
  </si>
  <si>
    <t>OI Y/Y</t>
  </si>
  <si>
    <t>Notes</t>
  </si>
  <si>
    <t>5yr t-bond per dashboard</t>
  </si>
  <si>
    <t>Cash &amp; Equivalents</t>
  </si>
  <si>
    <t>A/R</t>
  </si>
  <si>
    <t>Inventories</t>
  </si>
  <si>
    <t>Prepaid Expenses &amp; Other</t>
  </si>
  <si>
    <t>Total Current Assets</t>
  </si>
  <si>
    <t>PP&amp;E</t>
  </si>
  <si>
    <t>Operating Lease ROUs</t>
  </si>
  <si>
    <t>Finance Lease ROUs</t>
  </si>
  <si>
    <t>Goodwill</t>
  </si>
  <si>
    <t>Other</t>
  </si>
  <si>
    <t>Total Assets</t>
  </si>
  <si>
    <t>ST Debt</t>
  </si>
  <si>
    <t>A/P</t>
  </si>
  <si>
    <t>Accrued Liabilities</t>
  </si>
  <si>
    <t>Accrued Taxes</t>
  </si>
  <si>
    <t>Current Portion of LT Debt</t>
  </si>
  <si>
    <t>Current Operating Lease Obligations</t>
  </si>
  <si>
    <t>Current Finance Lease Obligations</t>
  </si>
  <si>
    <t>Total Current Liabilities</t>
  </si>
  <si>
    <t>LT Debt</t>
  </si>
  <si>
    <t>LT Operating Lease Obligations</t>
  </si>
  <si>
    <t>LT Finance Lease Obligations</t>
  </si>
  <si>
    <t>Deferred Taxes &amp; Other</t>
  </si>
  <si>
    <t>Commitments &amp; Contingencies</t>
  </si>
  <si>
    <t>Redeemable Non-Controlling Interest</t>
  </si>
  <si>
    <t>Total Liabilities</t>
  </si>
  <si>
    <t>S/E</t>
  </si>
  <si>
    <t>L + S/E</t>
  </si>
  <si>
    <t>Property Lease &amp; Financing Obligations</t>
  </si>
  <si>
    <t>Current Capital Leases &amp; Financing Obligations</t>
  </si>
  <si>
    <t>LT Capital Lease &amp; Financing Obligations</t>
  </si>
  <si>
    <t>Model Net Income</t>
  </si>
  <si>
    <t>Reported Net Income</t>
  </si>
  <si>
    <t>D&amp;A</t>
  </si>
  <si>
    <t>Net Unrealized &amp; Realized Losses/(Gains)</t>
  </si>
  <si>
    <t>Losses on Disposal of Business Operations</t>
  </si>
  <si>
    <t>Deferred Taxes</t>
  </si>
  <si>
    <t>Other Operating Activities</t>
  </si>
  <si>
    <t>CFFO</t>
  </si>
  <si>
    <t>Capex</t>
  </si>
  <si>
    <t>Proceeds from Disposal of PP&amp;E</t>
  </si>
  <si>
    <t>Proceeds from Disposal of Certain Operations</t>
  </si>
  <si>
    <t>Payment for Business Acquisitions</t>
  </si>
  <si>
    <t>Other Investing Activities</t>
  </si>
  <si>
    <t>CFFI</t>
  </si>
  <si>
    <t>Change in ST Debt</t>
  </si>
  <si>
    <t>Repayments of LT Debt</t>
  </si>
  <si>
    <t>Purchase of Company Stock</t>
  </si>
  <si>
    <t>Sale of Subsidiary Stock</t>
  </si>
  <si>
    <t>Other Financing Activities</t>
  </si>
  <si>
    <t>CFFF</t>
  </si>
  <si>
    <t>Cash Flow</t>
  </si>
  <si>
    <t>FCF</t>
  </si>
  <si>
    <t>Dividend per Share</t>
  </si>
  <si>
    <t>Payout Ratio</t>
  </si>
  <si>
    <t>Asda Pension Contribution</t>
  </si>
  <si>
    <t>Proceeds from Issuance of LT Debt</t>
  </si>
  <si>
    <t>Premiums Paid to Extinguish Debt</t>
  </si>
  <si>
    <t>Dividends Paid to Noncontrolling Interest</t>
  </si>
  <si>
    <t>Using Net Income</t>
  </si>
  <si>
    <t>Using FCF</t>
  </si>
  <si>
    <t>Average DCF Price</t>
  </si>
  <si>
    <t>EBITDA</t>
  </si>
  <si>
    <t>EBITDA Y/Y</t>
  </si>
  <si>
    <t>Quarter/Year End End</t>
  </si>
  <si>
    <t>Grocery</t>
  </si>
  <si>
    <t>General Merchandise</t>
  </si>
  <si>
    <t>Health &amp; Wellness</t>
  </si>
  <si>
    <t>WMT U.S. Sales</t>
  </si>
  <si>
    <t>WMT U.S. Sales Y/Y</t>
  </si>
  <si>
    <t>Mexico &amp; Central America</t>
  </si>
  <si>
    <t>Canada</t>
  </si>
  <si>
    <t>China</t>
  </si>
  <si>
    <t>U.K.</t>
  </si>
  <si>
    <t>WMT International Sales</t>
  </si>
  <si>
    <t>WMT International Sales Y/Y</t>
  </si>
  <si>
    <t>Grocery &amp; Consumables</t>
  </si>
  <si>
    <t>Fuel, Tobacco, &amp; Other</t>
  </si>
  <si>
    <t>Home &amp; Apparel</t>
  </si>
  <si>
    <t>Tech, Office, &amp; Entertainment</t>
  </si>
  <si>
    <t>Sam's Club Sales</t>
  </si>
  <si>
    <t>Sam's Club Sales Y/Y</t>
  </si>
  <si>
    <t>WMT U.S., WMT International, Sam's Club Sales</t>
  </si>
  <si>
    <t>Current Price</t>
  </si>
  <si>
    <t>Liquidity</t>
  </si>
  <si>
    <t>Current Ratio</t>
  </si>
  <si>
    <t>Cash Ratio</t>
  </si>
  <si>
    <t>Leverage</t>
  </si>
  <si>
    <t>D/E (Total Liabilities / SE)</t>
  </si>
  <si>
    <t>D/A</t>
  </si>
  <si>
    <t>D/E (LT + ST debt / SE)</t>
  </si>
  <si>
    <t>LT D/E</t>
  </si>
  <si>
    <t>Profitability</t>
  </si>
  <si>
    <t>Gross Margin Ratio</t>
  </si>
  <si>
    <t>Operating Margin Ratio</t>
  </si>
  <si>
    <t>NI Margin Ratio</t>
  </si>
  <si>
    <t>ROA</t>
  </si>
  <si>
    <t>ROE</t>
  </si>
  <si>
    <t>Valuation</t>
  </si>
  <si>
    <t>P/E</t>
  </si>
  <si>
    <t>P/CFFO</t>
  </si>
  <si>
    <t>EV/EBITDA</t>
  </si>
  <si>
    <t>EV/Revenue</t>
  </si>
  <si>
    <t>Quick Ratio</t>
  </si>
  <si>
    <t>1Q24</t>
  </si>
  <si>
    <t>2Q24</t>
  </si>
  <si>
    <t>3Q24</t>
  </si>
  <si>
    <t>4Q24</t>
  </si>
  <si>
    <t>1Q25</t>
  </si>
  <si>
    <t>2Q25</t>
  </si>
  <si>
    <t>3Q25</t>
  </si>
  <si>
    <t>4Q25</t>
  </si>
  <si>
    <t xml:space="preserve">  </t>
  </si>
  <si>
    <t>average</t>
  </si>
  <si>
    <t>model FY24</t>
  </si>
  <si>
    <t>koyfin 3/15/2024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</si>
</sst>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x"/>
    <numFmt numFmtId="166" formatCode="0.00\x"/>
  </numFmts>
  <fonts count="17"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i/>
      <sz val="11"/>
      <color theme="1"/>
      <name val="Arial"/>
      <family val="2"/>
    </font>
    <font>
      <u/>
      <sz val="11"/>
      <color theme="1"/>
      <name val="Arial"/>
      <family val="2"/>
    </font>
    <font>
      <b/>
      <u/>
      <sz val="11"/>
      <color theme="1"/>
      <name val="Arial"/>
      <family val="2"/>
    </font>
    <font>
      <sz val="9"/>
      <color indexed="81"/>
      <name val="Tahoma"/>
      <family val="2"/>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0" fillId="0" borderId="0" applyFont="0" applyFill="0" applyBorder="0" applyAlignment="0" applyProtection="0"/>
  </cellStyleXfs>
  <cellXfs count="80">
    <xf numFmtId="0" fontId="0" fillId="0" borderId="0" xfId="0"/>
    <xf numFmtId="0" fontId="9" fillId="0" borderId="0" xfId="0" applyFont="1"/>
    <xf numFmtId="3" fontId="9" fillId="0" borderId="0" xfId="0" applyNumberFormat="1" applyFont="1"/>
    <xf numFmtId="0" fontId="12" fillId="0" borderId="0" xfId="0" applyFont="1"/>
    <xf numFmtId="9" fontId="9" fillId="0" borderId="0" xfId="0" applyNumberFormat="1" applyFont="1"/>
    <xf numFmtId="0" fontId="9" fillId="0" borderId="0" xfId="0" applyFont="1" applyAlignment="1">
      <alignment horizontal="right"/>
    </xf>
    <xf numFmtId="14" fontId="9" fillId="0" borderId="0" xfId="0" applyNumberFormat="1" applyFont="1" applyAlignment="1">
      <alignment horizontal="right"/>
    </xf>
    <xf numFmtId="3" fontId="12" fillId="0" borderId="0" xfId="0" applyNumberFormat="1" applyFont="1"/>
    <xf numFmtId="4" fontId="9" fillId="0" borderId="0" xfId="0" applyNumberFormat="1" applyFont="1"/>
    <xf numFmtId="0" fontId="9" fillId="0" borderId="0" xfId="0" applyFont="1" applyAlignment="1">
      <alignment horizontal="right" vertical="center"/>
    </xf>
    <xf numFmtId="9" fontId="9" fillId="0" borderId="0" xfId="1" applyFont="1" applyAlignment="1">
      <alignment horizontal="right" vertical="center"/>
    </xf>
    <xf numFmtId="3" fontId="9" fillId="0" borderId="0" xfId="0" applyNumberFormat="1" applyFont="1" applyAlignment="1">
      <alignment horizontal="right" vertical="center"/>
    </xf>
    <xf numFmtId="0" fontId="13" fillId="0" borderId="0" xfId="0" applyFont="1"/>
    <xf numFmtId="3" fontId="13" fillId="0" borderId="0" xfId="0" applyNumberFormat="1" applyFont="1"/>
    <xf numFmtId="4" fontId="9" fillId="0" borderId="0" xfId="0" applyNumberFormat="1" applyFont="1" applyAlignment="1">
      <alignment horizontal="right" vertical="center"/>
    </xf>
    <xf numFmtId="3" fontId="9" fillId="0" borderId="0" xfId="0" applyNumberFormat="1" applyFont="1" applyAlignment="1">
      <alignment horizontal="right"/>
    </xf>
    <xf numFmtId="3" fontId="9" fillId="0" borderId="1" xfId="0" applyNumberFormat="1" applyFont="1" applyBorder="1" applyAlignment="1">
      <alignment horizontal="right"/>
    </xf>
    <xf numFmtId="0" fontId="7" fillId="0" borderId="0" xfId="0" applyFont="1"/>
    <xf numFmtId="0" fontId="14" fillId="0" borderId="0" xfId="0" applyFont="1" applyAlignment="1">
      <alignment horizontal="center"/>
    </xf>
    <xf numFmtId="2" fontId="9" fillId="0" borderId="0" xfId="0" applyNumberFormat="1" applyFont="1" applyAlignment="1">
      <alignment horizontal="right" vertical="center"/>
    </xf>
    <xf numFmtId="9" fontId="9" fillId="0" borderId="0" xfId="0" applyNumberFormat="1" applyFont="1" applyAlignment="1">
      <alignment horizontal="right" vertical="center"/>
    </xf>
    <xf numFmtId="0" fontId="9" fillId="0" borderId="0" xfId="0" applyFont="1" applyAlignment="1">
      <alignment horizontal="left"/>
    </xf>
    <xf numFmtId="0" fontId="12" fillId="0" borderId="0" xfId="0" applyFont="1" applyAlignment="1">
      <alignment horizontal="left"/>
    </xf>
    <xf numFmtId="0" fontId="8" fillId="0" borderId="0" xfId="0" applyFont="1" applyAlignment="1">
      <alignment horizontal="left"/>
    </xf>
    <xf numFmtId="0" fontId="6" fillId="0" borderId="0" xfId="0" applyFont="1"/>
    <xf numFmtId="3" fontId="6" fillId="0" borderId="0" xfId="0" applyNumberFormat="1" applyFont="1"/>
    <xf numFmtId="0" fontId="5" fillId="0" borderId="0" xfId="0" applyFont="1" applyAlignment="1">
      <alignment horizontal="left"/>
    </xf>
    <xf numFmtId="0" fontId="5" fillId="0" borderId="0" xfId="0" applyFont="1"/>
    <xf numFmtId="3" fontId="14" fillId="0" borderId="0" xfId="0" applyNumberFormat="1" applyFont="1"/>
    <xf numFmtId="9" fontId="5" fillId="0" borderId="0" xfId="1" applyFont="1" applyAlignment="1">
      <alignment horizontal="right" vertical="center"/>
    </xf>
    <xf numFmtId="4" fontId="5" fillId="0" borderId="0" xfId="0" applyNumberFormat="1" applyFont="1"/>
    <xf numFmtId="0" fontId="4" fillId="0" borderId="0" xfId="0" applyFont="1" applyAlignment="1">
      <alignment horizontal="left"/>
    </xf>
    <xf numFmtId="3" fontId="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left"/>
    </xf>
    <xf numFmtId="9" fontId="13" fillId="0" borderId="0" xfId="0" applyNumberFormat="1" applyFont="1" applyAlignment="1">
      <alignment horizontal="right"/>
    </xf>
    <xf numFmtId="3" fontId="12" fillId="0" borderId="0" xfId="0" applyNumberFormat="1" applyFont="1" applyAlignment="1">
      <alignment horizontal="right"/>
    </xf>
    <xf numFmtId="0" fontId="12" fillId="0" borderId="0" xfId="0" applyFont="1" applyAlignment="1">
      <alignment horizontal="right"/>
    </xf>
    <xf numFmtId="3" fontId="3" fillId="0" borderId="0" xfId="0" applyNumberFormat="1" applyFont="1"/>
    <xf numFmtId="9" fontId="3" fillId="0" borderId="0" xfId="0" applyNumberFormat="1" applyFont="1"/>
    <xf numFmtId="4" fontId="12" fillId="0" borderId="0" xfId="0" applyNumberFormat="1" applyFont="1"/>
    <xf numFmtId="9" fontId="12" fillId="0" borderId="0" xfId="0" applyNumberFormat="1" applyFont="1"/>
    <xf numFmtId="9" fontId="0" fillId="0" borderId="0" xfId="0" applyNumberFormat="1"/>
    <xf numFmtId="164" fontId="9" fillId="0" borderId="0" xfId="0" applyNumberFormat="1" applyFont="1" applyAlignment="1">
      <alignment horizontal="right"/>
    </xf>
    <xf numFmtId="0" fontId="7" fillId="0" borderId="0" xfId="0" applyFont="1" applyAlignment="1">
      <alignment horizontal="right"/>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9" fillId="0" borderId="5" xfId="0" applyFont="1" applyBorder="1"/>
    <xf numFmtId="0" fontId="9" fillId="0" borderId="6" xfId="0" applyFont="1" applyBorder="1" applyAlignment="1">
      <alignment horizontal="right"/>
    </xf>
    <xf numFmtId="0" fontId="9" fillId="0" borderId="7" xfId="0" applyFont="1" applyBorder="1"/>
    <xf numFmtId="0" fontId="9" fillId="0" borderId="8" xfId="0" applyFont="1" applyBorder="1" applyAlignment="1">
      <alignment horizontal="right"/>
    </xf>
    <xf numFmtId="3" fontId="14" fillId="0" borderId="2" xfId="0" applyNumberFormat="1" applyFont="1" applyBorder="1"/>
    <xf numFmtId="3" fontId="14" fillId="0" borderId="4" xfId="0" applyNumberFormat="1" applyFont="1" applyBorder="1"/>
    <xf numFmtId="3" fontId="3" fillId="0" borderId="5" xfId="0" applyNumberFormat="1" applyFont="1" applyBorder="1"/>
    <xf numFmtId="9" fontId="3" fillId="0" borderId="6" xfId="0" applyNumberFormat="1" applyFont="1" applyBorder="1"/>
    <xf numFmtId="3" fontId="3" fillId="0" borderId="6" xfId="0" applyNumberFormat="1" applyFont="1" applyBorder="1"/>
    <xf numFmtId="3" fontId="12" fillId="0" borderId="5" xfId="0" applyNumberFormat="1" applyFont="1" applyBorder="1"/>
    <xf numFmtId="4" fontId="12" fillId="0" borderId="6" xfId="0" applyNumberFormat="1" applyFont="1" applyBorder="1"/>
    <xf numFmtId="3" fontId="12" fillId="0" borderId="7" xfId="0" applyNumberFormat="1" applyFont="1" applyBorder="1"/>
    <xf numFmtId="9" fontId="12" fillId="0" borderId="8" xfId="0" applyNumberFormat="1" applyFont="1" applyBorder="1"/>
    <xf numFmtId="3" fontId="3" fillId="0" borderId="4" xfId="0" applyNumberFormat="1" applyFont="1" applyBorder="1"/>
    <xf numFmtId="0" fontId="3" fillId="0" borderId="2" xfId="0" applyFont="1" applyBorder="1"/>
    <xf numFmtId="4" fontId="3" fillId="0" borderId="4" xfId="0" applyNumberFormat="1" applyFont="1" applyBorder="1"/>
    <xf numFmtId="4" fontId="3" fillId="0" borderId="6" xfId="0" applyNumberFormat="1" applyFont="1" applyBorder="1"/>
    <xf numFmtId="3" fontId="2" fillId="0" borderId="0" xfId="0" applyNumberFormat="1" applyFont="1"/>
    <xf numFmtId="3" fontId="15" fillId="0" borderId="0" xfId="0" applyNumberFormat="1" applyFont="1"/>
    <xf numFmtId="4" fontId="2" fillId="0" borderId="0" xfId="0" applyNumberFormat="1" applyFont="1"/>
    <xf numFmtId="9" fontId="2" fillId="0" borderId="0" xfId="0" applyNumberFormat="1" applyFont="1"/>
    <xf numFmtId="165" fontId="2" fillId="0" borderId="0" xfId="0" applyNumberFormat="1" applyFont="1"/>
    <xf numFmtId="166" fontId="2" fillId="0" borderId="0" xfId="0" applyNumberFormat="1" applyFont="1"/>
    <xf numFmtId="0" fontId="1" fillId="0" borderId="6" xfId="0" applyFont="1" applyBorder="1" applyAlignment="1">
      <alignment horizontal="right"/>
    </xf>
    <xf numFmtId="3"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xf numFmtId="0" fontId="1" fillId="0" borderId="0" xfId="0" applyFont="1"/>
    <xf numFmtId="10" fontId="1" fillId="0" borderId="0" xfId="0" applyNumberFormat="1" applyFont="1"/>
    <xf numFmtId="9" fontId="12" fillId="0" borderId="0" xfId="1" applyFont="1"/>
    <xf numFmtId="0" fontId="12" fillId="0" borderId="1" xfId="0" applyFont="1" applyBorder="1"/>
    <xf numFmtId="9" fontId="12" fillId="0" borderId="1" xfId="0" applyNumberFormat="1" applyFont="1" applyBorder="1"/>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30</xdr:col>
      <xdr:colOff>48260</xdr:colOff>
      <xdr:row>0</xdr:row>
      <xdr:rowOff>0</xdr:rowOff>
    </xdr:from>
    <xdr:to>
      <xdr:col>30</xdr:col>
      <xdr:colOff>48260</xdr:colOff>
      <xdr:row>134</xdr:row>
      <xdr:rowOff>57150</xdr:rowOff>
    </xdr:to>
    <xdr:cxnSp macro="">
      <xdr:nvCxnSpPr>
        <xdr:cNvPr id="3" name="Straight Connector 2">
          <a:extLst>
            <a:ext uri="{FF2B5EF4-FFF2-40B4-BE49-F238E27FC236}">
              <a16:creationId xmlns:a16="http://schemas.microsoft.com/office/drawing/2014/main" id="{FFCDB099-D265-454F-9218-A2F4C1CF35D4}"/>
            </a:ext>
          </a:extLst>
        </xdr:cNvPr>
        <xdr:cNvCxnSpPr/>
      </xdr:nvCxnSpPr>
      <xdr:spPr>
        <a:xfrm>
          <a:off x="24036020" y="0"/>
          <a:ext cx="0" cy="245021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57785</xdr:colOff>
      <xdr:row>1</xdr:row>
      <xdr:rowOff>46355</xdr:rowOff>
    </xdr:from>
    <xdr:to>
      <xdr:col>47</xdr:col>
      <xdr:colOff>57785</xdr:colOff>
      <xdr:row>136</xdr:row>
      <xdr:rowOff>27305</xdr:rowOff>
    </xdr:to>
    <xdr:cxnSp macro="">
      <xdr:nvCxnSpPr>
        <xdr:cNvPr id="4" name="Straight Connector 3">
          <a:extLst>
            <a:ext uri="{FF2B5EF4-FFF2-40B4-BE49-F238E27FC236}">
              <a16:creationId xmlns:a16="http://schemas.microsoft.com/office/drawing/2014/main" id="{43502195-907B-4CF3-BC66-9FD924E32A01}"/>
            </a:ext>
          </a:extLst>
        </xdr:cNvPr>
        <xdr:cNvCxnSpPr/>
      </xdr:nvCxnSpPr>
      <xdr:spPr>
        <a:xfrm>
          <a:off x="35521265" y="221615"/>
          <a:ext cx="0" cy="244259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4.3299999999999998E-2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EA4BE7B3-87DC-4D60-BCAD-B4CF5123B2C6}"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https://www.bing.com/financeapi/forcetrigger?t=a25ya2&amp;q=XNYS%3aWMT&amp;form=skydnc</v>
    <v>Learn more on Bing</v>
  </rv>
  <rv s="1">
    <v>en-US</v>
    <v>a25ya2</v>
    <v>268435456</v>
    <v>1</v>
    <v>Powered by Refinitiv</v>
    <v>0</v>
    <v>WALMART INC. (XNYS:WMT)</v>
    <v>2</v>
    <v>3</v>
    <v>Finance</v>
    <v>4</v>
    <v>61.655000000000001</v>
    <v>47.593299999999999</v>
    <v>0.49969999999999998</v>
    <v>-0.06</v>
    <v>3.3050000000000001E-4</v>
    <v>-9.905999999999999E-4</v>
    <v>0.02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60.83</v>
    <v>Food &amp; Drug Retailing</v>
    <v>Stock</v>
    <v>45377.999685937502</v>
    <v>0</v>
    <v>60.23</v>
    <v>487592544990</v>
    <v>WALMART INC.</v>
    <v>WALMART INC.</v>
    <v>60.46</v>
    <v>41.453000000000003</v>
    <v>60.57</v>
    <v>60.51</v>
    <v>60.53</v>
    <v>8058049000</v>
    <v>WMT</v>
    <v>WALMART INC. (XNYS:WMT)</v>
    <v>13738342</v>
    <v>24163672</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4-03-27T04:08:14.40" personId="{EA4BE7B3-87DC-4D60-BCAD-B4CF5123B2C6}" id="{DF6CAB1C-77BD-4CA1-ABBE-CA67D4232F38}">
    <text>3-for-1 split effective 2/26/2024</text>
  </threadedComment>
</ThreadedComments>
</file>

<file path=xl/threadedComments/threadedComment2.xml><?xml version="1.0" encoding="utf-8"?>
<ThreadedComments xmlns="http://schemas.microsoft.com/office/spreadsheetml/2018/threadedcomments" xmlns:x="http://schemas.openxmlformats.org/spreadsheetml/2006/main">
  <threadedComment ref="AE31" dT="2024-03-17T18:13:14.43" personId="{EA4BE7B3-87DC-4D60-BCAD-B4CF5123B2C6}" id="{C04F929E-3126-4705-8AC2-FE20D9BC15A4}">
    <text>WMT guidance +4%-5%</text>
  </threadedComment>
  <threadedComment ref="AV31" dT="2024-03-17T18:24:10.44" personId="{EA4BE7B3-87DC-4D60-BCAD-B4CF5123B2C6}" id="{3A04E0AF-E6A4-4E66-867E-327EA08A4406}">
    <text>WMT guidance +3%-4%</text>
  </threadedComment>
  <threadedComment ref="AE36" dT="2024-03-17T18:18:16.00" personId="{EA4BE7B3-87DC-4D60-BCAD-B4CF5123B2C6}" id="{2BD067CA-BCD3-46A4-95EA-DE271672641D}">
    <text>WMT guidance +3%-4.5%</text>
  </threadedComment>
  <threadedComment ref="AE45" dT="2024-03-17T18:20:33.24" personId="{EA4BE7B3-87DC-4D60-BCAD-B4CF5123B2C6}" id="{506AE078-CAB0-4036-832E-3DCFFC2C5C29}">
    <text>3:1 split effective 2/26/24</text>
  </threadedComment>
  <threadedComment ref="AE46" dT="2024-03-17T18:16:20.15" personId="{EA4BE7B3-87DC-4D60-BCAD-B4CF5123B2C6}" id="{C9725445-92B2-4455-96A8-4DBFDF2578BB}">
    <text>WMT guidance $1.48-$1.56 pre-split, $0.49-$0.52 post-split</text>
  </threadedComment>
  <threadedComment ref="B51" dT="2022-07-27T03:40:51.23" personId="{EA4BE7B3-87DC-4D60-BCAD-B4CF5123B2C6}" id="{C8DF45A8-7DCB-4C7D-8E2F-0E1964E9D88F}">
    <text>= NI + Taxes + Debt Interest Expense + D&amp;A</text>
  </threadedComment>
  <threadedComment ref="AE54" dT="2024-03-17T18:19:17.78" personId="{EA4BE7B3-87DC-4D60-BCAD-B4CF5123B2C6}" id="{A2DC3507-DA2B-4491-8DED-9BA1601695F0}">
    <text>WMT guidance +4%-5%, leap year estimated to benefit approx. 100bps</text>
  </threadedComment>
  <threadedComment ref="AV54" dT="2024-03-17T18:24:14.78" personId="{EA4BE7B3-87DC-4D60-BCAD-B4CF5123B2C6}" id="{57A07CC9-F672-46E6-BBF0-803316448D6E}">
    <text>WMT guidance +3%-4%</text>
  </threadedComment>
  <threadedComment ref="AE58" dT="2024-03-17T18:19:59.45" personId="{EA4BE7B3-87DC-4D60-BCAD-B4CF5123B2C6}" id="{D897748F-3BE0-448F-A31C-E424F36B0AB2}">
    <text>WMT guidance +3%-4.5%</text>
  </threadedComment>
  <threadedComment ref="AV58" dT="2024-03-17T18:23:54.17" personId="{EA4BE7B3-87DC-4D60-BCAD-B4CF5123B2C6}" id="{00295A0A-2A70-4EFB-BC3A-1DA895C8E33A}">
    <text>WMT guidance +4%-6%</text>
  </threadedComment>
  <threadedComment ref="AE60" dT="2024-03-17T18:20:29.11" personId="{EA4BE7B3-87DC-4D60-BCAD-B4CF5123B2C6}" id="{492D7A3A-C837-4698-BAEE-38CE008A39C5}">
    <text>3:1 split effective 2/26/24</text>
  </threadedComment>
  <threadedComment ref="AV64" dT="2024-03-17T18:25:19.14" personId="{EA4BE7B3-87DC-4D60-BCAD-B4CF5123B2C6}" id="{E824E4CC-ADF3-4261-A3EB-5A1AC785309E}">
    <text>WMT guidance 25%-26%</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477D-CC52-4A64-A701-CE083F18EB38}">
  <dimension ref="B3:M12"/>
  <sheetViews>
    <sheetView workbookViewId="0">
      <selection activeCell="E24" sqref="E24"/>
    </sheetView>
  </sheetViews>
  <sheetFormatPr defaultRowHeight="14.4" x14ac:dyDescent="0.3"/>
  <cols>
    <col min="2" max="2" width="11.5546875" bestFit="1" customWidth="1"/>
    <col min="3" max="3" width="31.77734375" bestFit="1" customWidth="1"/>
    <col min="4" max="5" width="8.77734375" customWidth="1"/>
    <col min="6" max="6" width="17.77734375" bestFit="1" customWidth="1"/>
    <col min="8" max="8" width="8.77734375" customWidth="1"/>
    <col min="9" max="9" width="14" bestFit="1" customWidth="1"/>
    <col min="11" max="11" width="9.21875"/>
    <col min="12" max="12" width="20.5546875" bestFit="1" customWidth="1"/>
  </cols>
  <sheetData>
    <row r="3" spans="2:13" x14ac:dyDescent="0.3">
      <c r="B3" s="45" t="s">
        <v>0</v>
      </c>
      <c r="C3" s="46" t="e" vm="1">
        <v>#VALUE!</v>
      </c>
      <c r="D3" s="47" t="s">
        <v>1</v>
      </c>
      <c r="E3" s="18"/>
      <c r="F3" s="52" t="s">
        <v>140</v>
      </c>
      <c r="G3" s="53"/>
      <c r="H3" s="28"/>
      <c r="I3" s="52" t="s">
        <v>141</v>
      </c>
      <c r="J3" s="61"/>
      <c r="K3" s="38"/>
      <c r="L3" s="62" t="s">
        <v>142</v>
      </c>
      <c r="M3" s="63">
        <f>AVERAGE(G10,J10)</f>
        <v>68.105669446937128</v>
      </c>
    </row>
    <row r="4" spans="2:13" x14ac:dyDescent="0.3">
      <c r="B4" s="48" t="s">
        <v>2</v>
      </c>
      <c r="C4" s="43" cm="1">
        <f t="array" ref="C4">_FV(C3,"Price")</f>
        <v>60.51</v>
      </c>
      <c r="D4" s="49"/>
      <c r="E4" s="5"/>
      <c r="F4" s="54" t="s">
        <v>57</v>
      </c>
      <c r="G4" s="55">
        <v>-0.01</v>
      </c>
      <c r="H4" s="38"/>
      <c r="I4" s="54" t="s">
        <v>57</v>
      </c>
      <c r="J4" s="55">
        <v>-0.01</v>
      </c>
      <c r="K4" s="39"/>
      <c r="L4" s="54" t="s">
        <v>164</v>
      </c>
      <c r="M4" s="64">
        <f>C4</f>
        <v>60.51</v>
      </c>
    </row>
    <row r="5" spans="2:13" x14ac:dyDescent="0.3">
      <c r="B5" s="48" t="s">
        <v>3</v>
      </c>
      <c r="C5" s="15">
        <f>3*2701</f>
        <v>8103</v>
      </c>
      <c r="D5" s="71" t="s">
        <v>188</v>
      </c>
      <c r="E5" s="44"/>
      <c r="F5" s="54" t="s">
        <v>19</v>
      </c>
      <c r="G5" s="55">
        <v>3.2917619049035812E-2</v>
      </c>
      <c r="H5" s="38"/>
      <c r="I5" s="54" t="s">
        <v>19</v>
      </c>
      <c r="J5" s="55">
        <v>3.2917619049035812E-2</v>
      </c>
      <c r="K5" s="39"/>
      <c r="L5" s="59" t="s">
        <v>62</v>
      </c>
      <c r="M5" s="60">
        <f>M3/M4-1</f>
        <v>0.12552750697301485</v>
      </c>
    </row>
    <row r="6" spans="2:13" x14ac:dyDescent="0.3">
      <c r="B6" s="48" t="s">
        <v>4</v>
      </c>
      <c r="C6" s="15">
        <f>C4*C5</f>
        <v>490312.52999999997</v>
      </c>
      <c r="D6" s="49"/>
      <c r="E6" s="5"/>
      <c r="F6" s="54" t="s">
        <v>3</v>
      </c>
      <c r="G6" s="56">
        <f>C5</f>
        <v>8103</v>
      </c>
      <c r="H6" s="38"/>
      <c r="I6" s="54" t="s">
        <v>3</v>
      </c>
      <c r="J6" s="56">
        <f>C5</f>
        <v>8103</v>
      </c>
      <c r="K6" s="38"/>
      <c r="M6" s="42"/>
    </row>
    <row r="7" spans="2:13" x14ac:dyDescent="0.3">
      <c r="B7" s="48" t="s">
        <v>5</v>
      </c>
      <c r="C7" s="15">
        <v>9867</v>
      </c>
      <c r="D7" s="71" t="s">
        <v>188</v>
      </c>
      <c r="E7" s="44"/>
      <c r="F7" s="54" t="s">
        <v>58</v>
      </c>
      <c r="G7" s="56">
        <f>NPV(G5,Model!AS44:QA44)</f>
        <v>296096.49823398603</v>
      </c>
      <c r="H7" s="38"/>
      <c r="I7" s="54" t="s">
        <v>58</v>
      </c>
      <c r="J7" s="56">
        <f>NPV(J5,Model!AS134:PZ134)</f>
        <v>868803.98082307703</v>
      </c>
      <c r="K7" s="38"/>
    </row>
    <row r="8" spans="2:13" x14ac:dyDescent="0.3">
      <c r="B8" s="48" t="s">
        <v>6</v>
      </c>
      <c r="C8" s="72">
        <f>878+3447+36132</f>
        <v>40457</v>
      </c>
      <c r="D8" s="71" t="s">
        <v>188</v>
      </c>
      <c r="E8" s="44"/>
      <c r="F8" s="54" t="s">
        <v>63</v>
      </c>
      <c r="G8" s="56">
        <f>C7-C8</f>
        <v>-30590</v>
      </c>
      <c r="H8" s="38"/>
      <c r="I8" s="54" t="s">
        <v>63</v>
      </c>
      <c r="J8" s="56">
        <f>C7-C8</f>
        <v>-30590</v>
      </c>
      <c r="K8" s="38"/>
    </row>
    <row r="9" spans="2:13" x14ac:dyDescent="0.3">
      <c r="B9" s="50" t="s">
        <v>7</v>
      </c>
      <c r="C9" s="16">
        <f>C6-C7+C8</f>
        <v>520902.52999999997</v>
      </c>
      <c r="D9" s="51"/>
      <c r="E9" s="5"/>
      <c r="F9" s="54" t="s">
        <v>59</v>
      </c>
      <c r="G9" s="56">
        <f>G7+G8</f>
        <v>265506.49823398603</v>
      </c>
      <c r="H9" s="38"/>
      <c r="I9" s="54" t="s">
        <v>59</v>
      </c>
      <c r="J9" s="56">
        <f>J7+J8</f>
        <v>838213.98082307703</v>
      </c>
      <c r="K9" s="38"/>
    </row>
    <row r="10" spans="2:13" x14ac:dyDescent="0.3">
      <c r="F10" s="57" t="s">
        <v>60</v>
      </c>
      <c r="G10" s="58">
        <f>G9/G6</f>
        <v>32.766444308772805</v>
      </c>
      <c r="H10" s="7"/>
      <c r="I10" s="57" t="s">
        <v>60</v>
      </c>
      <c r="J10" s="58">
        <f>J9/J6</f>
        <v>103.44489458510145</v>
      </c>
      <c r="K10" s="40"/>
    </row>
    <row r="11" spans="2:13" x14ac:dyDescent="0.3">
      <c r="F11" s="57" t="s">
        <v>61</v>
      </c>
      <c r="G11" s="58">
        <f>C4</f>
        <v>60.51</v>
      </c>
      <c r="H11" s="7"/>
      <c r="I11" s="57" t="s">
        <v>61</v>
      </c>
      <c r="J11" s="58">
        <f>C4</f>
        <v>60.51</v>
      </c>
      <c r="K11" s="40"/>
    </row>
    <row r="12" spans="2:13" x14ac:dyDescent="0.3">
      <c r="F12" s="59" t="s">
        <v>62</v>
      </c>
      <c r="G12" s="60">
        <f>G10/G11-1</f>
        <v>-0.45849538408902979</v>
      </c>
      <c r="H12" s="7"/>
      <c r="I12" s="59" t="s">
        <v>62</v>
      </c>
      <c r="J12" s="60">
        <f>J10/J11-1</f>
        <v>0.70955039803505948</v>
      </c>
      <c r="K12" s="41"/>
    </row>
  </sheetData>
  <conditionalFormatting sqref="G12 J12:K12">
    <cfRule type="cellIs" dxfId="3" priority="3" operator="lessThan">
      <formula>0</formula>
    </cfRule>
  </conditionalFormatting>
  <conditionalFormatting sqref="G12:H12 J12:K12">
    <cfRule type="cellIs" dxfId="2" priority="4" operator="greaterThan">
      <formula>0</formula>
    </cfRule>
  </conditionalFormatting>
  <conditionalFormatting sqref="M5">
    <cfRule type="cellIs" dxfId="1" priority="1" operator="lessThan">
      <formula>0</formula>
    </cfRule>
    <cfRule type="cellIs" dxfId="0" priority="2" operator="greater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128C0-03D8-49B2-8BF6-A39710DFD7FA}">
  <dimension ref="A1:QA134"/>
  <sheetViews>
    <sheetView tabSelected="1" workbookViewId="0">
      <pane xSplit="2" ySplit="2" topLeftCell="AQ41" activePane="bottomRight" state="frozen"/>
      <selection pane="topRight" activeCell="C1" sqref="C1"/>
      <selection pane="bottomLeft" activeCell="A3" sqref="A3"/>
      <selection pane="bottomRight" activeCell="BF65" sqref="BF65"/>
    </sheetView>
  </sheetViews>
  <sheetFormatPr defaultColWidth="9.21875" defaultRowHeight="13.8" x14ac:dyDescent="0.25"/>
  <cols>
    <col min="1" max="1" width="9.21875" style="1"/>
    <col min="2" max="2" width="47.5546875" style="1" bestFit="1" customWidth="1"/>
    <col min="3" max="4" width="10.21875" style="2" bestFit="1" customWidth="1"/>
    <col min="5" max="5" width="11.21875" style="2" bestFit="1" customWidth="1"/>
    <col min="6" max="8" width="10.21875" style="2" bestFit="1" customWidth="1"/>
    <col min="9" max="9" width="11.21875" style="2" bestFit="1" customWidth="1"/>
    <col min="10" max="12" width="10.21875" style="2" bestFit="1" customWidth="1"/>
    <col min="13" max="13" width="11.21875" style="2" bestFit="1" customWidth="1"/>
    <col min="14" max="16" width="10.21875" style="2" bestFit="1" customWidth="1"/>
    <col min="17" max="17" width="11.21875" style="2" bestFit="1" customWidth="1"/>
    <col min="18" max="18" width="10.21875" style="2" bestFit="1" customWidth="1"/>
    <col min="19" max="20" width="10.21875" style="2" customWidth="1"/>
    <col min="21" max="21" width="11.21875" style="2" bestFit="1" customWidth="1"/>
    <col min="22" max="24" width="10.21875" style="2" bestFit="1" customWidth="1"/>
    <col min="25" max="25" width="11.21875" style="2" bestFit="1" customWidth="1"/>
    <col min="26" max="26" width="10.21875" style="2" bestFit="1" customWidth="1"/>
    <col min="27" max="28" width="10.21875" style="2" customWidth="1"/>
    <col min="29" max="29" width="11" style="2" bestFit="1" customWidth="1"/>
    <col min="30" max="39" width="10.21875" style="2" customWidth="1"/>
    <col min="40" max="40" width="9.21875" style="2"/>
    <col min="41" max="41" width="10.77734375" style="2" bestFit="1" customWidth="1"/>
    <col min="42" max="50" width="9.21875" style="2" bestFit="1" customWidth="1"/>
    <col min="51" max="51" width="8.77734375" style="2" customWidth="1"/>
    <col min="52" max="52" width="8.44140625" style="2" bestFit="1" customWidth="1"/>
    <col min="53" max="53" width="13.6640625" style="2" customWidth="1"/>
    <col min="54" max="55" width="9.21875" style="2" bestFit="1" customWidth="1"/>
    <col min="56" max="56" width="16.77734375" style="2" bestFit="1" customWidth="1"/>
    <col min="57" max="58" width="9.21875" style="2" bestFit="1" customWidth="1"/>
    <col min="59" max="59" width="12.21875" style="2" bestFit="1" customWidth="1"/>
    <col min="60" max="442" width="9.21875" style="2" bestFit="1" customWidth="1"/>
    <col min="443" max="16384" width="9.21875" style="2"/>
  </cols>
  <sheetData>
    <row r="1" spans="2:52" s="5" customFormat="1" x14ac:dyDescent="0.25">
      <c r="B1" s="73" t="s">
        <v>145</v>
      </c>
      <c r="C1" s="6">
        <v>42855</v>
      </c>
      <c r="D1" s="6">
        <v>42947</v>
      </c>
      <c r="E1" s="6">
        <v>43039</v>
      </c>
      <c r="F1" s="6">
        <v>43131</v>
      </c>
      <c r="G1" s="6">
        <v>43220</v>
      </c>
      <c r="H1" s="6">
        <v>43312</v>
      </c>
      <c r="I1" s="6">
        <v>43404</v>
      </c>
      <c r="J1" s="6">
        <v>43496</v>
      </c>
      <c r="K1" s="6">
        <v>43585</v>
      </c>
      <c r="L1" s="6">
        <v>43677</v>
      </c>
      <c r="M1" s="6">
        <v>43769</v>
      </c>
      <c r="N1" s="6">
        <v>43861</v>
      </c>
      <c r="O1" s="6">
        <v>43951</v>
      </c>
      <c r="P1" s="6">
        <v>44043</v>
      </c>
      <c r="Q1" s="6">
        <v>44135</v>
      </c>
      <c r="R1" s="6">
        <v>44227</v>
      </c>
      <c r="S1" s="6">
        <v>44316</v>
      </c>
      <c r="T1" s="6">
        <v>44408</v>
      </c>
      <c r="U1" s="6">
        <v>44500</v>
      </c>
      <c r="V1" s="6">
        <v>44592</v>
      </c>
      <c r="W1" s="6">
        <v>44681</v>
      </c>
      <c r="X1" s="6">
        <v>44773</v>
      </c>
      <c r="Y1" s="6">
        <v>44865</v>
      </c>
      <c r="Z1" s="6">
        <v>44957</v>
      </c>
      <c r="AA1" s="6">
        <v>45046</v>
      </c>
      <c r="AB1" s="6">
        <v>45138</v>
      </c>
      <c r="AC1" s="6">
        <v>45230</v>
      </c>
      <c r="AD1" s="6">
        <v>45322</v>
      </c>
      <c r="AE1" s="6"/>
      <c r="AF1" s="6"/>
      <c r="AG1" s="6"/>
      <c r="AH1" s="6"/>
      <c r="AI1" s="6"/>
      <c r="AJ1" s="6"/>
      <c r="AK1" s="6"/>
      <c r="AL1" s="6"/>
      <c r="AM1" s="6"/>
    </row>
    <row r="2" spans="2:52" s="5" customFormat="1" x14ac:dyDescent="0.25">
      <c r="C2" s="5" t="s">
        <v>31</v>
      </c>
      <c r="D2" s="5" t="s">
        <v>32</v>
      </c>
      <c r="E2" s="5" t="s">
        <v>33</v>
      </c>
      <c r="F2" s="5" t="s">
        <v>34</v>
      </c>
      <c r="G2" s="5" t="s">
        <v>35</v>
      </c>
      <c r="H2" s="5" t="s">
        <v>36</v>
      </c>
      <c r="I2" s="5" t="s">
        <v>37</v>
      </c>
      <c r="J2" s="5" t="s">
        <v>38</v>
      </c>
      <c r="K2" s="5" t="s">
        <v>39</v>
      </c>
      <c r="L2" s="5" t="s">
        <v>40</v>
      </c>
      <c r="M2" s="5" t="s">
        <v>41</v>
      </c>
      <c r="N2" s="5" t="s">
        <v>42</v>
      </c>
      <c r="O2" s="5" t="s">
        <v>43</v>
      </c>
      <c r="P2" s="5" t="s">
        <v>45</v>
      </c>
      <c r="Q2" s="5" t="s">
        <v>46</v>
      </c>
      <c r="R2" s="5" t="s">
        <v>47</v>
      </c>
      <c r="S2" s="5" t="s">
        <v>65</v>
      </c>
      <c r="T2" s="5" t="s">
        <v>66</v>
      </c>
      <c r="U2" s="5" t="s">
        <v>67</v>
      </c>
      <c r="V2" s="5" t="s">
        <v>68</v>
      </c>
      <c r="W2" s="5" t="s">
        <v>70</v>
      </c>
      <c r="X2" s="5" t="s">
        <v>71</v>
      </c>
      <c r="Y2" s="5" t="s">
        <v>72</v>
      </c>
      <c r="Z2" s="5" t="s">
        <v>73</v>
      </c>
      <c r="AA2" s="73" t="s">
        <v>185</v>
      </c>
      <c r="AB2" s="5" t="s">
        <v>186</v>
      </c>
      <c r="AC2" s="5" t="s">
        <v>187</v>
      </c>
      <c r="AD2" s="5" t="s">
        <v>188</v>
      </c>
      <c r="AE2" s="73" t="s">
        <v>189</v>
      </c>
      <c r="AF2" s="73" t="s">
        <v>190</v>
      </c>
      <c r="AG2" s="73" t="s">
        <v>191</v>
      </c>
      <c r="AH2" s="73" t="s">
        <v>192</v>
      </c>
      <c r="AI2" s="73"/>
      <c r="AJ2" s="73"/>
      <c r="AK2" s="73"/>
      <c r="AO2" s="5">
        <v>2018</v>
      </c>
      <c r="AP2" s="5">
        <v>2019</v>
      </c>
      <c r="AQ2" s="5">
        <v>2020</v>
      </c>
      <c r="AR2" s="5">
        <v>2021</v>
      </c>
      <c r="AS2" s="5">
        <v>2022</v>
      </c>
      <c r="AT2" s="5">
        <v>2023</v>
      </c>
      <c r="AU2" s="5">
        <v>2024</v>
      </c>
      <c r="AV2" s="5">
        <v>2025</v>
      </c>
      <c r="AW2" s="5">
        <v>2026</v>
      </c>
      <c r="AX2" s="5">
        <v>2027</v>
      </c>
      <c r="AY2" s="5">
        <v>2028</v>
      </c>
      <c r="AZ2" s="5">
        <v>2029</v>
      </c>
    </row>
    <row r="3" spans="2:52" s="5" customFormat="1" x14ac:dyDescent="0.25">
      <c r="B3" s="31" t="s">
        <v>146</v>
      </c>
      <c r="G3" s="32">
        <v>43860</v>
      </c>
      <c r="H3" s="32">
        <v>45991</v>
      </c>
      <c r="I3" s="32">
        <v>46183</v>
      </c>
      <c r="J3" s="32">
        <v>48168</v>
      </c>
      <c r="K3" s="32">
        <v>46153</v>
      </c>
      <c r="L3" s="32">
        <v>48196</v>
      </c>
      <c r="M3" s="32">
        <v>48117</v>
      </c>
      <c r="N3" s="32">
        <v>49962</v>
      </c>
      <c r="O3" s="32">
        <v>52921</v>
      </c>
      <c r="P3" s="32">
        <v>51545</v>
      </c>
      <c r="Q3" s="32">
        <v>50683</v>
      </c>
      <c r="R3" s="32">
        <v>53264</v>
      </c>
      <c r="S3" s="32">
        <v>51391</v>
      </c>
      <c r="T3" s="32">
        <v>54649</v>
      </c>
      <c r="U3" s="32">
        <v>55560</v>
      </c>
      <c r="V3" s="32">
        <v>57344</v>
      </c>
      <c r="W3" s="32">
        <v>56764</v>
      </c>
      <c r="X3" s="15">
        <v>61469</v>
      </c>
      <c r="Y3" s="15">
        <v>63231</v>
      </c>
      <c r="Z3" s="15">
        <f>247299-SUM(W3:Y3)</f>
        <v>65835</v>
      </c>
      <c r="AA3" s="15">
        <v>63407</v>
      </c>
      <c r="AB3" s="15">
        <v>66240</v>
      </c>
      <c r="AC3" s="15">
        <v>66289</v>
      </c>
      <c r="AD3" s="15">
        <f>264210-SUM(AA3:AC3)</f>
        <v>68274</v>
      </c>
      <c r="AE3" s="15">
        <f>AA3*1.03</f>
        <v>65309.21</v>
      </c>
      <c r="AF3" s="15">
        <f t="shared" ref="AF3:AF6" si="0">AB3*1.03</f>
        <v>68227.199999999997</v>
      </c>
      <c r="AG3" s="15">
        <f t="shared" ref="AG3:AG6" si="1">AC3*1.03</f>
        <v>68277.67</v>
      </c>
      <c r="AH3" s="15">
        <f t="shared" ref="AH3:AH6" si="2">AD3*1.03</f>
        <v>70322.22</v>
      </c>
      <c r="AI3" s="15"/>
      <c r="AJ3" s="15"/>
      <c r="AK3" s="15"/>
      <c r="AP3" s="15">
        <f>SUM(G3:J3)</f>
        <v>184202</v>
      </c>
      <c r="AQ3" s="15">
        <f>SUM(K3:N3)</f>
        <v>192428</v>
      </c>
      <c r="AR3" s="15">
        <f>SUM(O3:R3)</f>
        <v>208413</v>
      </c>
      <c r="AS3" s="15">
        <f>SUM(S3:V3)</f>
        <v>218944</v>
      </c>
      <c r="AT3" s="15">
        <f>SUM(W3:Z3)</f>
        <v>247299</v>
      </c>
      <c r="AU3" s="15">
        <f>SUM(AA3:AD3)</f>
        <v>264210</v>
      </c>
      <c r="AV3" s="15">
        <f>SUM(AE3:AH3)</f>
        <v>272136.30000000005</v>
      </c>
    </row>
    <row r="4" spans="2:52" s="5" customFormat="1" x14ac:dyDescent="0.25">
      <c r="B4" s="31" t="s">
        <v>147</v>
      </c>
      <c r="G4" s="32">
        <v>24174</v>
      </c>
      <c r="H4" s="32">
        <v>27305</v>
      </c>
      <c r="I4" s="32">
        <v>24838</v>
      </c>
      <c r="J4" s="32">
        <v>32422</v>
      </c>
      <c r="K4" s="32">
        <v>24406</v>
      </c>
      <c r="L4" s="32">
        <v>27246</v>
      </c>
      <c r="M4" s="32">
        <v>24964</v>
      </c>
      <c r="N4" s="32">
        <v>32071</v>
      </c>
      <c r="O4" s="32">
        <v>25466</v>
      </c>
      <c r="P4" s="32">
        <v>31682</v>
      </c>
      <c r="Q4" s="32">
        <v>26927</v>
      </c>
      <c r="R4" s="32">
        <v>35331</v>
      </c>
      <c r="S4" s="32">
        <v>30607</v>
      </c>
      <c r="T4" s="32">
        <v>31707</v>
      </c>
      <c r="U4" s="32">
        <v>28544</v>
      </c>
      <c r="V4" s="32">
        <v>35018</v>
      </c>
      <c r="W4" s="32">
        <v>27379</v>
      </c>
      <c r="X4" s="15">
        <v>30073</v>
      </c>
      <c r="Y4" s="15">
        <v>27605</v>
      </c>
      <c r="Z4" s="15">
        <f>118597-SUM(W4:Y4)</f>
        <v>33540</v>
      </c>
      <c r="AA4" s="15">
        <v>25765</v>
      </c>
      <c r="AB4" s="15">
        <v>29076</v>
      </c>
      <c r="AC4" s="15">
        <v>26579</v>
      </c>
      <c r="AD4" s="15">
        <f>113985-SUM(AA4:AC4)</f>
        <v>32565</v>
      </c>
      <c r="AE4" s="15">
        <f t="shared" ref="AE4:AE6" si="3">AA4*1.03</f>
        <v>26537.95</v>
      </c>
      <c r="AF4" s="15">
        <f t="shared" si="0"/>
        <v>29948.280000000002</v>
      </c>
      <c r="AG4" s="15">
        <f t="shared" si="1"/>
        <v>27376.37</v>
      </c>
      <c r="AH4" s="15">
        <f t="shared" si="2"/>
        <v>33541.950000000004</v>
      </c>
      <c r="AI4" s="15"/>
      <c r="AJ4" s="15"/>
      <c r="AK4" s="15"/>
      <c r="AP4" s="15">
        <f>SUM(G4:J4)</f>
        <v>108739</v>
      </c>
      <c r="AQ4" s="15">
        <f>SUM(K4:N4)</f>
        <v>108687</v>
      </c>
      <c r="AR4" s="15">
        <f>SUM(O4:R4)</f>
        <v>119406</v>
      </c>
      <c r="AS4" s="15">
        <f>SUM(S4:V4)</f>
        <v>125876</v>
      </c>
      <c r="AT4" s="15">
        <f>SUM(W4:Z4)</f>
        <v>118597</v>
      </c>
      <c r="AU4" s="15">
        <f t="shared" ref="AU4:AU6" si="4">SUM(AA4:AD4)</f>
        <v>113985</v>
      </c>
      <c r="AV4" s="15">
        <f t="shared" ref="AV4:AV6" si="5">SUM(AE4:AH4)</f>
        <v>117404.55000000002</v>
      </c>
    </row>
    <row r="5" spans="2:52" s="5" customFormat="1" x14ac:dyDescent="0.25">
      <c r="B5" s="31" t="s">
        <v>148</v>
      </c>
      <c r="G5" s="32">
        <v>9128</v>
      </c>
      <c r="H5" s="32">
        <v>8837</v>
      </c>
      <c r="I5" s="32">
        <v>8869</v>
      </c>
      <c r="J5" s="32">
        <v>8954</v>
      </c>
      <c r="K5" s="32">
        <v>8970</v>
      </c>
      <c r="L5" s="32">
        <v>8949</v>
      </c>
      <c r="M5" s="32">
        <v>9225</v>
      </c>
      <c r="N5" s="32">
        <v>9414</v>
      </c>
      <c r="O5" s="32">
        <v>9600</v>
      </c>
      <c r="P5" s="32">
        <v>9154</v>
      </c>
      <c r="Q5" s="32">
        <v>9806</v>
      </c>
      <c r="R5" s="32">
        <v>9962</v>
      </c>
      <c r="S5" s="32">
        <v>9970</v>
      </c>
      <c r="T5" s="32">
        <v>10480</v>
      </c>
      <c r="U5" s="32">
        <v>11030</v>
      </c>
      <c r="V5" s="32">
        <v>11359</v>
      </c>
      <c r="W5" s="32">
        <v>10894</v>
      </c>
      <c r="X5" s="15">
        <v>11331</v>
      </c>
      <c r="Y5" s="15">
        <v>11947</v>
      </c>
      <c r="Z5" s="15">
        <f>46591-SUM(W5:Y5)</f>
        <v>12419</v>
      </c>
      <c r="AA5" s="15">
        <v>12848</v>
      </c>
      <c r="AB5" s="15">
        <v>13374</v>
      </c>
      <c r="AC5" s="15">
        <v>14173</v>
      </c>
      <c r="AD5" s="15">
        <f>54898-SUM(AA5:AC5)</f>
        <v>14503</v>
      </c>
      <c r="AE5" s="15">
        <f t="shared" si="3"/>
        <v>13233.44</v>
      </c>
      <c r="AF5" s="15">
        <f t="shared" si="0"/>
        <v>13775.220000000001</v>
      </c>
      <c r="AG5" s="15">
        <f t="shared" si="1"/>
        <v>14598.19</v>
      </c>
      <c r="AH5" s="15">
        <f t="shared" si="2"/>
        <v>14938.09</v>
      </c>
      <c r="AI5" s="15"/>
      <c r="AJ5" s="15"/>
      <c r="AK5" s="15"/>
      <c r="AP5" s="15">
        <f>SUM(G5:J5)</f>
        <v>35788</v>
      </c>
      <c r="AQ5" s="15">
        <f>SUM(K5:N5)</f>
        <v>36558</v>
      </c>
      <c r="AR5" s="15">
        <f>SUM(O5:R5)</f>
        <v>38522</v>
      </c>
      <c r="AS5" s="15">
        <f>SUM(S5:V5)</f>
        <v>42839</v>
      </c>
      <c r="AT5" s="15">
        <f>SUM(W5:Z5)</f>
        <v>46591</v>
      </c>
      <c r="AU5" s="15">
        <f t="shared" si="4"/>
        <v>54898</v>
      </c>
      <c r="AV5" s="15">
        <f t="shared" si="5"/>
        <v>56544.94</v>
      </c>
    </row>
    <row r="6" spans="2:52" s="5" customFormat="1" x14ac:dyDescent="0.25">
      <c r="B6" s="31" t="s">
        <v>90</v>
      </c>
      <c r="G6" s="32">
        <v>586</v>
      </c>
      <c r="H6" s="32">
        <v>682</v>
      </c>
      <c r="I6" s="32">
        <v>693</v>
      </c>
      <c r="J6" s="32">
        <v>976</v>
      </c>
      <c r="K6" s="32">
        <v>815</v>
      </c>
      <c r="L6" s="32">
        <v>809</v>
      </c>
      <c r="M6" s="32">
        <v>883</v>
      </c>
      <c r="N6" s="32">
        <v>824</v>
      </c>
      <c r="O6" s="32">
        <v>756</v>
      </c>
      <c r="P6" s="32">
        <v>901</v>
      </c>
      <c r="Q6" s="32">
        <v>937</v>
      </c>
      <c r="R6" s="32">
        <v>1028</v>
      </c>
      <c r="S6" s="32">
        <v>1199</v>
      </c>
      <c r="T6" s="32">
        <v>1356</v>
      </c>
      <c r="U6" s="32">
        <v>1475</v>
      </c>
      <c r="V6" s="32">
        <v>1558</v>
      </c>
      <c r="W6" s="32">
        <v>1867</v>
      </c>
      <c r="X6" s="15">
        <v>2257</v>
      </c>
      <c r="Y6" s="15">
        <v>1992</v>
      </c>
      <c r="Z6" s="15">
        <f>8066-SUM(W6:Y6)</f>
        <v>1950</v>
      </c>
      <c r="AA6" s="15">
        <v>1881</v>
      </c>
      <c r="AB6" s="15">
        <v>2164</v>
      </c>
      <c r="AC6" s="15">
        <v>2378</v>
      </c>
      <c r="AD6" s="15">
        <f>8724-SUM(AA6:AC6)</f>
        <v>2301</v>
      </c>
      <c r="AE6" s="15">
        <f t="shared" si="3"/>
        <v>1937.43</v>
      </c>
      <c r="AF6" s="15">
        <f t="shared" si="0"/>
        <v>2228.92</v>
      </c>
      <c r="AG6" s="15">
        <f t="shared" si="1"/>
        <v>2449.34</v>
      </c>
      <c r="AH6" s="15">
        <f t="shared" si="2"/>
        <v>2370.0300000000002</v>
      </c>
      <c r="AI6" s="15"/>
      <c r="AJ6" s="15"/>
      <c r="AK6" s="15"/>
      <c r="AP6" s="15">
        <f>SUM(G6:J6)</f>
        <v>2937</v>
      </c>
      <c r="AQ6" s="15">
        <f>SUM(K6:N6)</f>
        <v>3331</v>
      </c>
      <c r="AR6" s="15">
        <f>SUM(O6:R6)</f>
        <v>3622</v>
      </c>
      <c r="AS6" s="15">
        <f>SUM(S6:V6)</f>
        <v>5588</v>
      </c>
      <c r="AT6" s="15">
        <f>SUM(W6:Z6)</f>
        <v>8066</v>
      </c>
      <c r="AU6" s="15">
        <f t="shared" si="4"/>
        <v>8724</v>
      </c>
      <c r="AV6" s="15">
        <f t="shared" si="5"/>
        <v>8985.7200000000012</v>
      </c>
    </row>
    <row r="7" spans="2:52" s="37" customFormat="1" x14ac:dyDescent="0.25">
      <c r="B7" s="22" t="s">
        <v>149</v>
      </c>
      <c r="C7" s="36">
        <v>75436</v>
      </c>
      <c r="D7" s="36">
        <v>78738</v>
      </c>
      <c r="E7" s="36">
        <v>77724</v>
      </c>
      <c r="F7" s="36">
        <v>86579</v>
      </c>
      <c r="G7" s="36">
        <f t="shared" ref="G7:V7" si="6">SUM(G3:G6)</f>
        <v>77748</v>
      </c>
      <c r="H7" s="36">
        <f t="shared" si="6"/>
        <v>82815</v>
      </c>
      <c r="I7" s="36">
        <f t="shared" si="6"/>
        <v>80583</v>
      </c>
      <c r="J7" s="36">
        <f t="shared" si="6"/>
        <v>90520</v>
      </c>
      <c r="K7" s="36">
        <f t="shared" si="6"/>
        <v>80344</v>
      </c>
      <c r="L7" s="36">
        <f t="shared" si="6"/>
        <v>85200</v>
      </c>
      <c r="M7" s="36">
        <f t="shared" si="6"/>
        <v>83189</v>
      </c>
      <c r="N7" s="36">
        <f t="shared" si="6"/>
        <v>92271</v>
      </c>
      <c r="O7" s="36">
        <f t="shared" si="6"/>
        <v>88743</v>
      </c>
      <c r="P7" s="36">
        <f t="shared" si="6"/>
        <v>93282</v>
      </c>
      <c r="Q7" s="36">
        <f t="shared" si="6"/>
        <v>88353</v>
      </c>
      <c r="R7" s="36">
        <f t="shared" si="6"/>
        <v>99585</v>
      </c>
      <c r="S7" s="36">
        <f t="shared" si="6"/>
        <v>93167</v>
      </c>
      <c r="T7" s="36">
        <f t="shared" si="6"/>
        <v>98192</v>
      </c>
      <c r="U7" s="36">
        <f t="shared" si="6"/>
        <v>96609</v>
      </c>
      <c r="V7" s="36">
        <f t="shared" si="6"/>
        <v>105279</v>
      </c>
      <c r="W7" s="36">
        <f>SUM(W3:W6)</f>
        <v>96904</v>
      </c>
      <c r="X7" s="36">
        <f t="shared" ref="X7:AH7" si="7">SUM(X3:X6)</f>
        <v>105130</v>
      </c>
      <c r="Y7" s="36">
        <f t="shared" si="7"/>
        <v>104775</v>
      </c>
      <c r="Z7" s="36">
        <f t="shared" si="7"/>
        <v>113744</v>
      </c>
      <c r="AA7" s="36">
        <f t="shared" si="7"/>
        <v>103901</v>
      </c>
      <c r="AB7" s="36">
        <f t="shared" si="7"/>
        <v>110854</v>
      </c>
      <c r="AC7" s="36">
        <f t="shared" si="7"/>
        <v>109419</v>
      </c>
      <c r="AD7" s="36">
        <f t="shared" si="7"/>
        <v>117643</v>
      </c>
      <c r="AE7" s="36">
        <f t="shared" si="7"/>
        <v>107018.03</v>
      </c>
      <c r="AF7" s="36">
        <f t="shared" si="7"/>
        <v>114179.62</v>
      </c>
      <c r="AG7" s="36">
        <f t="shared" si="7"/>
        <v>112701.56999999999</v>
      </c>
      <c r="AH7" s="36">
        <f t="shared" si="7"/>
        <v>121172.29000000001</v>
      </c>
      <c r="AI7" s="36"/>
      <c r="AJ7" s="36"/>
      <c r="AK7" s="36"/>
      <c r="AO7" s="36">
        <f>SUM(C7:F7)</f>
        <v>318477</v>
      </c>
      <c r="AP7" s="36">
        <f>SUM(AP3:AP6)</f>
        <v>331666</v>
      </c>
      <c r="AQ7" s="36">
        <f t="shared" ref="AQ7:AR7" si="8">SUM(AQ3:AQ6)</f>
        <v>341004</v>
      </c>
      <c r="AR7" s="36">
        <f t="shared" si="8"/>
        <v>369963</v>
      </c>
      <c r="AS7" s="36">
        <f>SUM(AS3:AS6)</f>
        <v>393247</v>
      </c>
      <c r="AT7" s="36">
        <f t="shared" ref="AT7" si="9">SUM(AT3:AT6)</f>
        <v>420553</v>
      </c>
      <c r="AU7" s="36">
        <f>SUM(AU3:AU6)</f>
        <v>441817</v>
      </c>
      <c r="AV7" s="36">
        <f t="shared" ref="AV7" si="10">SUM(AV3:AV6)</f>
        <v>455071.51000000013</v>
      </c>
      <c r="AW7" s="36">
        <f>AV7*1.03</f>
        <v>468723.65530000016</v>
      </c>
      <c r="AX7" s="36">
        <f t="shared" ref="AX7:AZ7" si="11">AW7*1.03</f>
        <v>482785.3649590002</v>
      </c>
      <c r="AY7" s="36">
        <f t="shared" si="11"/>
        <v>497268.92590777023</v>
      </c>
      <c r="AZ7" s="36">
        <f t="shared" si="11"/>
        <v>512186.99368500337</v>
      </c>
    </row>
    <row r="8" spans="2:52" s="5" customFormat="1" x14ac:dyDescent="0.25">
      <c r="B8" s="31"/>
      <c r="X8" s="15"/>
      <c r="Y8" s="15"/>
      <c r="Z8" s="15"/>
    </row>
    <row r="9" spans="2:52" s="33" customFormat="1" ht="14.4" x14ac:dyDescent="0.3">
      <c r="B9" s="34" t="s">
        <v>150</v>
      </c>
      <c r="G9" s="35">
        <f t="shared" ref="G9:V9" si="12">G7/C7-1</f>
        <v>3.0648496738957531E-2</v>
      </c>
      <c r="H9" s="35">
        <f t="shared" si="12"/>
        <v>5.1779318753333747E-2</v>
      </c>
      <c r="I9" s="35">
        <f t="shared" si="12"/>
        <v>3.6784004940559001E-2</v>
      </c>
      <c r="J9" s="35">
        <f t="shared" si="12"/>
        <v>4.5519121264971929E-2</v>
      </c>
      <c r="K9" s="35">
        <f t="shared" si="12"/>
        <v>3.3389926428975647E-2</v>
      </c>
      <c r="L9" s="35">
        <f t="shared" si="12"/>
        <v>2.8799130592284117E-2</v>
      </c>
      <c r="M9" s="35">
        <f t="shared" si="12"/>
        <v>3.2339327153369846E-2</v>
      </c>
      <c r="N9" s="35">
        <f t="shared" si="12"/>
        <v>1.934379142730891E-2</v>
      </c>
      <c r="O9" s="35">
        <f t="shared" si="12"/>
        <v>0.10453798665737324</v>
      </c>
      <c r="P9" s="35">
        <f t="shared" si="12"/>
        <v>9.4859154929577416E-2</v>
      </c>
      <c r="Q9" s="35">
        <f t="shared" si="12"/>
        <v>6.2075514791618991E-2</v>
      </c>
      <c r="R9" s="35">
        <f t="shared" si="12"/>
        <v>7.9266508437103811E-2</v>
      </c>
      <c r="S9" s="35">
        <f t="shared" si="12"/>
        <v>4.9851819298423639E-2</v>
      </c>
      <c r="T9" s="35">
        <f t="shared" si="12"/>
        <v>5.2636092708132409E-2</v>
      </c>
      <c r="U9" s="35">
        <f t="shared" si="12"/>
        <v>9.3443346575668107E-2</v>
      </c>
      <c r="V9" s="35">
        <f t="shared" si="12"/>
        <v>5.7177285735803496E-2</v>
      </c>
      <c r="W9" s="35">
        <f>W7/S7-1</f>
        <v>4.0110768834458632E-2</v>
      </c>
      <c r="X9" s="35">
        <f t="shared" ref="X9" si="13">X7/T7-1</f>
        <v>7.0657487371679872E-2</v>
      </c>
      <c r="Y9" s="35">
        <f t="shared" ref="Y9" si="14">Y7/U7-1</f>
        <v>8.4526286370834924E-2</v>
      </c>
      <c r="Z9" s="35">
        <f t="shared" ref="Z9" si="15">Z7/V7-1</f>
        <v>8.040539898745247E-2</v>
      </c>
      <c r="AA9" s="35">
        <f t="shared" ref="AA9" si="16">AA7/W7-1</f>
        <v>7.2205481713861097E-2</v>
      </c>
      <c r="AB9" s="35">
        <f t="shared" ref="AB9" si="17">AB7/X7-1</f>
        <v>5.4446875297251118E-2</v>
      </c>
      <c r="AC9" s="35">
        <f t="shared" ref="AC9" si="18">AC7/Y7-1</f>
        <v>4.4323550465282802E-2</v>
      </c>
      <c r="AD9" s="35">
        <f t="shared" ref="AD9" si="19">AD7/Z7-1</f>
        <v>3.427873118582081E-2</v>
      </c>
      <c r="AE9" s="35">
        <f t="shared" ref="AE9" si="20">AE7/AA7-1</f>
        <v>3.0000000000000027E-2</v>
      </c>
      <c r="AF9" s="35">
        <f t="shared" ref="AF9" si="21">AF7/AB7-1</f>
        <v>3.0000000000000027E-2</v>
      </c>
      <c r="AG9" s="35">
        <f t="shared" ref="AG9" si="22">AG7/AC7-1</f>
        <v>3.0000000000000027E-2</v>
      </c>
      <c r="AH9" s="35">
        <f t="shared" ref="AH9" si="23">AH7/AD7-1</f>
        <v>3.0000000000000027E-2</v>
      </c>
      <c r="AI9" s="35"/>
      <c r="AJ9" s="35"/>
      <c r="AK9" s="35"/>
      <c r="AP9" s="35">
        <f>AP7/AO7-1</f>
        <v>4.1412723681772956E-2</v>
      </c>
      <c r="AQ9" s="35">
        <f t="shared" ref="AQ9:AS9" si="24">AQ7/AP7-1</f>
        <v>2.8154830461970759E-2</v>
      </c>
      <c r="AR9" s="35">
        <f t="shared" si="24"/>
        <v>8.4922757504310775E-2</v>
      </c>
      <c r="AS9" s="35">
        <f t="shared" si="24"/>
        <v>6.2936023332062829E-2</v>
      </c>
      <c r="AT9" s="35">
        <f t="shared" ref="AT9" si="25">AT7/AS7-1</f>
        <v>6.9437274791670278E-2</v>
      </c>
      <c r="AU9" s="35">
        <f t="shared" ref="AU9" si="26">AU7/AT7-1</f>
        <v>5.0561998131032126E-2</v>
      </c>
      <c r="AV9" s="35">
        <f t="shared" ref="AV9" si="27">AV7/AU7-1</f>
        <v>3.0000000000000249E-2</v>
      </c>
      <c r="AW9" s="35">
        <f t="shared" ref="AW9" si="28">AW7/AV7-1</f>
        <v>3.0000000000000027E-2</v>
      </c>
      <c r="AX9" s="35">
        <f t="shared" ref="AX9" si="29">AX7/AW7-1</f>
        <v>3.0000000000000027E-2</v>
      </c>
      <c r="AY9" s="35">
        <f t="shared" ref="AY9:AZ9" si="30">AY7/AX7-1</f>
        <v>3.0000000000000027E-2</v>
      </c>
      <c r="AZ9" s="35">
        <f t="shared" si="30"/>
        <v>3.0000000000000027E-2</v>
      </c>
    </row>
    <row r="10" spans="2:52" s="5" customFormat="1" x14ac:dyDescent="0.25">
      <c r="B10" s="31"/>
      <c r="X10" s="15"/>
      <c r="Y10" s="15"/>
      <c r="Z10" s="15"/>
    </row>
    <row r="11" spans="2:52" s="5" customFormat="1" x14ac:dyDescent="0.25">
      <c r="B11" s="31" t="s">
        <v>151</v>
      </c>
      <c r="C11" s="32"/>
      <c r="D11" s="32"/>
      <c r="E11" s="32"/>
      <c r="F11" s="32"/>
      <c r="G11" s="32">
        <v>7684</v>
      </c>
      <c r="H11" s="32">
        <v>7510</v>
      </c>
      <c r="I11" s="32">
        <v>7740</v>
      </c>
      <c r="J11" s="32">
        <f>31790-SUM(G11:I11)</f>
        <v>8856</v>
      </c>
      <c r="K11" s="32">
        <v>7837</v>
      </c>
      <c r="L11" s="32">
        <v>8014</v>
      </c>
      <c r="M11" s="32">
        <v>7913</v>
      </c>
      <c r="N11" s="32">
        <f>33350-SUM(K11:M11)</f>
        <v>9586</v>
      </c>
      <c r="O11" s="32">
        <v>8496</v>
      </c>
      <c r="P11" s="32">
        <v>7208</v>
      </c>
      <c r="Q11" s="32">
        <v>7429</v>
      </c>
      <c r="R11" s="32">
        <v>9509</v>
      </c>
      <c r="S11" s="32">
        <v>8330</v>
      </c>
      <c r="T11" s="32">
        <v>8658</v>
      </c>
      <c r="U11" s="32">
        <v>8718</v>
      </c>
      <c r="V11" s="32">
        <v>10258</v>
      </c>
      <c r="W11" s="32">
        <v>9088</v>
      </c>
      <c r="X11" s="15">
        <v>9690</v>
      </c>
      <c r="Y11" s="15">
        <v>9702</v>
      </c>
      <c r="Z11" s="15">
        <f>40496-SUM(W11:Y11)</f>
        <v>12016</v>
      </c>
      <c r="AA11" s="15">
        <v>10958</v>
      </c>
      <c r="AB11" s="15">
        <v>11994</v>
      </c>
      <c r="AC11" s="15">
        <v>12389</v>
      </c>
      <c r="AD11" s="15">
        <f>49726-SUM(AA11:AC11)</f>
        <v>14385</v>
      </c>
      <c r="AE11" s="15">
        <f>AA11*1.1</f>
        <v>12053.800000000001</v>
      </c>
      <c r="AF11" s="15">
        <f t="shared" ref="AF11:AF15" si="31">AB11*1.1</f>
        <v>13193.400000000001</v>
      </c>
      <c r="AG11" s="15">
        <f t="shared" ref="AG11:AG15" si="32">AC11*1.1</f>
        <v>13627.900000000001</v>
      </c>
      <c r="AH11" s="15">
        <f t="shared" ref="AH11:AH15" si="33">AD11*1.1</f>
        <v>15823.500000000002</v>
      </c>
      <c r="AI11" s="15"/>
      <c r="AJ11" s="15"/>
      <c r="AK11" s="15"/>
      <c r="AP11" s="15">
        <f>SUM(G11:J11)</f>
        <v>31790</v>
      </c>
      <c r="AQ11" s="15">
        <f>SUM(G12:J12)</f>
        <v>18613</v>
      </c>
      <c r="AR11" s="15">
        <f>SUM(O11:R11)</f>
        <v>32642</v>
      </c>
      <c r="AS11" s="15">
        <f>SUM(S11:V11)</f>
        <v>35964</v>
      </c>
      <c r="AT11" s="15">
        <f>SUM(W11:Z11)</f>
        <v>40496</v>
      </c>
      <c r="AU11" s="15">
        <f t="shared" ref="AU11:AU15" si="34">SUM(AA11:AD11)</f>
        <v>49726</v>
      </c>
      <c r="AV11" s="15">
        <f t="shared" ref="AV11:AV15" si="35">SUM(AE11:AH11)</f>
        <v>54698.600000000006</v>
      </c>
    </row>
    <row r="12" spans="2:52" s="5" customFormat="1" x14ac:dyDescent="0.25">
      <c r="B12" s="31" t="s">
        <v>152</v>
      </c>
      <c r="C12" s="32"/>
      <c r="D12" s="32"/>
      <c r="E12" s="32"/>
      <c r="F12" s="32"/>
      <c r="G12" s="32">
        <v>4254</v>
      </c>
      <c r="H12" s="32">
        <v>4703</v>
      </c>
      <c r="I12" s="32">
        <v>4639</v>
      </c>
      <c r="J12" s="32">
        <f>18613-SUM(G12:I12)</f>
        <v>5017</v>
      </c>
      <c r="K12" s="32">
        <v>4122</v>
      </c>
      <c r="L12" s="32">
        <v>4635</v>
      </c>
      <c r="M12" s="32">
        <v>4608</v>
      </c>
      <c r="N12" s="32">
        <f>18420-SUM(K12:M12)</f>
        <v>5055</v>
      </c>
      <c r="O12" s="32">
        <v>4286</v>
      </c>
      <c r="P12" s="32">
        <v>5127</v>
      </c>
      <c r="Q12" s="32">
        <v>4969</v>
      </c>
      <c r="R12" s="32">
        <v>5609</v>
      </c>
      <c r="S12" s="32">
        <v>4848</v>
      </c>
      <c r="T12" s="32">
        <v>5492</v>
      </c>
      <c r="U12" s="32">
        <v>5507</v>
      </c>
      <c r="V12" s="32">
        <v>5926</v>
      </c>
      <c r="W12" s="32">
        <v>5150</v>
      </c>
      <c r="X12" s="15">
        <v>5767</v>
      </c>
      <c r="Y12" s="15">
        <v>5491</v>
      </c>
      <c r="Z12" s="15">
        <f>22300-SUM(W12:Y12)</f>
        <v>5892</v>
      </c>
      <c r="AA12" s="15">
        <v>5140</v>
      </c>
      <c r="AB12" s="15">
        <v>5842</v>
      </c>
      <c r="AC12" s="15">
        <v>5668</v>
      </c>
      <c r="AD12" s="15">
        <f>22639-SUM(AA12:AC12)</f>
        <v>5989</v>
      </c>
      <c r="AE12" s="15">
        <f t="shared" ref="AE12:AE15" si="36">AA12*1.1</f>
        <v>5654.0000000000009</v>
      </c>
      <c r="AF12" s="15">
        <f t="shared" si="31"/>
        <v>6426.2000000000007</v>
      </c>
      <c r="AG12" s="15">
        <f t="shared" si="32"/>
        <v>6234.8</v>
      </c>
      <c r="AH12" s="15">
        <f t="shared" si="33"/>
        <v>6587.9000000000005</v>
      </c>
      <c r="AI12" s="15"/>
      <c r="AJ12" s="15"/>
      <c r="AK12" s="15"/>
      <c r="AP12" s="15">
        <f>SUM(G12:J12)</f>
        <v>18613</v>
      </c>
      <c r="AQ12" s="15">
        <f>SUM(G13:J13)</f>
        <v>10702</v>
      </c>
      <c r="AR12" s="15">
        <f>SUM(O12:R12)</f>
        <v>19991</v>
      </c>
      <c r="AS12" s="15">
        <f>SUM(S12:V12)</f>
        <v>21773</v>
      </c>
      <c r="AT12" s="15">
        <f>SUM(W12:Z12)</f>
        <v>22300</v>
      </c>
      <c r="AU12" s="15">
        <f t="shared" si="34"/>
        <v>22639</v>
      </c>
      <c r="AV12" s="15">
        <f t="shared" si="35"/>
        <v>24902.9</v>
      </c>
    </row>
    <row r="13" spans="2:52" s="5" customFormat="1" x14ac:dyDescent="0.25">
      <c r="B13" s="31" t="s">
        <v>153</v>
      </c>
      <c r="C13" s="32"/>
      <c r="D13" s="32"/>
      <c r="E13" s="32"/>
      <c r="F13" s="32"/>
      <c r="G13" s="32">
        <v>3205</v>
      </c>
      <c r="H13" s="32">
        <v>2480</v>
      </c>
      <c r="I13" s="32">
        <v>2637</v>
      </c>
      <c r="J13" s="32">
        <f>10702-SUM(G13:I13)</f>
        <v>2380</v>
      </c>
      <c r="K13" s="32">
        <v>3063</v>
      </c>
      <c r="L13" s="32">
        <v>2428</v>
      </c>
      <c r="M13" s="32">
        <v>2718</v>
      </c>
      <c r="N13" s="32">
        <f>10671-SUM(K13:M13)</f>
        <v>2462</v>
      </c>
      <c r="O13" s="32">
        <v>3368</v>
      </c>
      <c r="P13" s="32">
        <v>2579</v>
      </c>
      <c r="Q13" s="32">
        <v>2787</v>
      </c>
      <c r="R13" s="32">
        <v>2696</v>
      </c>
      <c r="S13" s="32">
        <v>3773</v>
      </c>
      <c r="T13" s="32">
        <v>3001</v>
      </c>
      <c r="U13" s="32">
        <v>3538</v>
      </c>
      <c r="V13" s="32">
        <v>3540</v>
      </c>
      <c r="W13" s="32">
        <v>4127</v>
      </c>
      <c r="X13" s="15">
        <v>3397</v>
      </c>
      <c r="Y13" s="15">
        <v>3572</v>
      </c>
      <c r="Z13" s="15">
        <f>14711-SUM(W13:Y13)</f>
        <v>3615</v>
      </c>
      <c r="AA13" s="15">
        <v>4924</v>
      </c>
      <c r="AB13" s="15">
        <v>3896</v>
      </c>
      <c r="AC13" s="15">
        <v>4230</v>
      </c>
      <c r="AD13" s="15">
        <f>17011-SUM(AA13:AC13)</f>
        <v>3961</v>
      </c>
      <c r="AE13" s="15">
        <f t="shared" si="36"/>
        <v>5416.4000000000005</v>
      </c>
      <c r="AF13" s="15">
        <f t="shared" si="31"/>
        <v>4285.6000000000004</v>
      </c>
      <c r="AG13" s="15">
        <f t="shared" si="32"/>
        <v>4653</v>
      </c>
      <c r="AH13" s="15">
        <f t="shared" si="33"/>
        <v>4357.1000000000004</v>
      </c>
      <c r="AI13" s="15"/>
      <c r="AJ13" s="15"/>
      <c r="AK13" s="15"/>
      <c r="AP13" s="15">
        <f>SUM(G13:J13)</f>
        <v>10702</v>
      </c>
      <c r="AQ13" s="15">
        <f>SUM(G14:J14)</f>
        <v>30547</v>
      </c>
      <c r="AR13" s="15">
        <f>SUM(O13:R13)</f>
        <v>11430</v>
      </c>
      <c r="AS13" s="15">
        <f>SUM(S13:V13)</f>
        <v>13852</v>
      </c>
      <c r="AT13" s="15">
        <f>SUM(W13:Z13)</f>
        <v>14711</v>
      </c>
      <c r="AU13" s="15">
        <f t="shared" si="34"/>
        <v>17011</v>
      </c>
      <c r="AV13" s="15">
        <f t="shared" si="35"/>
        <v>18712.099999999999</v>
      </c>
    </row>
    <row r="14" spans="2:52" s="5" customFormat="1" x14ac:dyDescent="0.25">
      <c r="B14" s="31" t="s">
        <v>154</v>
      </c>
      <c r="C14" s="32"/>
      <c r="D14" s="32"/>
      <c r="E14" s="32"/>
      <c r="F14" s="32"/>
      <c r="G14" s="32">
        <v>7515</v>
      </c>
      <c r="H14" s="32">
        <v>7650</v>
      </c>
      <c r="I14" s="32">
        <v>7407</v>
      </c>
      <c r="J14" s="32">
        <f>30547-SUM(G14:I14)</f>
        <v>7975</v>
      </c>
      <c r="K14" s="32">
        <v>7077</v>
      </c>
      <c r="L14" s="32">
        <v>7316</v>
      </c>
      <c r="M14" s="32">
        <v>6961</v>
      </c>
      <c r="N14" s="32">
        <f>29243-SUM(K14:M14)</f>
        <v>7889</v>
      </c>
      <c r="O14" s="32">
        <v>7132</v>
      </c>
      <c r="P14" s="32">
        <v>6698</v>
      </c>
      <c r="Q14" s="32">
        <v>7249</v>
      </c>
      <c r="R14" s="32">
        <v>8155</v>
      </c>
      <c r="S14" s="32">
        <v>3811</v>
      </c>
      <c r="T14" s="32">
        <v>0</v>
      </c>
      <c r="U14" s="32">
        <v>0</v>
      </c>
      <c r="V14" s="32">
        <v>0</v>
      </c>
      <c r="W14" s="32">
        <v>0</v>
      </c>
      <c r="X14" s="15">
        <v>0</v>
      </c>
      <c r="Y14" s="15">
        <v>0</v>
      </c>
      <c r="Z14" s="15">
        <v>0</v>
      </c>
      <c r="AA14" s="15">
        <v>0</v>
      </c>
      <c r="AB14" s="5">
        <v>0</v>
      </c>
      <c r="AC14" s="15">
        <v>0</v>
      </c>
      <c r="AD14" s="15">
        <v>0</v>
      </c>
      <c r="AE14" s="15">
        <f t="shared" si="36"/>
        <v>0</v>
      </c>
      <c r="AF14" s="15">
        <f t="shared" si="31"/>
        <v>0</v>
      </c>
      <c r="AG14" s="15">
        <f t="shared" si="32"/>
        <v>0</v>
      </c>
      <c r="AH14" s="15">
        <f t="shared" si="33"/>
        <v>0</v>
      </c>
      <c r="AI14" s="15"/>
      <c r="AJ14" s="15"/>
      <c r="AK14" s="15"/>
      <c r="AP14" s="15">
        <f>SUM(G14:J14)</f>
        <v>30547</v>
      </c>
      <c r="AQ14" s="15">
        <f>SUM(G15:J15)</f>
        <v>29172</v>
      </c>
      <c r="AR14" s="15">
        <f>SUM(O14:R14)</f>
        <v>29234</v>
      </c>
      <c r="AS14" s="15">
        <f>SUM(S14:V14)</f>
        <v>3811</v>
      </c>
      <c r="AT14" s="15">
        <f>SUM(W14:Z14)</f>
        <v>0</v>
      </c>
      <c r="AU14" s="15">
        <f t="shared" si="34"/>
        <v>0</v>
      </c>
      <c r="AV14" s="15">
        <f t="shared" si="35"/>
        <v>0</v>
      </c>
    </row>
    <row r="15" spans="2:52" s="5" customFormat="1" x14ac:dyDescent="0.25">
      <c r="B15" s="31" t="s">
        <v>90</v>
      </c>
      <c r="C15" s="32"/>
      <c r="D15" s="32"/>
      <c r="E15" s="32"/>
      <c r="F15" s="32"/>
      <c r="G15" s="32">
        <v>7602</v>
      </c>
      <c r="H15" s="32">
        <v>7111</v>
      </c>
      <c r="I15" s="32">
        <v>6370</v>
      </c>
      <c r="J15" s="32">
        <f>29172-SUM(G15:I15)</f>
        <v>8089</v>
      </c>
      <c r="K15" s="32">
        <v>6676</v>
      </c>
      <c r="L15" s="32">
        <v>6746</v>
      </c>
      <c r="M15" s="32">
        <v>6967</v>
      </c>
      <c r="N15" s="32">
        <f>28446-SUM(K15:M15)</f>
        <v>8057</v>
      </c>
      <c r="O15" s="32">
        <v>6484</v>
      </c>
      <c r="P15" s="32">
        <v>5555</v>
      </c>
      <c r="Q15" s="32">
        <v>7120</v>
      </c>
      <c r="R15" s="32">
        <v>8904</v>
      </c>
      <c r="S15" s="32">
        <v>6538</v>
      </c>
      <c r="T15" s="32">
        <v>5884</v>
      </c>
      <c r="U15" s="32">
        <v>5864</v>
      </c>
      <c r="V15" s="32">
        <v>7273</v>
      </c>
      <c r="W15" s="32">
        <v>5398</v>
      </c>
      <c r="X15" s="15">
        <v>5496</v>
      </c>
      <c r="Y15" s="15">
        <v>6530</v>
      </c>
      <c r="Z15" s="15">
        <f>23476-SUM(W15:Y15)</f>
        <v>6052</v>
      </c>
      <c r="AA15" s="15">
        <v>5582</v>
      </c>
      <c r="AB15" s="15">
        <v>5864</v>
      </c>
      <c r="AC15" s="15">
        <v>5735</v>
      </c>
      <c r="AD15" s="15">
        <f>25265-SUM(AA15:AC15)</f>
        <v>8084</v>
      </c>
      <c r="AE15" s="15">
        <f t="shared" si="36"/>
        <v>6140.2000000000007</v>
      </c>
      <c r="AF15" s="15">
        <f t="shared" si="31"/>
        <v>6450.4000000000005</v>
      </c>
      <c r="AG15" s="15">
        <f t="shared" si="32"/>
        <v>6308.5000000000009</v>
      </c>
      <c r="AH15" s="15">
        <f t="shared" si="33"/>
        <v>8892.4000000000015</v>
      </c>
      <c r="AI15" s="15"/>
      <c r="AJ15" s="15"/>
      <c r="AK15" s="15"/>
      <c r="AP15" s="15">
        <f>SUM(G15:J15)</f>
        <v>29172</v>
      </c>
      <c r="AQ15" s="15">
        <f>SUM(G16:J16)</f>
        <v>120824</v>
      </c>
      <c r="AR15" s="15">
        <f>SUM(O15:R15)</f>
        <v>28063</v>
      </c>
      <c r="AS15" s="15">
        <f>SUM(S15:V15)</f>
        <v>25559</v>
      </c>
      <c r="AT15" s="15">
        <f>SUM(W15:Z15)</f>
        <v>23476</v>
      </c>
      <c r="AU15" s="15">
        <f t="shared" si="34"/>
        <v>25265</v>
      </c>
      <c r="AV15" s="15">
        <f t="shared" si="35"/>
        <v>27791.500000000004</v>
      </c>
    </row>
    <row r="16" spans="2:52" s="37" customFormat="1" x14ac:dyDescent="0.25">
      <c r="B16" s="22" t="s">
        <v>155</v>
      </c>
      <c r="C16" s="36">
        <v>27097</v>
      </c>
      <c r="D16" s="36">
        <v>28331</v>
      </c>
      <c r="E16" s="36">
        <v>29548</v>
      </c>
      <c r="F16" s="36">
        <v>33092</v>
      </c>
      <c r="G16" s="36">
        <f>SUM(G11:G15)</f>
        <v>30260</v>
      </c>
      <c r="H16" s="36">
        <f t="shared" ref="H16:V16" si="37">SUM(H11:H15)</f>
        <v>29454</v>
      </c>
      <c r="I16" s="36">
        <f t="shared" si="37"/>
        <v>28793</v>
      </c>
      <c r="J16" s="36">
        <f t="shared" si="37"/>
        <v>32317</v>
      </c>
      <c r="K16" s="36">
        <f t="shared" si="37"/>
        <v>28775</v>
      </c>
      <c r="L16" s="36">
        <f t="shared" si="37"/>
        <v>29139</v>
      </c>
      <c r="M16" s="36">
        <f t="shared" si="37"/>
        <v>29167</v>
      </c>
      <c r="N16" s="36">
        <f t="shared" si="37"/>
        <v>33049</v>
      </c>
      <c r="O16" s="36">
        <f t="shared" si="37"/>
        <v>29766</v>
      </c>
      <c r="P16" s="36">
        <f t="shared" si="37"/>
        <v>27167</v>
      </c>
      <c r="Q16" s="36">
        <f t="shared" si="37"/>
        <v>29554</v>
      </c>
      <c r="R16" s="36">
        <f t="shared" si="37"/>
        <v>34873</v>
      </c>
      <c r="S16" s="36">
        <f t="shared" si="37"/>
        <v>27300</v>
      </c>
      <c r="T16" s="36">
        <f t="shared" si="37"/>
        <v>23035</v>
      </c>
      <c r="U16" s="36">
        <f t="shared" si="37"/>
        <v>23627</v>
      </c>
      <c r="V16" s="36">
        <f t="shared" si="37"/>
        <v>26997</v>
      </c>
      <c r="W16" s="36">
        <f>SUM(W11:W15)</f>
        <v>23763</v>
      </c>
      <c r="X16" s="36">
        <f t="shared" ref="X16:AH16" si="38">SUM(X11:X15)</f>
        <v>24350</v>
      </c>
      <c r="Y16" s="36">
        <f t="shared" si="38"/>
        <v>25295</v>
      </c>
      <c r="Z16" s="36">
        <f t="shared" si="38"/>
        <v>27575</v>
      </c>
      <c r="AA16" s="36">
        <f t="shared" si="38"/>
        <v>26604</v>
      </c>
      <c r="AB16" s="36">
        <f>SUM(AB11:AB15)</f>
        <v>27596</v>
      </c>
      <c r="AC16" s="36">
        <f t="shared" si="38"/>
        <v>28022</v>
      </c>
      <c r="AD16" s="36">
        <f t="shared" si="38"/>
        <v>32419</v>
      </c>
      <c r="AE16" s="36">
        <f t="shared" si="38"/>
        <v>29264.400000000005</v>
      </c>
      <c r="AF16" s="36">
        <f t="shared" si="38"/>
        <v>30355.600000000006</v>
      </c>
      <c r="AG16" s="36">
        <f t="shared" si="38"/>
        <v>30824.2</v>
      </c>
      <c r="AH16" s="36">
        <f t="shared" si="38"/>
        <v>35660.9</v>
      </c>
      <c r="AI16" s="36"/>
      <c r="AJ16" s="36"/>
      <c r="AK16" s="36"/>
      <c r="AO16" s="36">
        <f>SUM(C16:F16)</f>
        <v>118068</v>
      </c>
      <c r="AP16" s="36">
        <f>SUM(AP11:AP15)</f>
        <v>120824</v>
      </c>
      <c r="AQ16" s="36">
        <f t="shared" ref="AQ16:AR16" si="39">SUM(AQ11:AQ15)</f>
        <v>209858</v>
      </c>
      <c r="AR16" s="36">
        <f t="shared" si="39"/>
        <v>121360</v>
      </c>
      <c r="AS16" s="36">
        <f>SUM(AS11:AS15)</f>
        <v>100959</v>
      </c>
      <c r="AT16" s="36">
        <f>SUM(AT11:AT15)</f>
        <v>100983</v>
      </c>
      <c r="AU16" s="36">
        <f>SUM(AU11:AU15)</f>
        <v>114641</v>
      </c>
      <c r="AV16" s="36">
        <f t="shared" ref="AV16" si="40">SUM(AV11:AV15)</f>
        <v>126105.1</v>
      </c>
      <c r="AW16" s="36">
        <f>AV16*1.05</f>
        <v>132410.35500000001</v>
      </c>
      <c r="AX16" s="36">
        <f t="shared" ref="AX16:AZ16" si="41">AW16*1.05</f>
        <v>139030.87275000001</v>
      </c>
      <c r="AY16" s="36">
        <f t="shared" si="41"/>
        <v>145982.41638750001</v>
      </c>
      <c r="AZ16" s="36">
        <f t="shared" si="41"/>
        <v>153281.53720687501</v>
      </c>
    </row>
    <row r="17" spans="1:52" s="5" customFormat="1" x14ac:dyDescent="0.25">
      <c r="B17" s="31"/>
      <c r="X17" s="15"/>
      <c r="Y17" s="15"/>
      <c r="Z17" s="15"/>
    </row>
    <row r="18" spans="1:52" s="33" customFormat="1" ht="14.4" x14ac:dyDescent="0.3">
      <c r="B18" s="34" t="s">
        <v>156</v>
      </c>
      <c r="G18" s="35">
        <f>G16/C16-1</f>
        <v>0.1167287891648523</v>
      </c>
      <c r="H18" s="35">
        <f t="shared" ref="H18:W18" si="42">H16/D16-1</f>
        <v>3.9638558469520913E-2</v>
      </c>
      <c r="I18" s="35">
        <f t="shared" si="42"/>
        <v>-2.5551644781372729E-2</v>
      </c>
      <c r="J18" s="35">
        <f t="shared" si="42"/>
        <v>-2.3419557597002316E-2</v>
      </c>
      <c r="K18" s="35">
        <f t="shared" si="42"/>
        <v>-4.9074686054196959E-2</v>
      </c>
      <c r="L18" s="35">
        <f t="shared" si="42"/>
        <v>-1.069464249337948E-2</v>
      </c>
      <c r="M18" s="35">
        <f t="shared" si="42"/>
        <v>1.2989268224915751E-2</v>
      </c>
      <c r="N18" s="35">
        <f t="shared" si="42"/>
        <v>2.2650617322152344E-2</v>
      </c>
      <c r="O18" s="35">
        <f t="shared" si="42"/>
        <v>3.4439617723718507E-2</v>
      </c>
      <c r="P18" s="35">
        <f t="shared" si="42"/>
        <v>-6.7675623734513857E-2</v>
      </c>
      <c r="Q18" s="35">
        <f t="shared" si="42"/>
        <v>1.3268419789488117E-2</v>
      </c>
      <c r="R18" s="35">
        <f t="shared" si="42"/>
        <v>5.5190777330630381E-2</v>
      </c>
      <c r="S18" s="35">
        <f t="shared" si="42"/>
        <v>-8.284620036283008E-2</v>
      </c>
      <c r="T18" s="35">
        <f t="shared" si="42"/>
        <v>-0.1520962932970148</v>
      </c>
      <c r="U18" s="35">
        <f t="shared" si="42"/>
        <v>-0.20054814915070718</v>
      </c>
      <c r="V18" s="35">
        <f t="shared" si="42"/>
        <v>-0.22584807730909295</v>
      </c>
      <c r="W18" s="35">
        <f t="shared" si="42"/>
        <v>-0.12956043956043961</v>
      </c>
      <c r="X18" s="35">
        <f t="shared" ref="X18" si="43">X16/T16-1</f>
        <v>5.7087041458649956E-2</v>
      </c>
      <c r="Y18" s="35">
        <f t="shared" ref="Y18" si="44">Y16/U16-1</f>
        <v>7.0597198120794014E-2</v>
      </c>
      <c r="Z18" s="35">
        <f t="shared" ref="Z18" si="45">Z16/V16-1</f>
        <v>2.1409786272548859E-2</v>
      </c>
      <c r="AA18" s="35">
        <f t="shared" ref="AA18" si="46">AA16/W16-1</f>
        <v>0.11955561166519368</v>
      </c>
      <c r="AB18" s="35">
        <f t="shared" ref="AB18" si="47">AB16/X16-1</f>
        <v>0.13330595482546204</v>
      </c>
      <c r="AC18" s="35">
        <f t="shared" ref="AC18" si="48">AC16/Y16-1</f>
        <v>0.1078078671674243</v>
      </c>
      <c r="AD18" s="35">
        <f t="shared" ref="AD18" si="49">AD16/Z16-1</f>
        <v>0.17566636446056205</v>
      </c>
      <c r="AE18" s="35">
        <f t="shared" ref="AE18" si="50">AE16/AA16-1</f>
        <v>0.10000000000000009</v>
      </c>
      <c r="AF18" s="35">
        <f t="shared" ref="AF18" si="51">AF16/AB16-1</f>
        <v>0.10000000000000031</v>
      </c>
      <c r="AG18" s="35">
        <f t="shared" ref="AG18" si="52">AG16/AC16-1</f>
        <v>0.10000000000000009</v>
      </c>
      <c r="AH18" s="35">
        <f t="shared" ref="AH18" si="53">AH16/AD16-1</f>
        <v>0.10000000000000009</v>
      </c>
      <c r="AI18" s="35"/>
      <c r="AJ18" s="35"/>
      <c r="AK18" s="35"/>
      <c r="AP18" s="35">
        <f>AP16/AO16-1</f>
        <v>2.3342480604397364E-2</v>
      </c>
      <c r="AQ18" s="35">
        <f t="shared" ref="AQ18:AS18" si="54">AQ16/AP16-1</f>
        <v>0.73689002184996366</v>
      </c>
      <c r="AR18" s="35">
        <f t="shared" si="54"/>
        <v>-0.42170419998284558</v>
      </c>
      <c r="AS18" s="35">
        <f t="shared" si="54"/>
        <v>-0.16810316413974946</v>
      </c>
      <c r="AT18" s="35">
        <f t="shared" ref="AT18" si="55">AT16/AS16-1</f>
        <v>2.3772026268087387E-4</v>
      </c>
      <c r="AU18" s="35">
        <f t="shared" ref="AU18" si="56">AU16/AT16-1</f>
        <v>0.13525048770585157</v>
      </c>
      <c r="AV18" s="35">
        <f t="shared" ref="AV18" si="57">AV16/AU16-1</f>
        <v>0.10000000000000009</v>
      </c>
      <c r="AW18" s="35">
        <f t="shared" ref="AW18" si="58">AW16/AV16-1</f>
        <v>5.0000000000000044E-2</v>
      </c>
      <c r="AX18" s="35">
        <f t="shared" ref="AX18" si="59">AX16/AW16-1</f>
        <v>5.0000000000000044E-2</v>
      </c>
      <c r="AY18" s="35">
        <f t="shared" ref="AY18" si="60">AY16/AX16-1</f>
        <v>5.0000000000000044E-2</v>
      </c>
      <c r="AZ18" s="35">
        <f t="shared" ref="AZ18" si="61">AZ16/AY16-1</f>
        <v>5.0000000000000044E-2</v>
      </c>
    </row>
    <row r="19" spans="1:52" s="5" customFormat="1" x14ac:dyDescent="0.25">
      <c r="B19" s="31"/>
      <c r="X19" s="15"/>
      <c r="Y19" s="15"/>
      <c r="Z19" s="15"/>
    </row>
    <row r="20" spans="1:52" s="5" customFormat="1" x14ac:dyDescent="0.25">
      <c r="B20" s="31" t="s">
        <v>157</v>
      </c>
      <c r="G20" s="32">
        <v>8012</v>
      </c>
      <c r="H20" s="32">
        <v>8585</v>
      </c>
      <c r="I20" s="32">
        <v>8570</v>
      </c>
      <c r="J20" s="32">
        <f>33708-SUM(G20:I20)</f>
        <v>8541</v>
      </c>
      <c r="K20" s="32">
        <v>8373</v>
      </c>
      <c r="L20" s="32">
        <v>8931</v>
      </c>
      <c r="M20" s="32">
        <v>8900</v>
      </c>
      <c r="N20" s="32">
        <f>35043-SUM(K20:M20)</f>
        <v>8839</v>
      </c>
      <c r="O20" s="32">
        <v>10361</v>
      </c>
      <c r="P20" s="32">
        <v>10715</v>
      </c>
      <c r="Q20" s="32">
        <v>10450</v>
      </c>
      <c r="R20" s="32">
        <v>10622</v>
      </c>
      <c r="S20" s="32">
        <v>10669</v>
      </c>
      <c r="T20" s="32">
        <v>12014</v>
      </c>
      <c r="U20" s="32">
        <v>12335</v>
      </c>
      <c r="V20" s="32">
        <v>11804</v>
      </c>
      <c r="W20" s="32">
        <v>12301</v>
      </c>
      <c r="X20" s="15">
        <v>13392</v>
      </c>
      <c r="Y20" s="15">
        <v>13846</v>
      </c>
      <c r="Z20" s="15">
        <f>53027-SUM(W20:Y20)</f>
        <v>13488</v>
      </c>
      <c r="AA20" s="15">
        <v>13498</v>
      </c>
      <c r="AB20" s="15">
        <v>14325</v>
      </c>
      <c r="AC20" s="15">
        <v>14512</v>
      </c>
      <c r="AD20" s="15">
        <f>56449-SUM(AA20:AC20)</f>
        <v>14114</v>
      </c>
      <c r="AE20" s="15">
        <f>AA20*1.01</f>
        <v>13632.98</v>
      </c>
      <c r="AF20" s="15">
        <f t="shared" ref="AF20:AF24" si="62">AB20*1.01</f>
        <v>14468.25</v>
      </c>
      <c r="AG20" s="15">
        <f t="shared" ref="AG20:AG24" si="63">AC20*1.01</f>
        <v>14657.12</v>
      </c>
      <c r="AH20" s="15">
        <f t="shared" ref="AH20:AH24" si="64">AD20*1.01</f>
        <v>14255.14</v>
      </c>
      <c r="AI20" s="15"/>
      <c r="AJ20" s="15"/>
      <c r="AK20" s="15"/>
      <c r="AP20" s="15">
        <f>SUM(G20:J20)</f>
        <v>33708</v>
      </c>
      <c r="AQ20" s="15">
        <f>SUM(K20:N20)</f>
        <v>35043</v>
      </c>
      <c r="AR20" s="15">
        <f>SUM(O20:R20)</f>
        <v>42148</v>
      </c>
      <c r="AS20" s="15">
        <f>SUM(S20:V20)</f>
        <v>46822</v>
      </c>
      <c r="AT20" s="15">
        <f>SUM(W20:Z20)</f>
        <v>53027</v>
      </c>
      <c r="AU20" s="15">
        <f t="shared" ref="AU20:AU24" si="65">SUM(AA20:AD20)</f>
        <v>56449</v>
      </c>
      <c r="AV20" s="15">
        <f t="shared" ref="AV20:AV24" si="66">SUM(AE20:AH20)</f>
        <v>57013.49</v>
      </c>
    </row>
    <row r="21" spans="1:52" s="5" customFormat="1" x14ac:dyDescent="0.25">
      <c r="B21" s="31" t="s">
        <v>158</v>
      </c>
      <c r="G21" s="32">
        <v>2919</v>
      </c>
      <c r="H21" s="32">
        <v>3261</v>
      </c>
      <c r="I21" s="32">
        <v>3168</v>
      </c>
      <c r="J21" s="32">
        <f>12110-SUM(G21:I21)</f>
        <v>2762</v>
      </c>
      <c r="K21" s="32">
        <v>2777</v>
      </c>
      <c r="L21" s="32">
        <v>2863</v>
      </c>
      <c r="M21" s="32">
        <v>2646</v>
      </c>
      <c r="N21" s="32">
        <f>10571-SUM(K21:M21)</f>
        <v>2285</v>
      </c>
      <c r="O21" s="32">
        <v>2013</v>
      </c>
      <c r="P21" s="32">
        <v>2068</v>
      </c>
      <c r="Q21" s="32">
        <v>1942</v>
      </c>
      <c r="R21" s="32">
        <v>1815</v>
      </c>
      <c r="S21" s="32">
        <v>2299</v>
      </c>
      <c r="T21" s="32">
        <v>2816</v>
      </c>
      <c r="U21" s="32">
        <v>2932</v>
      </c>
      <c r="V21" s="32">
        <v>3001</v>
      </c>
      <c r="W21" s="32">
        <v>3623</v>
      </c>
      <c r="X21" s="15">
        <v>4476</v>
      </c>
      <c r="Y21" s="15">
        <v>3680</v>
      </c>
      <c r="Z21" s="15">
        <f>14636-SUM(W21:Y21)</f>
        <v>2857</v>
      </c>
      <c r="AA21" s="15">
        <v>3188</v>
      </c>
      <c r="AB21" s="15">
        <v>3338</v>
      </c>
      <c r="AC21" s="15">
        <v>3523</v>
      </c>
      <c r="AD21" s="15">
        <f>12854-SUM(AA21:AC21)</f>
        <v>2805</v>
      </c>
      <c r="AE21" s="15">
        <f t="shared" ref="AE21:AE24" si="67">AA21*1.01</f>
        <v>3219.88</v>
      </c>
      <c r="AF21" s="15">
        <f t="shared" si="62"/>
        <v>3371.38</v>
      </c>
      <c r="AG21" s="15">
        <f t="shared" si="63"/>
        <v>3558.23</v>
      </c>
      <c r="AH21" s="15">
        <f t="shared" si="64"/>
        <v>2833.05</v>
      </c>
      <c r="AI21" s="15"/>
      <c r="AJ21" s="15"/>
      <c r="AK21" s="15"/>
      <c r="AP21" s="15">
        <f>SUM(G21:J21)</f>
        <v>12110</v>
      </c>
      <c r="AQ21" s="15">
        <f>SUM(K21:N21)</f>
        <v>10571</v>
      </c>
      <c r="AR21" s="15">
        <f>SUM(O21:R21)</f>
        <v>7838</v>
      </c>
      <c r="AS21" s="15">
        <f>SUM(S21:V21)</f>
        <v>11048</v>
      </c>
      <c r="AT21" s="15">
        <f>SUM(W21:Z21)</f>
        <v>14636</v>
      </c>
      <c r="AU21" s="15">
        <f t="shared" si="65"/>
        <v>12854</v>
      </c>
      <c r="AV21" s="15">
        <f t="shared" si="66"/>
        <v>12982.54</v>
      </c>
    </row>
    <row r="22" spans="1:52" s="5" customFormat="1" x14ac:dyDescent="0.25">
      <c r="B22" s="31" t="s">
        <v>159</v>
      </c>
      <c r="G22" s="32">
        <v>1202</v>
      </c>
      <c r="H22" s="32">
        <v>1398</v>
      </c>
      <c r="I22" s="32">
        <v>1209</v>
      </c>
      <c r="J22" s="32">
        <f>5452-SUM(G22:I22)</f>
        <v>1643</v>
      </c>
      <c r="K22" s="32">
        <v>1178</v>
      </c>
      <c r="L22" s="32">
        <v>1763</v>
      </c>
      <c r="M22" s="32">
        <v>1532</v>
      </c>
      <c r="N22" s="32">
        <f>6744-SUM(K22:M22)</f>
        <v>2271</v>
      </c>
      <c r="O22" s="32">
        <v>1280</v>
      </c>
      <c r="P22" s="32">
        <v>1953</v>
      </c>
      <c r="Q22" s="32">
        <v>1693</v>
      </c>
      <c r="R22" s="32">
        <v>2166</v>
      </c>
      <c r="S22" s="32">
        <v>2082</v>
      </c>
      <c r="T22" s="32">
        <v>2194</v>
      </c>
      <c r="U22" s="32">
        <v>1976</v>
      </c>
      <c r="V22" s="32">
        <v>2488</v>
      </c>
      <c r="W22" s="32">
        <v>2050</v>
      </c>
      <c r="X22" s="15">
        <v>2406</v>
      </c>
      <c r="Y22" s="15">
        <v>2132</v>
      </c>
      <c r="Z22" s="15">
        <f>9579-SUM(W22:Y22)</f>
        <v>2991</v>
      </c>
      <c r="AA22" s="15">
        <v>2079</v>
      </c>
      <c r="AB22" s="15">
        <v>2428</v>
      </c>
      <c r="AC22" s="15">
        <v>2084</v>
      </c>
      <c r="AD22" s="15">
        <f>9263-SUM(AA22:AC22)</f>
        <v>2672</v>
      </c>
      <c r="AE22" s="15">
        <f t="shared" si="67"/>
        <v>2099.79</v>
      </c>
      <c r="AF22" s="15">
        <f t="shared" si="62"/>
        <v>2452.2800000000002</v>
      </c>
      <c r="AG22" s="15">
        <f t="shared" si="63"/>
        <v>2104.84</v>
      </c>
      <c r="AH22" s="15">
        <f t="shared" si="64"/>
        <v>2698.72</v>
      </c>
      <c r="AI22" s="15"/>
      <c r="AJ22" s="15"/>
      <c r="AK22" s="15"/>
      <c r="AP22" s="15">
        <f>SUM(G22:J22)</f>
        <v>5452</v>
      </c>
      <c r="AQ22" s="15">
        <f>SUM(K22:N22)</f>
        <v>6744</v>
      </c>
      <c r="AR22" s="15">
        <f>SUM(O22:R22)</f>
        <v>7092</v>
      </c>
      <c r="AS22" s="15">
        <f>SUM(S22:V22)</f>
        <v>8740</v>
      </c>
      <c r="AT22" s="15">
        <f>SUM(W22:Z22)</f>
        <v>9579</v>
      </c>
      <c r="AU22" s="15">
        <f t="shared" si="65"/>
        <v>9263</v>
      </c>
      <c r="AV22" s="15">
        <f t="shared" si="66"/>
        <v>9355.6299999999992</v>
      </c>
    </row>
    <row r="23" spans="1:52" s="5" customFormat="1" x14ac:dyDescent="0.25">
      <c r="B23" s="31" t="s">
        <v>148</v>
      </c>
      <c r="G23" s="32">
        <v>801</v>
      </c>
      <c r="H23" s="32">
        <v>789</v>
      </c>
      <c r="I23" s="32">
        <v>813</v>
      </c>
      <c r="J23" s="32">
        <f>3181-SUM(G23:I23)</f>
        <v>778</v>
      </c>
      <c r="K23" s="32">
        <v>827</v>
      </c>
      <c r="L23" s="32">
        <v>842</v>
      </c>
      <c r="M23" s="32">
        <v>858</v>
      </c>
      <c r="N23" s="32">
        <f>3372-SUM(K23:M23)</f>
        <v>845</v>
      </c>
      <c r="O23" s="32">
        <v>901</v>
      </c>
      <c r="P23" s="32">
        <v>931</v>
      </c>
      <c r="Q23" s="32">
        <v>1017</v>
      </c>
      <c r="R23" s="32">
        <v>943</v>
      </c>
      <c r="S23" s="32">
        <v>941</v>
      </c>
      <c r="T23" s="32">
        <v>956</v>
      </c>
      <c r="U23" s="32">
        <v>1037</v>
      </c>
      <c r="V23" s="32">
        <v>1022</v>
      </c>
      <c r="W23" s="32">
        <v>1010</v>
      </c>
      <c r="X23" s="15">
        <v>1006</v>
      </c>
      <c r="Y23" s="15">
        <v>1085</v>
      </c>
      <c r="Z23" s="15">
        <f>4248-SUM(W23:Y23)</f>
        <v>1147</v>
      </c>
      <c r="AA23" s="15">
        <v>1156</v>
      </c>
      <c r="AB23" s="15">
        <v>1186</v>
      </c>
      <c r="AC23" s="15">
        <v>1313</v>
      </c>
      <c r="AD23" s="15">
        <f>5005-SUM(AA23:AC23)</f>
        <v>1350</v>
      </c>
      <c r="AE23" s="15">
        <f t="shared" si="67"/>
        <v>1167.56</v>
      </c>
      <c r="AF23" s="15">
        <f t="shared" si="62"/>
        <v>1197.8599999999999</v>
      </c>
      <c r="AG23" s="15">
        <f t="shared" si="63"/>
        <v>1326.13</v>
      </c>
      <c r="AH23" s="15">
        <f t="shared" si="64"/>
        <v>1363.5</v>
      </c>
      <c r="AI23" s="15"/>
      <c r="AJ23" s="15"/>
      <c r="AK23" s="15"/>
      <c r="AP23" s="15">
        <f>SUM(G23:J23)</f>
        <v>3181</v>
      </c>
      <c r="AQ23" s="15">
        <f>SUM(K23:N23)</f>
        <v>3372</v>
      </c>
      <c r="AR23" s="15">
        <f>SUM(O23:R23)</f>
        <v>3792</v>
      </c>
      <c r="AS23" s="15">
        <f>SUM(S23:V23)</f>
        <v>3956</v>
      </c>
      <c r="AT23" s="15">
        <f>SUM(W23:Z23)</f>
        <v>4248</v>
      </c>
      <c r="AU23" s="15">
        <f t="shared" si="65"/>
        <v>5005</v>
      </c>
      <c r="AV23" s="15">
        <f t="shared" si="66"/>
        <v>5055.05</v>
      </c>
    </row>
    <row r="24" spans="1:52" s="5" customFormat="1" x14ac:dyDescent="0.25">
      <c r="B24" s="31" t="s">
        <v>160</v>
      </c>
      <c r="G24" s="32">
        <v>688</v>
      </c>
      <c r="H24" s="32">
        <v>757</v>
      </c>
      <c r="I24" s="32">
        <v>761</v>
      </c>
      <c r="J24" s="32">
        <f>3388-SUM(G24:I24)</f>
        <v>1182</v>
      </c>
      <c r="K24" s="32">
        <v>675</v>
      </c>
      <c r="L24" s="32">
        <v>650</v>
      </c>
      <c r="M24" s="32">
        <v>689</v>
      </c>
      <c r="N24" s="32">
        <f>3062-SUM(K24:M24)</f>
        <v>1048</v>
      </c>
      <c r="O24" s="32">
        <v>608</v>
      </c>
      <c r="P24" s="32">
        <v>708</v>
      </c>
      <c r="Q24" s="32">
        <v>743</v>
      </c>
      <c r="R24" s="32">
        <v>981</v>
      </c>
      <c r="S24" s="32">
        <v>701</v>
      </c>
      <c r="T24" s="32">
        <v>664</v>
      </c>
      <c r="U24" s="32">
        <v>691</v>
      </c>
      <c r="V24" s="32">
        <v>934</v>
      </c>
      <c r="W24" s="32">
        <v>637</v>
      </c>
      <c r="X24" s="15">
        <v>621</v>
      </c>
      <c r="Y24" s="15">
        <v>656</v>
      </c>
      <c r="Z24" s="15">
        <f>2855-SUM(W24:Y24)</f>
        <v>941</v>
      </c>
      <c r="AA24" s="15">
        <v>578</v>
      </c>
      <c r="AB24" s="15">
        <v>553</v>
      </c>
      <c r="AC24" s="15">
        <v>566</v>
      </c>
      <c r="AD24" s="15">
        <f>2608-SUM(AA24:AC24)</f>
        <v>911</v>
      </c>
      <c r="AE24" s="15">
        <f t="shared" si="67"/>
        <v>583.78</v>
      </c>
      <c r="AF24" s="15">
        <f t="shared" si="62"/>
        <v>558.53</v>
      </c>
      <c r="AG24" s="15">
        <f t="shared" si="63"/>
        <v>571.66</v>
      </c>
      <c r="AH24" s="15">
        <f t="shared" si="64"/>
        <v>920.11</v>
      </c>
      <c r="AI24" s="15"/>
      <c r="AJ24" s="15"/>
      <c r="AK24" s="15"/>
      <c r="AP24" s="15">
        <f>SUM(G24:J24)</f>
        <v>3388</v>
      </c>
      <c r="AQ24" s="15">
        <f>SUM(K24:N24)</f>
        <v>3062</v>
      </c>
      <c r="AR24" s="15">
        <f>SUM(O24:R24)</f>
        <v>3040</v>
      </c>
      <c r="AS24" s="15">
        <f>SUM(S24:V24)</f>
        <v>2990</v>
      </c>
      <c r="AT24" s="15">
        <f>SUM(W24:Z24)</f>
        <v>2855</v>
      </c>
      <c r="AU24" s="15">
        <f t="shared" si="65"/>
        <v>2608</v>
      </c>
      <c r="AV24" s="15">
        <f t="shared" si="66"/>
        <v>2634.08</v>
      </c>
    </row>
    <row r="25" spans="1:52" s="37" customFormat="1" x14ac:dyDescent="0.25">
      <c r="B25" s="22" t="s">
        <v>161</v>
      </c>
      <c r="C25" s="36">
        <v>13993</v>
      </c>
      <c r="D25" s="36">
        <v>14880</v>
      </c>
      <c r="E25" s="36">
        <v>14864</v>
      </c>
      <c r="F25" s="36">
        <v>15479</v>
      </c>
      <c r="G25" s="36">
        <f>SUM(G20:G24)</f>
        <v>13622</v>
      </c>
      <c r="H25" s="36">
        <f t="shared" ref="H25:AH25" si="68">SUM(H20:H24)</f>
        <v>14790</v>
      </c>
      <c r="I25" s="36">
        <f t="shared" si="68"/>
        <v>14521</v>
      </c>
      <c r="J25" s="36">
        <f t="shared" si="68"/>
        <v>14906</v>
      </c>
      <c r="K25" s="36">
        <f t="shared" si="68"/>
        <v>13830</v>
      </c>
      <c r="L25" s="36">
        <f t="shared" si="68"/>
        <v>15049</v>
      </c>
      <c r="M25" s="36">
        <f t="shared" si="68"/>
        <v>14625</v>
      </c>
      <c r="N25" s="36">
        <f t="shared" si="68"/>
        <v>15288</v>
      </c>
      <c r="O25" s="36">
        <f t="shared" si="68"/>
        <v>15163</v>
      </c>
      <c r="P25" s="36">
        <f t="shared" si="68"/>
        <v>16375</v>
      </c>
      <c r="Q25" s="36">
        <f t="shared" si="68"/>
        <v>15845</v>
      </c>
      <c r="R25" s="36">
        <f t="shared" si="68"/>
        <v>16527</v>
      </c>
      <c r="S25" s="36">
        <f t="shared" si="68"/>
        <v>16692</v>
      </c>
      <c r="T25" s="36">
        <f t="shared" si="68"/>
        <v>18644</v>
      </c>
      <c r="U25" s="36">
        <f t="shared" si="68"/>
        <v>18971</v>
      </c>
      <c r="V25" s="36">
        <f t="shared" si="68"/>
        <v>19249</v>
      </c>
      <c r="W25" s="36">
        <f t="shared" si="68"/>
        <v>19621</v>
      </c>
      <c r="X25" s="36">
        <f t="shared" si="68"/>
        <v>21901</v>
      </c>
      <c r="Y25" s="36">
        <f t="shared" si="68"/>
        <v>21399</v>
      </c>
      <c r="Z25" s="36">
        <f t="shared" si="68"/>
        <v>21424</v>
      </c>
      <c r="AA25" s="36">
        <f t="shared" si="68"/>
        <v>20499</v>
      </c>
      <c r="AB25" s="36">
        <f t="shared" si="68"/>
        <v>21830</v>
      </c>
      <c r="AC25" s="36">
        <f t="shared" si="68"/>
        <v>21998</v>
      </c>
      <c r="AD25" s="36">
        <f t="shared" si="68"/>
        <v>21852</v>
      </c>
      <c r="AE25" s="36">
        <f t="shared" si="68"/>
        <v>20703.990000000002</v>
      </c>
      <c r="AF25" s="36">
        <f t="shared" si="68"/>
        <v>22048.3</v>
      </c>
      <c r="AG25" s="36">
        <f t="shared" si="68"/>
        <v>22217.980000000003</v>
      </c>
      <c r="AH25" s="36">
        <f t="shared" si="68"/>
        <v>22070.52</v>
      </c>
      <c r="AI25" s="36"/>
      <c r="AJ25" s="36"/>
      <c r="AK25" s="36"/>
      <c r="AO25" s="36">
        <f>SUM(C25:F25)</f>
        <v>59216</v>
      </c>
      <c r="AP25" s="36">
        <f>SUM(AP20:AP24)</f>
        <v>57839</v>
      </c>
      <c r="AQ25" s="36">
        <f t="shared" ref="AQ25:AR25" si="69">SUM(AQ20:AQ24)</f>
        <v>58792</v>
      </c>
      <c r="AR25" s="36">
        <f t="shared" si="69"/>
        <v>63910</v>
      </c>
      <c r="AS25" s="36">
        <f>SUM(AS20:AS24)</f>
        <v>73556</v>
      </c>
      <c r="AT25" s="36">
        <f>SUM(AT20:AT24)</f>
        <v>84345</v>
      </c>
      <c r="AU25" s="36">
        <f>SUM(AU20:AU24)</f>
        <v>86179</v>
      </c>
      <c r="AV25" s="36">
        <f t="shared" ref="AV25" si="70">SUM(AV20:AV24)</f>
        <v>87040.790000000008</v>
      </c>
      <c r="AW25" s="36">
        <f>AV25*1.01</f>
        <v>87911.197900000014</v>
      </c>
      <c r="AX25" s="36">
        <f t="shared" ref="AX25:AZ25" si="71">AW25*1.01</f>
        <v>88790.309879000008</v>
      </c>
      <c r="AY25" s="36">
        <f t="shared" si="71"/>
        <v>89678.212977790012</v>
      </c>
      <c r="AZ25" s="36">
        <f t="shared" si="71"/>
        <v>90574.995107567913</v>
      </c>
    </row>
    <row r="26" spans="1:52" s="5" customFormat="1" x14ac:dyDescent="0.25">
      <c r="B26" s="31"/>
      <c r="X26" s="15"/>
      <c r="Y26" s="15"/>
      <c r="Z26" s="15"/>
    </row>
    <row r="27" spans="1:52" s="33" customFormat="1" ht="14.4" x14ac:dyDescent="0.3">
      <c r="B27" s="34" t="s">
        <v>162</v>
      </c>
      <c r="G27" s="35">
        <f>G25/C25-1</f>
        <v>-2.6513256628314164E-2</v>
      </c>
      <c r="H27" s="35">
        <f t="shared" ref="H27:X27" si="72">H25/D25-1</f>
        <v>-6.0483870967742437E-3</v>
      </c>
      <c r="I27" s="35">
        <f t="shared" si="72"/>
        <v>-2.3075888051668492E-2</v>
      </c>
      <c r="J27" s="35">
        <f t="shared" si="72"/>
        <v>-3.7017895212869023E-2</v>
      </c>
      <c r="K27" s="35">
        <f t="shared" si="72"/>
        <v>1.5269417119365691E-2</v>
      </c>
      <c r="L27" s="35">
        <f t="shared" si="72"/>
        <v>1.7511832319134557E-2</v>
      </c>
      <c r="M27" s="35">
        <f t="shared" si="72"/>
        <v>7.1620411817368002E-3</v>
      </c>
      <c r="N27" s="35">
        <f t="shared" si="72"/>
        <v>2.5627264188917254E-2</v>
      </c>
      <c r="O27" s="35">
        <f t="shared" si="72"/>
        <v>9.638467100506154E-2</v>
      </c>
      <c r="P27" s="35">
        <f t="shared" si="72"/>
        <v>8.8112166921390234E-2</v>
      </c>
      <c r="Q27" s="35">
        <f t="shared" si="72"/>
        <v>8.3418803418803478E-2</v>
      </c>
      <c r="R27" s="35">
        <f t="shared" si="72"/>
        <v>8.1043956043955978E-2</v>
      </c>
      <c r="S27" s="35">
        <f t="shared" si="72"/>
        <v>0.1008375651256348</v>
      </c>
      <c r="T27" s="35">
        <f t="shared" si="72"/>
        <v>0.13856488549618318</v>
      </c>
      <c r="U27" s="35">
        <f t="shared" si="72"/>
        <v>0.19728621016093406</v>
      </c>
      <c r="V27" s="35">
        <f t="shared" si="72"/>
        <v>0.16470018757185212</v>
      </c>
      <c r="W27" s="35">
        <f t="shared" si="72"/>
        <v>0.17547328061346756</v>
      </c>
      <c r="X27" s="35">
        <f t="shared" si="72"/>
        <v>0.17469427161553308</v>
      </c>
      <c r="Y27" s="35">
        <f t="shared" ref="Y27" si="73">Y25/U25-1</f>
        <v>0.12798481893416258</v>
      </c>
      <c r="Z27" s="35">
        <f t="shared" ref="Z27" si="74">Z25/V25-1</f>
        <v>0.1129928827471558</v>
      </c>
      <c r="AA27" s="35">
        <f t="shared" ref="AA27" si="75">AA25/W25-1</f>
        <v>4.474797410937259E-2</v>
      </c>
      <c r="AB27" s="35">
        <f t="shared" ref="AB27" si="76">AB25/X25-1</f>
        <v>-3.2418611022327903E-3</v>
      </c>
      <c r="AC27" s="35">
        <f t="shared" ref="AC27" si="77">AC25/Y25-1</f>
        <v>2.7991962241226132E-2</v>
      </c>
      <c r="AD27" s="35">
        <f t="shared" ref="AD27" si="78">AD25/Z25-1</f>
        <v>1.9977595220313615E-2</v>
      </c>
      <c r="AE27" s="35">
        <f t="shared" ref="AE27" si="79">AE25/AA25-1</f>
        <v>1.0000000000000009E-2</v>
      </c>
      <c r="AF27" s="35">
        <f t="shared" ref="AF27" si="80">AF25/AB25-1</f>
        <v>1.0000000000000009E-2</v>
      </c>
      <c r="AG27" s="35">
        <f t="shared" ref="AG27" si="81">AG25/AC25-1</f>
        <v>1.0000000000000231E-2</v>
      </c>
      <c r="AH27" s="35">
        <f t="shared" ref="AH27" si="82">AH25/AD25-1</f>
        <v>1.0000000000000009E-2</v>
      </c>
      <c r="AI27" s="35"/>
      <c r="AJ27" s="35"/>
      <c r="AK27" s="35"/>
      <c r="AP27" s="35">
        <f>AP25/AO25-1</f>
        <v>-2.3253850310726798E-2</v>
      </c>
      <c r="AQ27" s="35">
        <f t="shared" ref="AQ27:AR27" si="83">AQ25/AP25-1</f>
        <v>1.6476771728418438E-2</v>
      </c>
      <c r="AR27" s="35">
        <f t="shared" si="83"/>
        <v>8.7052660225880985E-2</v>
      </c>
      <c r="AS27" s="35">
        <f>AS25/AR25-1</f>
        <v>0.15093099671412924</v>
      </c>
      <c r="AT27" s="35">
        <f>AT25/AS25-1</f>
        <v>0.14667736146609389</v>
      </c>
      <c r="AU27" s="35">
        <f t="shared" ref="AU27" si="84">AU25/AT25-1</f>
        <v>2.1744027506076291E-2</v>
      </c>
      <c r="AV27" s="35">
        <f t="shared" ref="AV27" si="85">AV25/AU25-1</f>
        <v>1.0000000000000009E-2</v>
      </c>
      <c r="AW27" s="35">
        <f t="shared" ref="AW27" si="86">AW25/AV25-1</f>
        <v>1.0000000000000009E-2</v>
      </c>
      <c r="AX27" s="35">
        <f t="shared" ref="AX27" si="87">AX25/AW25-1</f>
        <v>1.0000000000000009E-2</v>
      </c>
      <c r="AY27" s="35">
        <f t="shared" ref="AY27" si="88">AY25/AX25-1</f>
        <v>1.0000000000000009E-2</v>
      </c>
      <c r="AZ27" s="35">
        <f t="shared" ref="AZ27" si="89">AZ25/AY25-1</f>
        <v>1.0000000000000009E-2</v>
      </c>
    </row>
    <row r="28" spans="1:52" s="5" customFormat="1" x14ac:dyDescent="0.25">
      <c r="X28" s="15"/>
      <c r="Y28" s="15"/>
      <c r="Z28" s="15"/>
    </row>
    <row r="29" spans="1:52" x14ac:dyDescent="0.25">
      <c r="B29" s="31" t="s">
        <v>163</v>
      </c>
      <c r="C29" s="2">
        <f t="shared" ref="C29:AD29" si="90">C25+C16+C7</f>
        <v>116526</v>
      </c>
      <c r="D29" s="2">
        <f t="shared" si="90"/>
        <v>121949</v>
      </c>
      <c r="E29" s="2">
        <f t="shared" si="90"/>
        <v>122136</v>
      </c>
      <c r="F29" s="2">
        <f t="shared" si="90"/>
        <v>135150</v>
      </c>
      <c r="G29" s="2">
        <f t="shared" si="90"/>
        <v>121630</v>
      </c>
      <c r="H29" s="2">
        <f t="shared" si="90"/>
        <v>127059</v>
      </c>
      <c r="I29" s="2">
        <f t="shared" si="90"/>
        <v>123897</v>
      </c>
      <c r="J29" s="2">
        <f t="shared" si="90"/>
        <v>137743</v>
      </c>
      <c r="K29" s="2">
        <f t="shared" si="90"/>
        <v>122949</v>
      </c>
      <c r="L29" s="2">
        <f t="shared" si="90"/>
        <v>129388</v>
      </c>
      <c r="M29" s="2">
        <f t="shared" si="90"/>
        <v>126981</v>
      </c>
      <c r="N29" s="2">
        <f t="shared" si="90"/>
        <v>140608</v>
      </c>
      <c r="O29" s="2">
        <f t="shared" si="90"/>
        <v>133672</v>
      </c>
      <c r="P29" s="2">
        <f t="shared" si="90"/>
        <v>136824</v>
      </c>
      <c r="Q29" s="2">
        <f t="shared" si="90"/>
        <v>133752</v>
      </c>
      <c r="R29" s="2">
        <f t="shared" si="90"/>
        <v>150985</v>
      </c>
      <c r="S29" s="2">
        <f t="shared" si="90"/>
        <v>137159</v>
      </c>
      <c r="T29" s="2">
        <f t="shared" si="90"/>
        <v>139871</v>
      </c>
      <c r="U29" s="2">
        <f t="shared" si="90"/>
        <v>139207</v>
      </c>
      <c r="V29" s="2">
        <f t="shared" si="90"/>
        <v>151525</v>
      </c>
      <c r="W29" s="2">
        <f t="shared" si="90"/>
        <v>140288</v>
      </c>
      <c r="X29" s="2">
        <f t="shared" si="90"/>
        <v>151381</v>
      </c>
      <c r="Y29" s="2">
        <f t="shared" si="90"/>
        <v>151469</v>
      </c>
      <c r="Z29" s="2">
        <f t="shared" si="90"/>
        <v>162743</v>
      </c>
      <c r="AA29" s="2">
        <f t="shared" si="90"/>
        <v>151004</v>
      </c>
      <c r="AB29" s="2">
        <f t="shared" si="90"/>
        <v>160280</v>
      </c>
      <c r="AC29" s="2">
        <f t="shared" si="90"/>
        <v>159439</v>
      </c>
      <c r="AD29" s="2">
        <f t="shared" si="90"/>
        <v>171914</v>
      </c>
      <c r="AE29" s="2">
        <f t="shared" ref="AE29:AH29" si="91">AE25+AE16+AE7</f>
        <v>156986.42000000001</v>
      </c>
      <c r="AF29" s="2">
        <f t="shared" si="91"/>
        <v>166583.52000000002</v>
      </c>
      <c r="AG29" s="2">
        <f t="shared" si="91"/>
        <v>165743.75</v>
      </c>
      <c r="AH29" s="2">
        <f t="shared" si="91"/>
        <v>178903.71000000002</v>
      </c>
      <c r="AO29" s="2">
        <f>AO25+AO16+AO7</f>
        <v>495761</v>
      </c>
      <c r="AP29" s="2">
        <f>AP25+AP16+AP7</f>
        <v>510329</v>
      </c>
      <c r="AQ29" s="2">
        <f>AQ25+AQ16+AQ7</f>
        <v>609654</v>
      </c>
      <c r="AR29" s="2">
        <f>AR25+AR16+AR7</f>
        <v>555233</v>
      </c>
      <c r="AS29" s="2">
        <f>AS25+AS16+AS7</f>
        <v>567762</v>
      </c>
      <c r="AT29" s="2">
        <f t="shared" ref="AT29:AZ29" si="92">AT25+AT16+AT7</f>
        <v>605881</v>
      </c>
      <c r="AU29" s="2">
        <f t="shared" si="92"/>
        <v>642637</v>
      </c>
      <c r="AV29" s="2">
        <f t="shared" si="92"/>
        <v>668217.40000000014</v>
      </c>
      <c r="AW29" s="2">
        <f t="shared" si="92"/>
        <v>689045.20820000023</v>
      </c>
      <c r="AX29" s="2">
        <f t="shared" si="92"/>
        <v>710606.54758800019</v>
      </c>
      <c r="AY29" s="2">
        <f t="shared" si="92"/>
        <v>732929.55527306022</v>
      </c>
      <c r="AZ29" s="2">
        <f t="shared" si="92"/>
        <v>756043.52599944628</v>
      </c>
    </row>
    <row r="30" spans="1:52" x14ac:dyDescent="0.25">
      <c r="B30" s="21" t="s">
        <v>20</v>
      </c>
      <c r="C30" s="2">
        <v>1016</v>
      </c>
      <c r="D30" s="2">
        <v>1406</v>
      </c>
      <c r="E30" s="2">
        <v>1043</v>
      </c>
      <c r="F30" s="2">
        <v>1117</v>
      </c>
      <c r="G30" s="2">
        <v>1060</v>
      </c>
      <c r="H30" s="2">
        <v>969</v>
      </c>
      <c r="I30" s="2">
        <v>997</v>
      </c>
      <c r="J30" s="2">
        <v>1050</v>
      </c>
      <c r="K30" s="2">
        <v>976</v>
      </c>
      <c r="L30" s="2">
        <v>989</v>
      </c>
      <c r="M30" s="2">
        <v>1010</v>
      </c>
      <c r="N30" s="2">
        <v>1063</v>
      </c>
      <c r="O30" s="2">
        <v>950</v>
      </c>
      <c r="P30" s="2">
        <v>918</v>
      </c>
      <c r="Q30" s="2">
        <v>956</v>
      </c>
      <c r="R30" s="2">
        <v>1094</v>
      </c>
      <c r="S30" s="2">
        <v>1151</v>
      </c>
      <c r="T30" s="2">
        <v>1177</v>
      </c>
      <c r="U30" s="2">
        <v>1318</v>
      </c>
      <c r="V30" s="2">
        <v>1346</v>
      </c>
      <c r="W30" s="2">
        <v>1281</v>
      </c>
      <c r="X30" s="2">
        <v>1478</v>
      </c>
      <c r="Y30" s="2">
        <v>1344</v>
      </c>
      <c r="Z30" s="2">
        <v>1305</v>
      </c>
      <c r="AA30" s="2">
        <v>1297</v>
      </c>
      <c r="AB30" s="2">
        <v>1352</v>
      </c>
      <c r="AC30" s="2">
        <v>1365</v>
      </c>
      <c r="AD30" s="2">
        <v>1474</v>
      </c>
      <c r="AE30" s="15">
        <f>AA30*1.05</f>
        <v>1361.8500000000001</v>
      </c>
      <c r="AF30" s="15">
        <f t="shared" ref="AF30:AH30" si="93">AB30*1.05</f>
        <v>1419.6000000000001</v>
      </c>
      <c r="AG30" s="15">
        <f t="shared" si="93"/>
        <v>1433.25</v>
      </c>
      <c r="AH30" s="15">
        <f t="shared" si="93"/>
        <v>1547.7</v>
      </c>
      <c r="AO30" s="2">
        <f>SUM(C30:F30)</f>
        <v>4582</v>
      </c>
      <c r="AP30" s="2">
        <f>SUM(G30:J30)</f>
        <v>4076</v>
      </c>
      <c r="AQ30" s="2">
        <f>SUM(K30:N30)</f>
        <v>4038</v>
      </c>
      <c r="AR30" s="2">
        <f>SUM(O30:R30)</f>
        <v>3918</v>
      </c>
      <c r="AS30" s="2">
        <f>SUM(S30:V30)</f>
        <v>4992</v>
      </c>
      <c r="AT30" s="15">
        <f>SUM(W30:Z30)</f>
        <v>5408</v>
      </c>
      <c r="AU30" s="15">
        <f t="shared" ref="AU30" si="94">SUM(AA30:AD30)</f>
        <v>5488</v>
      </c>
      <c r="AV30" s="15">
        <f>SUM(AE30:AH30)</f>
        <v>5762.4000000000005</v>
      </c>
      <c r="AW30" s="2">
        <f>AV30*1.01</f>
        <v>5820.0240000000003</v>
      </c>
      <c r="AX30" s="2">
        <f t="shared" ref="AX30:AZ30" si="95">AW30*1.01</f>
        <v>5878.2242400000005</v>
      </c>
      <c r="AY30" s="2">
        <f t="shared" si="95"/>
        <v>5937.0064824000001</v>
      </c>
      <c r="AZ30" s="2">
        <f t="shared" si="95"/>
        <v>5996.3765472240002</v>
      </c>
    </row>
    <row r="31" spans="1:52" s="7" customFormat="1" x14ac:dyDescent="0.25">
      <c r="A31" s="3"/>
      <c r="B31" s="22" t="s">
        <v>21</v>
      </c>
      <c r="C31" s="7">
        <f t="shared" ref="C31:P31" si="96">+C29+C30</f>
        <v>117542</v>
      </c>
      <c r="D31" s="7">
        <f t="shared" si="96"/>
        <v>123355</v>
      </c>
      <c r="E31" s="7">
        <f t="shared" si="96"/>
        <v>123179</v>
      </c>
      <c r="F31" s="7">
        <f t="shared" si="96"/>
        <v>136267</v>
      </c>
      <c r="G31" s="7">
        <f t="shared" si="96"/>
        <v>122690</v>
      </c>
      <c r="H31" s="7">
        <f t="shared" si="96"/>
        <v>128028</v>
      </c>
      <c r="I31" s="7">
        <f t="shared" si="96"/>
        <v>124894</v>
      </c>
      <c r="J31" s="7">
        <f t="shared" si="96"/>
        <v>138793</v>
      </c>
      <c r="K31" s="7">
        <f t="shared" si="96"/>
        <v>123925</v>
      </c>
      <c r="L31" s="7">
        <f t="shared" si="96"/>
        <v>130377</v>
      </c>
      <c r="M31" s="7">
        <f t="shared" si="96"/>
        <v>127991</v>
      </c>
      <c r="N31" s="7">
        <f t="shared" si="96"/>
        <v>141671</v>
      </c>
      <c r="O31" s="7">
        <f t="shared" si="96"/>
        <v>134622</v>
      </c>
      <c r="P31" s="7">
        <f t="shared" si="96"/>
        <v>137742</v>
      </c>
      <c r="Q31" s="7">
        <f>+Q29+Q30</f>
        <v>134708</v>
      </c>
      <c r="R31" s="7">
        <f t="shared" ref="R31:U31" si="97">+R29+R30</f>
        <v>152079</v>
      </c>
      <c r="S31" s="7">
        <f t="shared" si="97"/>
        <v>138310</v>
      </c>
      <c r="T31" s="7">
        <f t="shared" si="97"/>
        <v>141048</v>
      </c>
      <c r="U31" s="7">
        <f t="shared" si="97"/>
        <v>140525</v>
      </c>
      <c r="V31" s="7">
        <f>+V29+V30</f>
        <v>152871</v>
      </c>
      <c r="W31" s="7">
        <f>+W29+W30</f>
        <v>141569</v>
      </c>
      <c r="X31" s="7">
        <f>+X29+X30</f>
        <v>152859</v>
      </c>
      <c r="Y31" s="7">
        <f t="shared" ref="Y31:AA31" si="98">+Y29+Y30</f>
        <v>152813</v>
      </c>
      <c r="Z31" s="7">
        <f t="shared" si="98"/>
        <v>164048</v>
      </c>
      <c r="AA31" s="7">
        <f t="shared" si="98"/>
        <v>152301</v>
      </c>
      <c r="AB31" s="7">
        <f t="shared" ref="AB31" si="99">+AB29+AB30</f>
        <v>161632</v>
      </c>
      <c r="AC31" s="7">
        <f t="shared" ref="AC31" si="100">+AC29+AC30</f>
        <v>160804</v>
      </c>
      <c r="AD31" s="7">
        <f t="shared" ref="AD31:AH31" si="101">+AD29+AD30</f>
        <v>173388</v>
      </c>
      <c r="AE31" s="7">
        <f t="shared" si="101"/>
        <v>158348.27000000002</v>
      </c>
      <c r="AF31" s="7">
        <f t="shared" si="101"/>
        <v>168003.12000000002</v>
      </c>
      <c r="AG31" s="7">
        <f t="shared" si="101"/>
        <v>167177</v>
      </c>
      <c r="AH31" s="7">
        <f t="shared" si="101"/>
        <v>180451.41000000003</v>
      </c>
      <c r="AO31" s="7">
        <f>+AO29+AO30</f>
        <v>500343</v>
      </c>
      <c r="AP31" s="7">
        <f>+AP29+AP30</f>
        <v>514405</v>
      </c>
      <c r="AQ31" s="7">
        <f>+AQ29+AQ30</f>
        <v>613692</v>
      </c>
      <c r="AR31" s="7">
        <f>+AR29+AR30</f>
        <v>559151</v>
      </c>
      <c r="AS31" s="7">
        <f>+AS29+AS30</f>
        <v>572754</v>
      </c>
      <c r="AT31" s="7">
        <f>SUM(W31:Z31)</f>
        <v>611289</v>
      </c>
      <c r="AU31" s="7">
        <f>SUM(AA31:AD31)</f>
        <v>648125</v>
      </c>
      <c r="AV31" s="7">
        <f>SUM(AB31:AE31)</f>
        <v>654172.27</v>
      </c>
      <c r="AW31" s="7">
        <f t="shared" ref="AW31:AY32" si="102">AV31*1.02</f>
        <v>667255.71539999999</v>
      </c>
      <c r="AX31" s="7">
        <f t="shared" si="102"/>
        <v>680600.82970799995</v>
      </c>
      <c r="AY31" s="7">
        <f t="shared" si="102"/>
        <v>694212.84630215995</v>
      </c>
      <c r="AZ31" s="7">
        <f t="shared" ref="AZ31:AZ32" si="103">AY31*1.02</f>
        <v>708097.10322820314</v>
      </c>
    </row>
    <row r="32" spans="1:52" x14ac:dyDescent="0.25">
      <c r="B32" s="21" t="s">
        <v>22</v>
      </c>
      <c r="C32" s="2">
        <v>87688</v>
      </c>
      <c r="D32" s="2">
        <v>91521</v>
      </c>
      <c r="E32" s="2">
        <v>91547</v>
      </c>
      <c r="F32" s="2">
        <v>102640</v>
      </c>
      <c r="G32" s="2">
        <v>91707</v>
      </c>
      <c r="H32" s="2">
        <v>95571</v>
      </c>
      <c r="I32" s="2">
        <v>93116</v>
      </c>
      <c r="J32" s="2">
        <v>104907</v>
      </c>
      <c r="K32" s="2">
        <v>93034</v>
      </c>
      <c r="L32" s="2">
        <v>97923</v>
      </c>
      <c r="M32" s="2">
        <v>95900</v>
      </c>
      <c r="N32" s="2">
        <v>107748</v>
      </c>
      <c r="O32" s="2">
        <v>102026</v>
      </c>
      <c r="P32" s="2">
        <v>102689</v>
      </c>
      <c r="Q32" s="2">
        <v>100339</v>
      </c>
      <c r="R32" s="2">
        <v>115261</v>
      </c>
      <c r="S32" s="2">
        <v>103272</v>
      </c>
      <c r="T32" s="2">
        <v>105183</v>
      </c>
      <c r="U32" s="2">
        <v>105023</v>
      </c>
      <c r="V32" s="2">
        <v>115522</v>
      </c>
      <c r="W32" s="2">
        <v>106847</v>
      </c>
      <c r="X32" s="2">
        <v>115838</v>
      </c>
      <c r="Y32" s="2">
        <v>115613</v>
      </c>
      <c r="Z32" s="2">
        <v>125423</v>
      </c>
      <c r="AA32" s="2">
        <v>115284</v>
      </c>
      <c r="AB32" s="2">
        <v>121850</v>
      </c>
      <c r="AC32" s="2">
        <v>121183</v>
      </c>
      <c r="AD32" s="2">
        <v>131825</v>
      </c>
      <c r="AE32" s="2">
        <f>AA32*1.03</f>
        <v>118742.52</v>
      </c>
      <c r="AF32" s="2">
        <f t="shared" ref="AF32:AH32" si="104">AB32*1.03</f>
        <v>125505.5</v>
      </c>
      <c r="AG32" s="2">
        <f t="shared" si="104"/>
        <v>124818.49</v>
      </c>
      <c r="AH32" s="2">
        <f t="shared" si="104"/>
        <v>135779.75</v>
      </c>
      <c r="AO32" s="2">
        <f>SUM(C32:F32)</f>
        <v>373396</v>
      </c>
      <c r="AP32" s="2">
        <f>SUM(G32:J32)</f>
        <v>385301</v>
      </c>
      <c r="AQ32" s="2">
        <f>SUM(K32:N32)</f>
        <v>394605</v>
      </c>
      <c r="AR32" s="2">
        <f>SUM(O32:R32)</f>
        <v>420315</v>
      </c>
      <c r="AS32" s="2">
        <f>SUM(S32:V32)</f>
        <v>429000</v>
      </c>
      <c r="AT32" s="2">
        <f>SUM(W32:Z32)</f>
        <v>463721</v>
      </c>
      <c r="AU32" s="15">
        <f>SUM(AA32:AD32)</f>
        <v>490142</v>
      </c>
      <c r="AV32" s="15">
        <f t="shared" ref="AV32:AV34" si="105">SUM(AE32:AH32)</f>
        <v>504846.26</v>
      </c>
      <c r="AW32" s="15">
        <f t="shared" si="102"/>
        <v>514943.18520000001</v>
      </c>
      <c r="AX32" s="15">
        <f t="shared" ref="AX32" si="106">AW32*1.02</f>
        <v>525242.04890399997</v>
      </c>
      <c r="AY32" s="15">
        <f t="shared" ref="AY32" si="107">AX32*1.02</f>
        <v>535746.88988208002</v>
      </c>
      <c r="AZ32" s="15">
        <f t="shared" si="103"/>
        <v>546461.82767972164</v>
      </c>
    </row>
    <row r="33" spans="1:443" x14ac:dyDescent="0.25">
      <c r="B33" s="21" t="s">
        <v>23</v>
      </c>
      <c r="C33" s="2">
        <f t="shared" ref="C33:P33" si="108">+C31-C32</f>
        <v>29854</v>
      </c>
      <c r="D33" s="2">
        <f t="shared" si="108"/>
        <v>31834</v>
      </c>
      <c r="E33" s="2">
        <f t="shared" si="108"/>
        <v>31632</v>
      </c>
      <c r="F33" s="2">
        <f t="shared" si="108"/>
        <v>33627</v>
      </c>
      <c r="G33" s="2">
        <f t="shared" si="108"/>
        <v>30983</v>
      </c>
      <c r="H33" s="2">
        <f t="shared" si="108"/>
        <v>32457</v>
      </c>
      <c r="I33" s="2">
        <f t="shared" si="108"/>
        <v>31778</v>
      </c>
      <c r="J33" s="2">
        <f t="shared" si="108"/>
        <v>33886</v>
      </c>
      <c r="K33" s="2">
        <f t="shared" si="108"/>
        <v>30891</v>
      </c>
      <c r="L33" s="2">
        <f t="shared" si="108"/>
        <v>32454</v>
      </c>
      <c r="M33" s="2">
        <f t="shared" si="108"/>
        <v>32091</v>
      </c>
      <c r="N33" s="2">
        <f t="shared" si="108"/>
        <v>33923</v>
      </c>
      <c r="O33" s="2">
        <f t="shared" si="108"/>
        <v>32596</v>
      </c>
      <c r="P33" s="2">
        <f t="shared" si="108"/>
        <v>35053</v>
      </c>
      <c r="Q33" s="2">
        <f>+Q31-Q32</f>
        <v>34369</v>
      </c>
      <c r="R33" s="2">
        <f t="shared" ref="R33:V33" si="109">+R31-R32</f>
        <v>36818</v>
      </c>
      <c r="S33" s="2">
        <f t="shared" si="109"/>
        <v>35038</v>
      </c>
      <c r="T33" s="2">
        <f t="shared" si="109"/>
        <v>35865</v>
      </c>
      <c r="U33" s="2">
        <f t="shared" si="109"/>
        <v>35502</v>
      </c>
      <c r="V33" s="2">
        <f t="shared" si="109"/>
        <v>37349</v>
      </c>
      <c r="W33" s="2">
        <f t="shared" ref="W33" si="110">+W31-W32</f>
        <v>34722</v>
      </c>
      <c r="X33" s="2">
        <f t="shared" ref="X33:AH33" si="111">+X31-X32</f>
        <v>37021</v>
      </c>
      <c r="Y33" s="2">
        <f t="shared" si="111"/>
        <v>37200</v>
      </c>
      <c r="Z33" s="2">
        <f t="shared" si="111"/>
        <v>38625</v>
      </c>
      <c r="AA33" s="2">
        <f t="shared" si="111"/>
        <v>37017</v>
      </c>
      <c r="AB33" s="2">
        <f t="shared" si="111"/>
        <v>39782</v>
      </c>
      <c r="AC33" s="2">
        <f t="shared" si="111"/>
        <v>39621</v>
      </c>
      <c r="AD33" s="2">
        <f t="shared" si="111"/>
        <v>41563</v>
      </c>
      <c r="AE33" s="2">
        <f t="shared" si="111"/>
        <v>39605.750000000015</v>
      </c>
      <c r="AF33" s="2">
        <f t="shared" si="111"/>
        <v>42497.620000000024</v>
      </c>
      <c r="AG33" s="2">
        <f t="shared" si="111"/>
        <v>42358.509999999995</v>
      </c>
      <c r="AH33" s="2">
        <f t="shared" si="111"/>
        <v>44671.660000000033</v>
      </c>
      <c r="AO33" s="2">
        <f t="shared" ref="AO33:AZ33" si="112">+AO31-AO32</f>
        <v>126947</v>
      </c>
      <c r="AP33" s="2">
        <f t="shared" si="112"/>
        <v>129104</v>
      </c>
      <c r="AQ33" s="2">
        <f t="shared" si="112"/>
        <v>219087</v>
      </c>
      <c r="AR33" s="2">
        <f t="shared" si="112"/>
        <v>138836</v>
      </c>
      <c r="AS33" s="2">
        <f t="shared" si="112"/>
        <v>143754</v>
      </c>
      <c r="AT33" s="2">
        <f t="shared" si="112"/>
        <v>147568</v>
      </c>
      <c r="AU33" s="2">
        <f t="shared" si="112"/>
        <v>157983</v>
      </c>
      <c r="AV33" s="2">
        <f t="shared" si="112"/>
        <v>149326.01</v>
      </c>
      <c r="AW33" s="2">
        <f t="shared" si="112"/>
        <v>152312.53019999998</v>
      </c>
      <c r="AX33" s="2">
        <f t="shared" si="112"/>
        <v>155358.78080399998</v>
      </c>
      <c r="AY33" s="2">
        <f t="shared" si="112"/>
        <v>158465.95642007992</v>
      </c>
      <c r="AZ33" s="2">
        <f t="shared" si="112"/>
        <v>161635.2755484815</v>
      </c>
    </row>
    <row r="34" spans="1:443" x14ac:dyDescent="0.25">
      <c r="B34" s="21" t="s">
        <v>24</v>
      </c>
      <c r="C34" s="2">
        <v>24617</v>
      </c>
      <c r="D34" s="2">
        <v>25865</v>
      </c>
      <c r="E34" s="2">
        <v>26868</v>
      </c>
      <c r="F34" s="2">
        <v>29160</v>
      </c>
      <c r="G34" s="2">
        <v>25829</v>
      </c>
      <c r="H34" s="2">
        <v>26707</v>
      </c>
      <c r="I34" s="2">
        <v>26792</v>
      </c>
      <c r="J34" s="2">
        <v>27819</v>
      </c>
      <c r="K34" s="2">
        <v>25946</v>
      </c>
      <c r="L34" s="2">
        <v>26871</v>
      </c>
      <c r="M34" s="2">
        <v>27373</v>
      </c>
      <c r="N34" s="2">
        <v>28601</v>
      </c>
      <c r="O34" s="2">
        <v>27372</v>
      </c>
      <c r="P34" s="2">
        <v>28994</v>
      </c>
      <c r="Q34" s="2">
        <v>28591</v>
      </c>
      <c r="R34" s="2">
        <v>31331</v>
      </c>
      <c r="S34" s="2">
        <v>28129</v>
      </c>
      <c r="T34" s="2">
        <v>28511</v>
      </c>
      <c r="U34" s="2">
        <v>29710</v>
      </c>
      <c r="V34" s="2">
        <v>31462</v>
      </c>
      <c r="W34" s="2">
        <v>29404</v>
      </c>
      <c r="X34" s="2">
        <v>30167</v>
      </c>
      <c r="Y34" s="2">
        <v>34505</v>
      </c>
      <c r="Z34" s="2">
        <v>33064</v>
      </c>
      <c r="AA34" s="2">
        <v>30777</v>
      </c>
      <c r="AB34" s="2">
        <v>32466</v>
      </c>
      <c r="AC34" s="2">
        <v>33419</v>
      </c>
      <c r="AD34" s="2">
        <v>34309</v>
      </c>
      <c r="AE34" s="2">
        <f>AA34*1.078</f>
        <v>33177.606</v>
      </c>
      <c r="AF34" s="2">
        <f t="shared" ref="AF34:AH34" si="113">AB34*1.03</f>
        <v>33439.980000000003</v>
      </c>
      <c r="AG34" s="2">
        <f t="shared" si="113"/>
        <v>34421.57</v>
      </c>
      <c r="AH34" s="2">
        <f t="shared" si="113"/>
        <v>35338.270000000004</v>
      </c>
      <c r="AO34" s="2">
        <f>SUM(C34:F34)</f>
        <v>106510</v>
      </c>
      <c r="AP34" s="2">
        <f>SUM(G34:J34)</f>
        <v>107147</v>
      </c>
      <c r="AQ34" s="2">
        <f>SUM(K34:N34)</f>
        <v>108791</v>
      </c>
      <c r="AR34" s="2">
        <f>SUM(O34:R34)</f>
        <v>116288</v>
      </c>
      <c r="AS34" s="2">
        <f>SUM(S34:V34)</f>
        <v>117812</v>
      </c>
      <c r="AT34" s="2">
        <f>SUM(W34:Z34)</f>
        <v>127140</v>
      </c>
      <c r="AU34" s="15">
        <f>SUM(AA34:AD34)</f>
        <v>130971</v>
      </c>
      <c r="AV34" s="15">
        <f t="shared" si="105"/>
        <v>136377.42600000004</v>
      </c>
      <c r="AW34" s="2">
        <f t="shared" ref="AW34" si="114">AV34*1.01</f>
        <v>137741.20026000004</v>
      </c>
      <c r="AX34" s="2">
        <f t="shared" ref="AX34" si="115">AW34*1.01</f>
        <v>139118.61226260004</v>
      </c>
      <c r="AY34" s="2">
        <f t="shared" ref="AY34" si="116">AX34*1.01</f>
        <v>140509.79838522605</v>
      </c>
      <c r="AZ34" s="2">
        <f t="shared" ref="AZ34" si="117">AY34*1.01</f>
        <v>141914.89636907831</v>
      </c>
    </row>
    <row r="35" spans="1:443" s="7" customFormat="1" x14ac:dyDescent="0.25">
      <c r="A35" s="3"/>
      <c r="B35" s="22" t="s">
        <v>25</v>
      </c>
      <c r="C35" s="7">
        <f t="shared" ref="C35:P35" si="118">C34</f>
        <v>24617</v>
      </c>
      <c r="D35" s="7">
        <f t="shared" si="118"/>
        <v>25865</v>
      </c>
      <c r="E35" s="7">
        <f t="shared" si="118"/>
        <v>26868</v>
      </c>
      <c r="F35" s="7">
        <f t="shared" si="118"/>
        <v>29160</v>
      </c>
      <c r="G35" s="7">
        <f t="shared" si="118"/>
        <v>25829</v>
      </c>
      <c r="H35" s="7">
        <f t="shared" si="118"/>
        <v>26707</v>
      </c>
      <c r="I35" s="7">
        <f t="shared" si="118"/>
        <v>26792</v>
      </c>
      <c r="J35" s="7">
        <f t="shared" si="118"/>
        <v>27819</v>
      </c>
      <c r="K35" s="7">
        <f t="shared" si="118"/>
        <v>25946</v>
      </c>
      <c r="L35" s="7">
        <f t="shared" si="118"/>
        <v>26871</v>
      </c>
      <c r="M35" s="7">
        <f t="shared" si="118"/>
        <v>27373</v>
      </c>
      <c r="N35" s="7">
        <f t="shared" si="118"/>
        <v>28601</v>
      </c>
      <c r="O35" s="7">
        <f t="shared" si="118"/>
        <v>27372</v>
      </c>
      <c r="P35" s="7">
        <f t="shared" si="118"/>
        <v>28994</v>
      </c>
      <c r="Q35" s="7">
        <f>+Q34</f>
        <v>28591</v>
      </c>
      <c r="R35" s="7">
        <f t="shared" ref="R35:V35" si="119">+R34</f>
        <v>31331</v>
      </c>
      <c r="S35" s="7">
        <f t="shared" si="119"/>
        <v>28129</v>
      </c>
      <c r="T35" s="7">
        <f t="shared" si="119"/>
        <v>28511</v>
      </c>
      <c r="U35" s="7">
        <f t="shared" si="119"/>
        <v>29710</v>
      </c>
      <c r="V35" s="7">
        <f t="shared" si="119"/>
        <v>31462</v>
      </c>
      <c r="W35" s="7">
        <f t="shared" ref="W35" si="120">+W34</f>
        <v>29404</v>
      </c>
      <c r="X35" s="7">
        <f t="shared" ref="X35:AA35" si="121">+X34</f>
        <v>30167</v>
      </c>
      <c r="Y35" s="7">
        <f t="shared" si="121"/>
        <v>34505</v>
      </c>
      <c r="Z35" s="7">
        <f t="shared" si="121"/>
        <v>33064</v>
      </c>
      <c r="AA35" s="7">
        <f t="shared" si="121"/>
        <v>30777</v>
      </c>
      <c r="AB35" s="7">
        <f t="shared" ref="AB35:AD35" si="122">+AB34</f>
        <v>32466</v>
      </c>
      <c r="AC35" s="7">
        <f t="shared" si="122"/>
        <v>33419</v>
      </c>
      <c r="AD35" s="7">
        <f t="shared" si="122"/>
        <v>34309</v>
      </c>
      <c r="AE35" s="7">
        <f t="shared" ref="AE35:AH35" si="123">+AE34</f>
        <v>33177.606</v>
      </c>
      <c r="AF35" s="7">
        <f t="shared" si="123"/>
        <v>33439.980000000003</v>
      </c>
      <c r="AG35" s="7">
        <f t="shared" si="123"/>
        <v>34421.57</v>
      </c>
      <c r="AH35" s="7">
        <f t="shared" si="123"/>
        <v>35338.270000000004</v>
      </c>
      <c r="AO35" s="7">
        <f t="shared" ref="AO35:AZ35" si="124">+AO34</f>
        <v>106510</v>
      </c>
      <c r="AP35" s="7">
        <f t="shared" si="124"/>
        <v>107147</v>
      </c>
      <c r="AQ35" s="7">
        <f t="shared" si="124"/>
        <v>108791</v>
      </c>
      <c r="AR35" s="7">
        <f t="shared" si="124"/>
        <v>116288</v>
      </c>
      <c r="AS35" s="7">
        <f t="shared" si="124"/>
        <v>117812</v>
      </c>
      <c r="AT35" s="7">
        <f t="shared" si="124"/>
        <v>127140</v>
      </c>
      <c r="AU35" s="7">
        <f t="shared" si="124"/>
        <v>130971</v>
      </c>
      <c r="AV35" s="7">
        <f t="shared" si="124"/>
        <v>136377.42600000004</v>
      </c>
      <c r="AW35" s="7">
        <f t="shared" si="124"/>
        <v>137741.20026000004</v>
      </c>
      <c r="AX35" s="7">
        <f t="shared" si="124"/>
        <v>139118.61226260004</v>
      </c>
      <c r="AY35" s="7">
        <f t="shared" si="124"/>
        <v>140509.79838522605</v>
      </c>
      <c r="AZ35" s="7">
        <f t="shared" si="124"/>
        <v>141914.89636907831</v>
      </c>
    </row>
    <row r="36" spans="1:443" s="7" customFormat="1" x14ac:dyDescent="0.25">
      <c r="A36" s="3"/>
      <c r="B36" s="22" t="s">
        <v>26</v>
      </c>
      <c r="C36" s="7">
        <f t="shared" ref="C36:V36" si="125">+C33-C35</f>
        <v>5237</v>
      </c>
      <c r="D36" s="7">
        <f t="shared" si="125"/>
        <v>5969</v>
      </c>
      <c r="E36" s="7">
        <f t="shared" si="125"/>
        <v>4764</v>
      </c>
      <c r="F36" s="7">
        <f t="shared" si="125"/>
        <v>4467</v>
      </c>
      <c r="G36" s="7">
        <f t="shared" si="125"/>
        <v>5154</v>
      </c>
      <c r="H36" s="7">
        <f t="shared" si="125"/>
        <v>5750</v>
      </c>
      <c r="I36" s="7">
        <f t="shared" si="125"/>
        <v>4986</v>
      </c>
      <c r="J36" s="7">
        <f t="shared" si="125"/>
        <v>6067</v>
      </c>
      <c r="K36" s="7">
        <f t="shared" si="125"/>
        <v>4945</v>
      </c>
      <c r="L36" s="7">
        <f t="shared" si="125"/>
        <v>5583</v>
      </c>
      <c r="M36" s="7">
        <f t="shared" si="125"/>
        <v>4718</v>
      </c>
      <c r="N36" s="7">
        <f t="shared" si="125"/>
        <v>5322</v>
      </c>
      <c r="O36" s="7">
        <f t="shared" si="125"/>
        <v>5224</v>
      </c>
      <c r="P36" s="7">
        <f t="shared" si="125"/>
        <v>6059</v>
      </c>
      <c r="Q36" s="7">
        <f t="shared" si="125"/>
        <v>5778</v>
      </c>
      <c r="R36" s="7">
        <f t="shared" si="125"/>
        <v>5487</v>
      </c>
      <c r="S36" s="7">
        <f t="shared" si="125"/>
        <v>6909</v>
      </c>
      <c r="T36" s="7">
        <f t="shared" si="125"/>
        <v>7354</v>
      </c>
      <c r="U36" s="7">
        <f t="shared" si="125"/>
        <v>5792</v>
      </c>
      <c r="V36" s="7">
        <f t="shared" si="125"/>
        <v>5887</v>
      </c>
      <c r="W36" s="7">
        <f t="shared" ref="W36:AA36" si="126">+W33-W35</f>
        <v>5318</v>
      </c>
      <c r="X36" s="7">
        <f t="shared" si="126"/>
        <v>6854</v>
      </c>
      <c r="Y36" s="7">
        <f t="shared" si="126"/>
        <v>2695</v>
      </c>
      <c r="Z36" s="7">
        <f t="shared" si="126"/>
        <v>5561</v>
      </c>
      <c r="AA36" s="7">
        <f t="shared" si="126"/>
        <v>6240</v>
      </c>
      <c r="AB36" s="7">
        <f t="shared" ref="AB36:AD36" si="127">+AB33-AB35</f>
        <v>7316</v>
      </c>
      <c r="AC36" s="7">
        <f t="shared" si="127"/>
        <v>6202</v>
      </c>
      <c r="AD36" s="7">
        <f t="shared" si="127"/>
        <v>7254</v>
      </c>
      <c r="AE36" s="7">
        <f t="shared" ref="AE36:AH36" si="128">+AE33-AE35</f>
        <v>6428.1440000000148</v>
      </c>
      <c r="AF36" s="7">
        <f t="shared" si="128"/>
        <v>9057.6400000000212</v>
      </c>
      <c r="AG36" s="7">
        <f t="shared" si="128"/>
        <v>7936.9399999999951</v>
      </c>
      <c r="AH36" s="7">
        <f t="shared" si="128"/>
        <v>9333.3900000000285</v>
      </c>
      <c r="AO36" s="7">
        <f t="shared" ref="AO36:AZ36" si="129">+AO33-AO35</f>
        <v>20437</v>
      </c>
      <c r="AP36" s="7">
        <f t="shared" si="129"/>
        <v>21957</v>
      </c>
      <c r="AQ36" s="7">
        <f t="shared" si="129"/>
        <v>110296</v>
      </c>
      <c r="AR36" s="7">
        <f t="shared" si="129"/>
        <v>22548</v>
      </c>
      <c r="AS36" s="7">
        <f t="shared" si="129"/>
        <v>25942</v>
      </c>
      <c r="AT36" s="7">
        <f t="shared" si="129"/>
        <v>20428</v>
      </c>
      <c r="AU36" s="7">
        <f t="shared" si="129"/>
        <v>27012</v>
      </c>
      <c r="AV36" s="7">
        <f t="shared" si="129"/>
        <v>12948.583999999973</v>
      </c>
      <c r="AW36" s="7">
        <f t="shared" si="129"/>
        <v>14571.329939999938</v>
      </c>
      <c r="AX36" s="7">
        <f t="shared" si="129"/>
        <v>16240.168541399937</v>
      </c>
      <c r="AY36" s="7">
        <f t="shared" si="129"/>
        <v>17956.15803485387</v>
      </c>
      <c r="AZ36" s="7">
        <f t="shared" si="129"/>
        <v>19720.379179403186</v>
      </c>
    </row>
    <row r="37" spans="1:443" x14ac:dyDescent="0.25">
      <c r="B37" s="23" t="s">
        <v>75</v>
      </c>
      <c r="C37" s="2">
        <f>506</f>
        <v>506</v>
      </c>
      <c r="D37" s="2">
        <f>522</f>
        <v>522</v>
      </c>
      <c r="E37" s="2">
        <f>502</f>
        <v>502</v>
      </c>
      <c r="F37" s="2">
        <f>448</f>
        <v>448</v>
      </c>
      <c r="G37" s="2">
        <f>437</f>
        <v>437</v>
      </c>
      <c r="H37" s="2">
        <f>460</f>
        <v>460</v>
      </c>
      <c r="I37" s="2">
        <f>501</f>
        <v>501</v>
      </c>
      <c r="J37" s="2">
        <f>577</f>
        <v>577</v>
      </c>
      <c r="K37" s="2">
        <f>588</f>
        <v>588</v>
      </c>
      <c r="L37" s="2">
        <f>558</f>
        <v>558</v>
      </c>
      <c r="M37" s="2">
        <f>547</f>
        <v>547</v>
      </c>
      <c r="N37" s="2">
        <f>569</f>
        <v>569</v>
      </c>
      <c r="O37" s="2">
        <f>510</f>
        <v>510</v>
      </c>
      <c r="P37" s="2">
        <f>577</f>
        <v>577</v>
      </c>
      <c r="Q37" s="2">
        <f>455</f>
        <v>455</v>
      </c>
      <c r="R37" s="2">
        <f>434</f>
        <v>434</v>
      </c>
      <c r="S37" s="2">
        <f>481</f>
        <v>481</v>
      </c>
      <c r="T37" s="2">
        <f>437</f>
        <v>437</v>
      </c>
      <c r="U37" s="2">
        <f>408</f>
        <v>408</v>
      </c>
      <c r="V37" s="2">
        <f>348</f>
        <v>348</v>
      </c>
      <c r="W37" s="2">
        <v>372</v>
      </c>
      <c r="X37" s="2">
        <v>395</v>
      </c>
      <c r="Y37" s="2">
        <v>499</v>
      </c>
      <c r="Z37" s="2">
        <v>521</v>
      </c>
      <c r="AA37" s="2">
        <v>568</v>
      </c>
      <c r="AB37" s="2">
        <v>543</v>
      </c>
      <c r="AC37" s="2">
        <v>572</v>
      </c>
      <c r="AD37" s="2">
        <v>576</v>
      </c>
      <c r="AE37" s="2">
        <f>AA37*1.01</f>
        <v>573.67999999999995</v>
      </c>
      <c r="AF37" s="2">
        <f t="shared" ref="AF37:AF39" si="130">AB37*1.01</f>
        <v>548.42999999999995</v>
      </c>
      <c r="AG37" s="2">
        <f t="shared" ref="AG37:AG39" si="131">AC37*1.01</f>
        <v>577.72</v>
      </c>
      <c r="AH37" s="2">
        <f t="shared" ref="AH37:AH39" si="132">AD37*1.01</f>
        <v>581.76</v>
      </c>
      <c r="AO37" s="2">
        <f>SUM(C37:F37)</f>
        <v>1978</v>
      </c>
      <c r="AP37" s="2">
        <f>SUM(G37:J37)</f>
        <v>1975</v>
      </c>
      <c r="AQ37" s="2">
        <f>SUM(K37:N37)</f>
        <v>2262</v>
      </c>
      <c r="AR37" s="2">
        <f>SUM(O37:R37)</f>
        <v>1976</v>
      </c>
      <c r="AS37" s="2">
        <f>SUM(S37:V37)</f>
        <v>1674</v>
      </c>
      <c r="AT37" s="2">
        <f>SUM(W37:Z37)</f>
        <v>1787</v>
      </c>
      <c r="AU37" s="15">
        <f>SUM(AA37:AD37)</f>
        <v>2259</v>
      </c>
      <c r="AV37" s="15">
        <f t="shared" ref="AV37:AV40" si="133">SUM(AE37:AH37)</f>
        <v>2281.59</v>
      </c>
      <c r="AW37" s="2">
        <f t="shared" ref="AW37" si="134">AV37*1.01</f>
        <v>2304.4059000000002</v>
      </c>
      <c r="AX37" s="2">
        <f t="shared" ref="AX37:AX40" si="135">AW37*1.01</f>
        <v>2327.449959</v>
      </c>
      <c r="AY37" s="2">
        <f t="shared" ref="AY37:AY40" si="136">AX37*1.01</f>
        <v>2350.7244585900003</v>
      </c>
      <c r="AZ37" s="2">
        <f t="shared" ref="AZ37:AZ40" si="137">AY37*1.01</f>
        <v>2374.2317031759003</v>
      </c>
    </row>
    <row r="38" spans="1:443" x14ac:dyDescent="0.25">
      <c r="B38" s="23" t="s">
        <v>76</v>
      </c>
      <c r="C38" s="2">
        <v>92</v>
      </c>
      <c r="D38" s="2">
        <v>91</v>
      </c>
      <c r="E38" s="2">
        <v>81</v>
      </c>
      <c r="F38" s="2">
        <v>88</v>
      </c>
      <c r="G38" s="2">
        <v>93</v>
      </c>
      <c r="H38" s="2">
        <v>94</v>
      </c>
      <c r="I38" s="2">
        <v>92</v>
      </c>
      <c r="J38" s="2">
        <v>92</v>
      </c>
      <c r="K38" s="2">
        <v>85</v>
      </c>
      <c r="L38" s="2">
        <v>83</v>
      </c>
      <c r="M38" s="2">
        <v>86</v>
      </c>
      <c r="N38" s="2">
        <v>83</v>
      </c>
      <c r="O38" s="2">
        <v>82</v>
      </c>
      <c r="P38" s="2">
        <v>81</v>
      </c>
      <c r="Q38" s="2">
        <v>86</v>
      </c>
      <c r="R38" s="2">
        <v>90</v>
      </c>
      <c r="S38" s="2">
        <v>85</v>
      </c>
      <c r="T38" s="2">
        <v>78</v>
      </c>
      <c r="U38" s="2">
        <v>78</v>
      </c>
      <c r="V38" s="2">
        <v>79</v>
      </c>
      <c r="W38" s="2">
        <v>83</v>
      </c>
      <c r="X38" s="2">
        <v>84</v>
      </c>
      <c r="Y38" s="2">
        <v>85</v>
      </c>
      <c r="Z38" s="2">
        <v>89</v>
      </c>
      <c r="AA38" s="2">
        <v>96</v>
      </c>
      <c r="AB38" s="2">
        <v>99</v>
      </c>
      <c r="AC38" s="2">
        <v>110</v>
      </c>
      <c r="AD38" s="2">
        <v>119</v>
      </c>
      <c r="AE38" s="2">
        <f t="shared" ref="AE38" si="138">AA38*1.01</f>
        <v>96.960000000000008</v>
      </c>
      <c r="AF38" s="2">
        <f t="shared" si="130"/>
        <v>99.99</v>
      </c>
      <c r="AG38" s="2">
        <f t="shared" si="131"/>
        <v>111.1</v>
      </c>
      <c r="AH38" s="2">
        <f t="shared" si="132"/>
        <v>120.19</v>
      </c>
      <c r="AO38" s="2">
        <f>SUM(C38:F38)</f>
        <v>352</v>
      </c>
      <c r="AP38" s="2">
        <f>SUM(G38:J38)</f>
        <v>371</v>
      </c>
      <c r="AQ38" s="2">
        <f>SUM(K38:N38)</f>
        <v>337</v>
      </c>
      <c r="AR38" s="2">
        <f>SUM(O38:R38)</f>
        <v>339</v>
      </c>
      <c r="AS38" s="2">
        <f>SUM(S38:V38)</f>
        <v>320</v>
      </c>
      <c r="AT38" s="2">
        <f>SUM(W38:Z38)</f>
        <v>341</v>
      </c>
      <c r="AU38" s="15">
        <f>SUM(AA38:AD38)</f>
        <v>424</v>
      </c>
      <c r="AV38" s="15">
        <f t="shared" si="133"/>
        <v>428.23999999999995</v>
      </c>
      <c r="AW38" s="2">
        <f t="shared" ref="AW38:AW40" si="139">AV38*1.01</f>
        <v>432.52239999999995</v>
      </c>
      <c r="AX38" s="2">
        <f t="shared" si="135"/>
        <v>436.84762399999994</v>
      </c>
      <c r="AY38" s="2">
        <f t="shared" si="136"/>
        <v>441.21610023999995</v>
      </c>
      <c r="AZ38" s="2">
        <f t="shared" si="137"/>
        <v>445.62826124239996</v>
      </c>
    </row>
    <row r="39" spans="1:443" x14ac:dyDescent="0.25">
      <c r="B39" s="23" t="s">
        <v>74</v>
      </c>
      <c r="C39" s="2">
        <v>-35</v>
      </c>
      <c r="D39" s="2">
        <v>-38</v>
      </c>
      <c r="E39" s="2">
        <v>-42</v>
      </c>
      <c r="F39" s="2">
        <v>-37</v>
      </c>
      <c r="G39" s="2">
        <v>-43</v>
      </c>
      <c r="H39" s="2">
        <v>-51</v>
      </c>
      <c r="I39" s="2">
        <v>-59</v>
      </c>
      <c r="J39" s="2">
        <v>-64</v>
      </c>
      <c r="K39" s="2">
        <v>-48</v>
      </c>
      <c r="L39" s="2">
        <v>-56</v>
      </c>
      <c r="M39" s="2">
        <v>-44</v>
      </c>
      <c r="N39" s="2">
        <v>-41</v>
      </c>
      <c r="O39" s="2">
        <v>-43</v>
      </c>
      <c r="P39" s="2">
        <v>-23</v>
      </c>
      <c r="Q39" s="2">
        <v>-25</v>
      </c>
      <c r="R39" s="2">
        <v>-30</v>
      </c>
      <c r="S39" s="2">
        <v>-30</v>
      </c>
      <c r="T39" s="2">
        <v>-37</v>
      </c>
      <c r="U39" s="2">
        <v>-44</v>
      </c>
      <c r="V39" s="2">
        <v>-47</v>
      </c>
      <c r="W39" s="2">
        <v>-36</v>
      </c>
      <c r="X39" s="2">
        <v>-31</v>
      </c>
      <c r="Y39" s="2">
        <v>-84</v>
      </c>
      <c r="Z39" s="2">
        <v>-103</v>
      </c>
      <c r="AA39" s="2">
        <v>-107</v>
      </c>
      <c r="AB39" s="2">
        <v>-148</v>
      </c>
      <c r="AC39" s="2">
        <v>-145</v>
      </c>
      <c r="AD39" s="2">
        <v>-146</v>
      </c>
      <c r="AE39" s="2">
        <f>AA39*1.05</f>
        <v>-112.35000000000001</v>
      </c>
      <c r="AF39" s="2">
        <f t="shared" si="130"/>
        <v>-149.47999999999999</v>
      </c>
      <c r="AG39" s="2">
        <f t="shared" si="131"/>
        <v>-146.44999999999999</v>
      </c>
      <c r="AH39" s="2">
        <f t="shared" si="132"/>
        <v>-147.46</v>
      </c>
      <c r="AO39" s="2">
        <f>SUM(C39:F39)</f>
        <v>-152</v>
      </c>
      <c r="AP39" s="2">
        <f>SUM(G39:J39)</f>
        <v>-217</v>
      </c>
      <c r="AQ39" s="2">
        <f>SUM(K39:N39)</f>
        <v>-189</v>
      </c>
      <c r="AR39" s="2">
        <f>SUM(O39:R39)</f>
        <v>-121</v>
      </c>
      <c r="AS39" s="2">
        <f>SUM(S39:V39)</f>
        <v>-158</v>
      </c>
      <c r="AT39" s="2">
        <f>SUM(W39:Z39)</f>
        <v>-254</v>
      </c>
      <c r="AU39" s="15">
        <f>SUM(AA39:AD39)</f>
        <v>-546</v>
      </c>
      <c r="AV39" s="15">
        <f t="shared" si="133"/>
        <v>-555.74</v>
      </c>
      <c r="AW39" s="2">
        <f t="shared" si="139"/>
        <v>-561.29740000000004</v>
      </c>
      <c r="AX39" s="2">
        <f t="shared" si="135"/>
        <v>-566.91037400000005</v>
      </c>
      <c r="AY39" s="2">
        <f t="shared" si="136"/>
        <v>-572.57947774000002</v>
      </c>
      <c r="AZ39" s="2">
        <f t="shared" si="137"/>
        <v>-578.3052725174</v>
      </c>
    </row>
    <row r="40" spans="1:443" x14ac:dyDescent="0.25">
      <c r="B40" s="23" t="s">
        <v>77</v>
      </c>
      <c r="C40" s="2">
        <v>0</v>
      </c>
      <c r="D40" s="2">
        <v>788</v>
      </c>
      <c r="E40" s="2">
        <v>1344</v>
      </c>
      <c r="F40" s="2">
        <v>1004</v>
      </c>
      <c r="G40" s="2">
        <v>1845</v>
      </c>
      <c r="H40" s="2">
        <v>4849</v>
      </c>
      <c r="I40" s="2">
        <v>1876</v>
      </c>
      <c r="J40" s="2">
        <v>-202</v>
      </c>
      <c r="K40" s="2">
        <v>-837</v>
      </c>
      <c r="L40" s="2">
        <v>85</v>
      </c>
      <c r="M40" s="2">
        <v>-244</v>
      </c>
      <c r="N40" s="2">
        <v>-962</v>
      </c>
      <c r="O40" s="2">
        <v>-721</v>
      </c>
      <c r="P40" s="2">
        <v>-3222</v>
      </c>
      <c r="Q40" s="2">
        <v>-1853</v>
      </c>
      <c r="R40" s="2">
        <v>5586</v>
      </c>
      <c r="S40" s="2">
        <v>2529</v>
      </c>
      <c r="T40" s="2">
        <v>953</v>
      </c>
      <c r="U40" s="2">
        <v>-1207</v>
      </c>
      <c r="V40" s="2">
        <v>725</v>
      </c>
      <c r="W40" s="2">
        <v>1998</v>
      </c>
      <c r="X40" s="2">
        <v>-238</v>
      </c>
      <c r="Y40" s="2">
        <v>3626</v>
      </c>
      <c r="Z40" s="2">
        <v>-3848</v>
      </c>
      <c r="AA40" s="2">
        <v>2995</v>
      </c>
      <c r="AB40" s="2">
        <v>-3905</v>
      </c>
      <c r="AC40" s="2">
        <v>4750</v>
      </c>
      <c r="AD40" s="2">
        <v>-813</v>
      </c>
      <c r="AE40" s="2">
        <f>AA40*-0.01</f>
        <v>-29.95</v>
      </c>
      <c r="AF40" s="2">
        <f t="shared" ref="AF40:AH40" si="140">AB40*-0.01</f>
        <v>39.050000000000004</v>
      </c>
      <c r="AG40" s="2">
        <f t="shared" si="140"/>
        <v>-47.5</v>
      </c>
      <c r="AH40" s="2">
        <f t="shared" si="140"/>
        <v>8.1300000000000008</v>
      </c>
      <c r="AO40" s="2">
        <f>SUM(C40:F40)</f>
        <v>3136</v>
      </c>
      <c r="AP40" s="2">
        <f>SUM(G40:J40)</f>
        <v>8368</v>
      </c>
      <c r="AQ40" s="2">
        <f>SUM(K40:N40)</f>
        <v>-1958</v>
      </c>
      <c r="AR40" s="2">
        <f>SUM(O40:R40)</f>
        <v>-210</v>
      </c>
      <c r="AS40" s="2">
        <f>SUM(S40:V40)</f>
        <v>3000</v>
      </c>
      <c r="AT40" s="2">
        <f>SUM(W40:Z40)</f>
        <v>1538</v>
      </c>
      <c r="AU40" s="15">
        <f>SUM(AA40:AD40)</f>
        <v>3027</v>
      </c>
      <c r="AV40" s="15">
        <f t="shared" si="133"/>
        <v>-30.269999999999989</v>
      </c>
      <c r="AW40" s="2">
        <f t="shared" si="139"/>
        <v>-30.57269999999999</v>
      </c>
      <c r="AX40" s="2">
        <f t="shared" si="135"/>
        <v>-30.878426999999991</v>
      </c>
      <c r="AY40" s="2">
        <f t="shared" si="136"/>
        <v>-31.187211269999992</v>
      </c>
      <c r="AZ40" s="2">
        <f t="shared" si="137"/>
        <v>-31.499083382699993</v>
      </c>
    </row>
    <row r="41" spans="1:443" x14ac:dyDescent="0.25">
      <c r="B41" s="21" t="s">
        <v>27</v>
      </c>
      <c r="C41" s="2">
        <f>C36-C37-C38-C39-C40</f>
        <v>4674</v>
      </c>
      <c r="D41" s="2">
        <f t="shared" ref="D41:AD41" si="141">D36-D37-D38-D39-D40</f>
        <v>4606</v>
      </c>
      <c r="E41" s="2">
        <f t="shared" si="141"/>
        <v>2879</v>
      </c>
      <c r="F41" s="2">
        <f t="shared" si="141"/>
        <v>2964</v>
      </c>
      <c r="G41" s="2">
        <f t="shared" si="141"/>
        <v>2822</v>
      </c>
      <c r="H41" s="2">
        <f t="shared" si="141"/>
        <v>398</v>
      </c>
      <c r="I41" s="2">
        <f t="shared" si="141"/>
        <v>2576</v>
      </c>
      <c r="J41" s="2">
        <f t="shared" si="141"/>
        <v>5664</v>
      </c>
      <c r="K41" s="2">
        <f t="shared" si="141"/>
        <v>5157</v>
      </c>
      <c r="L41" s="2">
        <f t="shared" si="141"/>
        <v>4913</v>
      </c>
      <c r="M41" s="2">
        <f t="shared" si="141"/>
        <v>4373</v>
      </c>
      <c r="N41" s="2">
        <f t="shared" si="141"/>
        <v>5673</v>
      </c>
      <c r="O41" s="2">
        <f t="shared" si="141"/>
        <v>5396</v>
      </c>
      <c r="P41" s="2">
        <f t="shared" si="141"/>
        <v>8646</v>
      </c>
      <c r="Q41" s="2">
        <f t="shared" si="141"/>
        <v>7115</v>
      </c>
      <c r="R41" s="2">
        <f t="shared" si="141"/>
        <v>-593</v>
      </c>
      <c r="S41" s="2">
        <f t="shared" si="141"/>
        <v>3844</v>
      </c>
      <c r="T41" s="2">
        <f t="shared" si="141"/>
        <v>5923</v>
      </c>
      <c r="U41" s="2">
        <f t="shared" si="141"/>
        <v>6557</v>
      </c>
      <c r="V41" s="2">
        <f t="shared" si="141"/>
        <v>4782</v>
      </c>
      <c r="W41" s="2">
        <f t="shared" si="141"/>
        <v>2901</v>
      </c>
      <c r="X41" s="2">
        <f t="shared" si="141"/>
        <v>6644</v>
      </c>
      <c r="Y41" s="2">
        <f t="shared" si="141"/>
        <v>-1431</v>
      </c>
      <c r="Z41" s="2">
        <f t="shared" si="141"/>
        <v>8902</v>
      </c>
      <c r="AA41" s="2">
        <f t="shared" si="141"/>
        <v>2688</v>
      </c>
      <c r="AB41" s="2">
        <f t="shared" si="141"/>
        <v>10727</v>
      </c>
      <c r="AC41" s="2">
        <f t="shared" si="141"/>
        <v>915</v>
      </c>
      <c r="AD41" s="2">
        <f t="shared" si="141"/>
        <v>7518</v>
      </c>
      <c r="AE41" s="2">
        <f>AE36-AE37-AE38-AE39-AE40</f>
        <v>5899.8040000000146</v>
      </c>
      <c r="AF41" s="2">
        <f t="shared" ref="AF41" si="142">AF36-AF37-AF38-AF39-AF40</f>
        <v>8519.6500000000215</v>
      </c>
      <c r="AG41" s="2">
        <f t="shared" ref="AG41" si="143">AG36-AG37-AG38-AG39-AG40</f>
        <v>7442.0699999999943</v>
      </c>
      <c r="AH41" s="2">
        <f t="shared" ref="AH41" si="144">AH36-AH37-AH38-AH39-AH40</f>
        <v>8770.7700000000277</v>
      </c>
      <c r="AO41" s="2">
        <f t="shared" ref="AO41:AU41" si="145">AO36-AO37-AO38-AO39-AO40</f>
        <v>15123</v>
      </c>
      <c r="AP41" s="2">
        <f t="shared" si="145"/>
        <v>11460</v>
      </c>
      <c r="AQ41" s="2">
        <f t="shared" si="145"/>
        <v>109844</v>
      </c>
      <c r="AR41" s="2">
        <f t="shared" si="145"/>
        <v>20564</v>
      </c>
      <c r="AS41" s="2">
        <f t="shared" si="145"/>
        <v>21106</v>
      </c>
      <c r="AT41" s="2">
        <f t="shared" si="145"/>
        <v>17016</v>
      </c>
      <c r="AU41" s="2">
        <f t="shared" si="145"/>
        <v>21848</v>
      </c>
      <c r="AV41" s="2">
        <f t="shared" ref="AV41" si="146">AV36-AV37-AV38-AV39-AV40</f>
        <v>10824.763999999974</v>
      </c>
      <c r="AW41" s="2">
        <f t="shared" ref="AW41" si="147">AW36-AW37-AW38-AW39-AW40</f>
        <v>12426.271739999938</v>
      </c>
      <c r="AX41" s="2">
        <f t="shared" ref="AX41" si="148">AX36-AX37-AX38-AX39-AX40</f>
        <v>14073.659759399936</v>
      </c>
      <c r="AY41" s="2">
        <f t="shared" ref="AY41" si="149">AY36-AY37-AY38-AY39-AY40</f>
        <v>15767.984165033869</v>
      </c>
      <c r="AZ41" s="2">
        <f t="shared" ref="AZ41" si="150">AZ36-AZ37-AZ38-AZ39-AZ40</f>
        <v>17510.323570884982</v>
      </c>
    </row>
    <row r="42" spans="1:443" x14ac:dyDescent="0.25">
      <c r="B42" s="21" t="s">
        <v>28</v>
      </c>
      <c r="C42" s="2">
        <v>1522</v>
      </c>
      <c r="D42" s="2">
        <v>1502</v>
      </c>
      <c r="E42" s="2">
        <v>975</v>
      </c>
      <c r="F42" s="2">
        <v>601</v>
      </c>
      <c r="G42" s="2">
        <v>546</v>
      </c>
      <c r="H42" s="2">
        <v>1125</v>
      </c>
      <c r="I42" s="2">
        <v>759</v>
      </c>
      <c r="J42" s="2">
        <v>1851</v>
      </c>
      <c r="K42" s="2">
        <v>1251</v>
      </c>
      <c r="L42" s="2">
        <v>1233</v>
      </c>
      <c r="M42" s="2">
        <v>1052</v>
      </c>
      <c r="N42" s="2">
        <v>1379</v>
      </c>
      <c r="O42" s="2">
        <v>1322</v>
      </c>
      <c r="P42" s="2">
        <v>2207</v>
      </c>
      <c r="Q42" s="2">
        <v>1914</v>
      </c>
      <c r="R42" s="2">
        <v>1415</v>
      </c>
      <c r="S42" s="2">
        <v>1033</v>
      </c>
      <c r="T42" s="2">
        <v>1559</v>
      </c>
      <c r="U42" s="2">
        <v>1015</v>
      </c>
      <c r="V42" s="2">
        <v>1149</v>
      </c>
      <c r="W42" s="2">
        <v>798</v>
      </c>
      <c r="X42" s="2">
        <v>1497</v>
      </c>
      <c r="Y42" s="2">
        <v>336</v>
      </c>
      <c r="Z42" s="2">
        <v>3093</v>
      </c>
      <c r="AA42" s="2">
        <v>792</v>
      </c>
      <c r="AB42" s="2">
        <v>2674</v>
      </c>
      <c r="AC42" s="2">
        <v>272</v>
      </c>
      <c r="AD42" s="2">
        <v>1840</v>
      </c>
      <c r="AE42" s="2">
        <f>AE41*0.25</f>
        <v>1474.9510000000037</v>
      </c>
      <c r="AF42" s="2">
        <f t="shared" ref="AF42:AH42" si="151">AF41*0.25</f>
        <v>2129.9125000000054</v>
      </c>
      <c r="AG42" s="2">
        <f t="shared" si="151"/>
        <v>1860.5174999999986</v>
      </c>
      <c r="AH42" s="2">
        <f t="shared" si="151"/>
        <v>2192.6925000000069</v>
      </c>
      <c r="AO42" s="2">
        <f>SUM(C42:F42)</f>
        <v>4600</v>
      </c>
      <c r="AP42" s="2">
        <f>SUM(G42:J42)</f>
        <v>4281</v>
      </c>
      <c r="AQ42" s="2">
        <f>SUM(K42:N42)</f>
        <v>4915</v>
      </c>
      <c r="AR42" s="2">
        <f>SUM(O42:R42)</f>
        <v>6858</v>
      </c>
      <c r="AS42" s="2">
        <f>SUM(S42:V42)</f>
        <v>4756</v>
      </c>
      <c r="AT42" s="2">
        <f>SUM(W42:Z42)</f>
        <v>5724</v>
      </c>
      <c r="AU42" s="15">
        <f>SUM(AA42:AD42)</f>
        <v>5578</v>
      </c>
      <c r="AV42" s="15">
        <f t="shared" ref="AV42:AV43" si="152">SUM(AE42:AH42)</f>
        <v>7658.073500000015</v>
      </c>
      <c r="AW42" s="2">
        <f>AW41*0.25</f>
        <v>3106.5679349999846</v>
      </c>
      <c r="AX42" s="2">
        <f t="shared" ref="AX42:AZ42" si="153">AX41*0.25</f>
        <v>3518.414939849984</v>
      </c>
      <c r="AY42" s="2">
        <f t="shared" si="153"/>
        <v>3941.9960412584674</v>
      </c>
      <c r="AZ42" s="2">
        <f t="shared" si="153"/>
        <v>4377.5808927212456</v>
      </c>
    </row>
    <row r="43" spans="1:443" x14ac:dyDescent="0.25">
      <c r="B43" s="23" t="s">
        <v>44</v>
      </c>
      <c r="C43" s="2">
        <v>113</v>
      </c>
      <c r="D43" s="2">
        <v>205</v>
      </c>
      <c r="E43" s="2">
        <v>155</v>
      </c>
      <c r="F43" s="2">
        <v>188</v>
      </c>
      <c r="G43" s="2">
        <v>142</v>
      </c>
      <c r="H43" s="2">
        <v>134</v>
      </c>
      <c r="I43" s="2">
        <v>107</v>
      </c>
      <c r="J43" s="2">
        <v>126</v>
      </c>
      <c r="K43" s="2">
        <v>64</v>
      </c>
      <c r="L43" s="2">
        <v>70</v>
      </c>
      <c r="M43" s="2">
        <v>33</v>
      </c>
      <c r="N43" s="2">
        <v>153</v>
      </c>
      <c r="O43" s="2">
        <v>84</v>
      </c>
      <c r="P43" s="2">
        <v>-37</v>
      </c>
      <c r="Q43" s="2">
        <v>66</v>
      </c>
      <c r="R43" s="2">
        <v>83</v>
      </c>
      <c r="S43" s="2">
        <v>81</v>
      </c>
      <c r="T43" s="2">
        <v>88</v>
      </c>
      <c r="U43" s="2">
        <v>27</v>
      </c>
      <c r="V43" s="2">
        <v>71</v>
      </c>
      <c r="W43" s="2">
        <v>49</v>
      </c>
      <c r="X43" s="2">
        <v>-2</v>
      </c>
      <c r="Y43" s="2">
        <v>31</v>
      </c>
      <c r="Z43" s="2">
        <v>-466</v>
      </c>
      <c r="AA43" s="2">
        <v>223</v>
      </c>
      <c r="AB43" s="2">
        <v>162</v>
      </c>
      <c r="AC43" s="2">
        <v>190</v>
      </c>
      <c r="AD43" s="2">
        <v>184</v>
      </c>
      <c r="AE43" s="2">
        <f>AA43</f>
        <v>223</v>
      </c>
      <c r="AF43" s="2">
        <f t="shared" ref="AF43:AH43" si="154">AB43</f>
        <v>162</v>
      </c>
      <c r="AG43" s="2">
        <f t="shared" si="154"/>
        <v>190</v>
      </c>
      <c r="AH43" s="2">
        <f t="shared" si="154"/>
        <v>184</v>
      </c>
      <c r="AO43" s="2">
        <f>SUM(C43:F43)</f>
        <v>661</v>
      </c>
      <c r="AP43" s="2">
        <f>SUM(G43:J43)</f>
        <v>509</v>
      </c>
      <c r="AQ43" s="2">
        <f>SUM(K43:N43)</f>
        <v>320</v>
      </c>
      <c r="AR43" s="2">
        <f>SUM(O43:R43)</f>
        <v>196</v>
      </c>
      <c r="AS43" s="2">
        <f>SUM(S43:V43)</f>
        <v>267</v>
      </c>
      <c r="AT43" s="2">
        <f>SUM(W43:Z43)</f>
        <v>-388</v>
      </c>
      <c r="AU43" s="15">
        <f>SUM(AA43:AD43)</f>
        <v>759</v>
      </c>
      <c r="AV43" s="15">
        <f t="shared" si="152"/>
        <v>759</v>
      </c>
      <c r="AW43" s="2">
        <f>AV43*1.01</f>
        <v>766.59</v>
      </c>
      <c r="AX43" s="2">
        <f t="shared" ref="AX43:AZ43" si="155">AW43*1.01</f>
        <v>774.2559</v>
      </c>
      <c r="AY43" s="2">
        <f t="shared" si="155"/>
        <v>781.99845900000003</v>
      </c>
      <c r="AZ43" s="2">
        <f t="shared" si="155"/>
        <v>789.81844359000002</v>
      </c>
    </row>
    <row r="44" spans="1:443" s="7" customFormat="1" x14ac:dyDescent="0.25">
      <c r="A44" s="3"/>
      <c r="B44" s="22" t="s">
        <v>29</v>
      </c>
      <c r="C44" s="7">
        <f>+C41-C42-C43</f>
        <v>3039</v>
      </c>
      <c r="D44" s="7">
        <f t="shared" ref="D44:AB44" si="156">+D41-D42-D43</f>
        <v>2899</v>
      </c>
      <c r="E44" s="7">
        <f t="shared" si="156"/>
        <v>1749</v>
      </c>
      <c r="F44" s="7">
        <f t="shared" si="156"/>
        <v>2175</v>
      </c>
      <c r="G44" s="7">
        <f t="shared" si="156"/>
        <v>2134</v>
      </c>
      <c r="H44" s="7">
        <f t="shared" si="156"/>
        <v>-861</v>
      </c>
      <c r="I44" s="7">
        <f t="shared" si="156"/>
        <v>1710</v>
      </c>
      <c r="J44" s="7">
        <f t="shared" si="156"/>
        <v>3687</v>
      </c>
      <c r="K44" s="7">
        <f t="shared" si="156"/>
        <v>3842</v>
      </c>
      <c r="L44" s="7">
        <f t="shared" si="156"/>
        <v>3610</v>
      </c>
      <c r="M44" s="7">
        <f t="shared" si="156"/>
        <v>3288</v>
      </c>
      <c r="N44" s="7">
        <f t="shared" si="156"/>
        <v>4141</v>
      </c>
      <c r="O44" s="7">
        <f t="shared" si="156"/>
        <v>3990</v>
      </c>
      <c r="P44" s="7">
        <f t="shared" si="156"/>
        <v>6476</v>
      </c>
      <c r="Q44" s="7">
        <f t="shared" si="156"/>
        <v>5135</v>
      </c>
      <c r="R44" s="7">
        <f t="shared" si="156"/>
        <v>-2091</v>
      </c>
      <c r="S44" s="7">
        <f t="shared" si="156"/>
        <v>2730</v>
      </c>
      <c r="T44" s="7">
        <f t="shared" si="156"/>
        <v>4276</v>
      </c>
      <c r="U44" s="7">
        <f t="shared" si="156"/>
        <v>5515</v>
      </c>
      <c r="V44" s="7">
        <f t="shared" si="156"/>
        <v>3562</v>
      </c>
      <c r="W44" s="7">
        <f t="shared" si="156"/>
        <v>2054</v>
      </c>
      <c r="X44" s="7">
        <f>+X41-X42-X43</f>
        <v>5149</v>
      </c>
      <c r="Y44" s="7">
        <f t="shared" si="156"/>
        <v>-1798</v>
      </c>
      <c r="Z44" s="7">
        <f t="shared" si="156"/>
        <v>6275</v>
      </c>
      <c r="AA44" s="7">
        <f t="shared" si="156"/>
        <v>1673</v>
      </c>
      <c r="AB44" s="7">
        <f t="shared" si="156"/>
        <v>7891</v>
      </c>
      <c r="AC44" s="7">
        <f t="shared" ref="AC44:AH44" si="157">+AC41-AC42-AC43</f>
        <v>453</v>
      </c>
      <c r="AD44" s="7">
        <f t="shared" si="157"/>
        <v>5494</v>
      </c>
      <c r="AE44" s="7">
        <f t="shared" si="157"/>
        <v>4201.853000000011</v>
      </c>
      <c r="AF44" s="7">
        <f t="shared" si="157"/>
        <v>6227.7375000000156</v>
      </c>
      <c r="AG44" s="7">
        <f t="shared" si="157"/>
        <v>5391.5524999999961</v>
      </c>
      <c r="AH44" s="7">
        <f t="shared" si="157"/>
        <v>6394.0775000000212</v>
      </c>
      <c r="AO44" s="7">
        <f>+AO41-AO42-AO43</f>
        <v>9862</v>
      </c>
      <c r="AP44" s="7">
        <f>+AP41-AP42-AP43</f>
        <v>6670</v>
      </c>
      <c r="AQ44" s="7">
        <f>+AQ41-AQ42-AQ43</f>
        <v>104609</v>
      </c>
      <c r="AR44" s="7">
        <f>+AR41-AR42-AR43</f>
        <v>13510</v>
      </c>
      <c r="AS44" s="7">
        <f t="shared" ref="AS44:AZ44" si="158">+AS41-AS42-AS43</f>
        <v>16083</v>
      </c>
      <c r="AT44" s="7">
        <f t="shared" si="158"/>
        <v>11680</v>
      </c>
      <c r="AU44" s="7">
        <f t="shared" si="158"/>
        <v>15511</v>
      </c>
      <c r="AV44" s="7">
        <f t="shared" si="158"/>
        <v>2407.6904999999588</v>
      </c>
      <c r="AW44" s="7">
        <f t="shared" si="158"/>
        <v>8553.1138049999536</v>
      </c>
      <c r="AX44" s="7">
        <f t="shared" si="158"/>
        <v>9780.9889195499527</v>
      </c>
      <c r="AY44" s="7">
        <f t="shared" si="158"/>
        <v>11043.989664775401</v>
      </c>
      <c r="AZ44" s="7">
        <f t="shared" si="158"/>
        <v>12342.924234573737</v>
      </c>
      <c r="BA44" s="7">
        <f t="shared" ref="BA44:DL44" si="159">AZ44*(1+$BE$55)</f>
        <v>12219.494992227999</v>
      </c>
      <c r="BB44" s="7">
        <f t="shared" si="159"/>
        <v>12097.30004230572</v>
      </c>
      <c r="BC44" s="7">
        <f t="shared" si="159"/>
        <v>11976.327041882663</v>
      </c>
      <c r="BD44" s="7">
        <f t="shared" si="159"/>
        <v>11856.563771463836</v>
      </c>
      <c r="BE44" s="7">
        <f t="shared" si="159"/>
        <v>11737.998133749197</v>
      </c>
      <c r="BF44" s="7">
        <f t="shared" si="159"/>
        <v>11620.618152411706</v>
      </c>
      <c r="BG44" s="7">
        <f t="shared" si="159"/>
        <v>11504.411970887588</v>
      </c>
      <c r="BH44" s="7">
        <f t="shared" si="159"/>
        <v>11389.367851178711</v>
      </c>
      <c r="BI44" s="7">
        <f t="shared" si="159"/>
        <v>11275.474172666924</v>
      </c>
      <c r="BJ44" s="7">
        <f t="shared" si="159"/>
        <v>11162.719430940255</v>
      </c>
      <c r="BK44" s="7">
        <f t="shared" si="159"/>
        <v>11051.092236630851</v>
      </c>
      <c r="BL44" s="7">
        <f t="shared" si="159"/>
        <v>10940.581314264542</v>
      </c>
      <c r="BM44" s="7">
        <f t="shared" si="159"/>
        <v>10831.175501121896</v>
      </c>
      <c r="BN44" s="7">
        <f t="shared" si="159"/>
        <v>10722.863746110677</v>
      </c>
      <c r="BO44" s="7">
        <f t="shared" si="159"/>
        <v>10615.635108649571</v>
      </c>
      <c r="BP44" s="7">
        <f t="shared" si="159"/>
        <v>10509.478757563074</v>
      </c>
      <c r="BQ44" s="7">
        <f t="shared" si="159"/>
        <v>10404.383969987444</v>
      </c>
      <c r="BR44" s="7">
        <f t="shared" si="159"/>
        <v>10300.34013028757</v>
      </c>
      <c r="BS44" s="7">
        <f t="shared" si="159"/>
        <v>10197.336728984694</v>
      </c>
      <c r="BT44" s="7">
        <f t="shared" si="159"/>
        <v>10095.363361694846</v>
      </c>
      <c r="BU44" s="7">
        <f t="shared" si="159"/>
        <v>9994.4097280778969</v>
      </c>
      <c r="BV44" s="7">
        <f t="shared" si="159"/>
        <v>9894.4656307971181</v>
      </c>
      <c r="BW44" s="7">
        <f t="shared" si="159"/>
        <v>9795.5209744891472</v>
      </c>
      <c r="BX44" s="7">
        <f t="shared" si="159"/>
        <v>9697.5657647442549</v>
      </c>
      <c r="BY44" s="7">
        <f t="shared" si="159"/>
        <v>9600.5901070968121</v>
      </c>
      <c r="BZ44" s="7">
        <f t="shared" si="159"/>
        <v>9504.5842060258437</v>
      </c>
      <c r="CA44" s="7">
        <f t="shared" si="159"/>
        <v>9409.5383639655847</v>
      </c>
      <c r="CB44" s="7">
        <f t="shared" si="159"/>
        <v>9315.4429803259281</v>
      </c>
      <c r="CC44" s="7">
        <f t="shared" si="159"/>
        <v>9222.2885505226695</v>
      </c>
      <c r="CD44" s="7">
        <f t="shared" si="159"/>
        <v>9130.0656650174424</v>
      </c>
      <c r="CE44" s="7">
        <f t="shared" si="159"/>
        <v>9038.765008367267</v>
      </c>
      <c r="CF44" s="7">
        <f t="shared" si="159"/>
        <v>8948.3773582835947</v>
      </c>
      <c r="CG44" s="7">
        <f t="shared" si="159"/>
        <v>8858.8935847007579</v>
      </c>
      <c r="CH44" s="7">
        <f t="shared" si="159"/>
        <v>8770.3046488537493</v>
      </c>
      <c r="CI44" s="7">
        <f t="shared" si="159"/>
        <v>8682.6016023652119</v>
      </c>
      <c r="CJ44" s="7">
        <f t="shared" si="159"/>
        <v>8595.7755863415605</v>
      </c>
      <c r="CK44" s="7">
        <f t="shared" si="159"/>
        <v>8509.817830478145</v>
      </c>
      <c r="CL44" s="7">
        <f t="shared" si="159"/>
        <v>8424.719652173364</v>
      </c>
      <c r="CM44" s="7">
        <f t="shared" si="159"/>
        <v>8340.4724556516303</v>
      </c>
      <c r="CN44" s="7">
        <f t="shared" si="159"/>
        <v>8257.0677310951141</v>
      </c>
      <c r="CO44" s="7">
        <f t="shared" si="159"/>
        <v>8174.4970537841627</v>
      </c>
      <c r="CP44" s="7">
        <f t="shared" si="159"/>
        <v>8092.7520832463215</v>
      </c>
      <c r="CQ44" s="7">
        <f t="shared" si="159"/>
        <v>8011.8245624138581</v>
      </c>
      <c r="CR44" s="7">
        <f t="shared" si="159"/>
        <v>7931.7063167897195</v>
      </c>
      <c r="CS44" s="7">
        <f t="shared" si="159"/>
        <v>7852.3892536218218</v>
      </c>
      <c r="CT44" s="7">
        <f t="shared" si="159"/>
        <v>7773.8653610856036</v>
      </c>
      <c r="CU44" s="7">
        <f t="shared" si="159"/>
        <v>7696.1267074747475</v>
      </c>
      <c r="CV44" s="7">
        <f t="shared" si="159"/>
        <v>7619.1654404000001</v>
      </c>
      <c r="CW44" s="7">
        <f t="shared" si="159"/>
        <v>7542.9737859959996</v>
      </c>
      <c r="CX44" s="7">
        <f t="shared" si="159"/>
        <v>7467.5440481360392</v>
      </c>
      <c r="CY44" s="7">
        <f t="shared" si="159"/>
        <v>7392.8686076546792</v>
      </c>
      <c r="CZ44" s="7">
        <f t="shared" si="159"/>
        <v>7318.9399215781323</v>
      </c>
      <c r="DA44" s="7">
        <f t="shared" si="159"/>
        <v>7245.7505223623511</v>
      </c>
      <c r="DB44" s="7">
        <f t="shared" si="159"/>
        <v>7173.2930171387279</v>
      </c>
      <c r="DC44" s="7">
        <f t="shared" si="159"/>
        <v>7101.5600869673408</v>
      </c>
      <c r="DD44" s="7">
        <f t="shared" si="159"/>
        <v>7030.5444860976677</v>
      </c>
      <c r="DE44" s="7">
        <f t="shared" si="159"/>
        <v>6960.2390412366913</v>
      </c>
      <c r="DF44" s="7">
        <f t="shared" si="159"/>
        <v>6890.6366508243245</v>
      </c>
      <c r="DG44" s="7">
        <f t="shared" si="159"/>
        <v>6821.7302843160815</v>
      </c>
      <c r="DH44" s="7">
        <f t="shared" si="159"/>
        <v>6753.5129814729207</v>
      </c>
      <c r="DI44" s="7">
        <f t="shared" si="159"/>
        <v>6685.9778516581919</v>
      </c>
      <c r="DJ44" s="7">
        <f t="shared" si="159"/>
        <v>6619.1180731416098</v>
      </c>
      <c r="DK44" s="7">
        <f t="shared" si="159"/>
        <v>6552.9268924101934</v>
      </c>
      <c r="DL44" s="7">
        <f t="shared" si="159"/>
        <v>6487.3976234860911</v>
      </c>
      <c r="DM44" s="7">
        <f t="shared" ref="DM44:FX44" si="160">DL44*(1+$BE$55)</f>
        <v>6422.5236472512297</v>
      </c>
      <c r="DN44" s="7">
        <f t="shared" si="160"/>
        <v>6358.298410778717</v>
      </c>
      <c r="DO44" s="7">
        <f t="shared" si="160"/>
        <v>6294.7154266709294</v>
      </c>
      <c r="DP44" s="7">
        <f t="shared" si="160"/>
        <v>6231.7682724042197</v>
      </c>
      <c r="DQ44" s="7">
        <f t="shared" si="160"/>
        <v>6169.4505896801775</v>
      </c>
      <c r="DR44" s="7">
        <f t="shared" si="160"/>
        <v>6107.7560837833753</v>
      </c>
      <c r="DS44" s="7">
        <f t="shared" si="160"/>
        <v>6046.6785229455418</v>
      </c>
      <c r="DT44" s="7">
        <f t="shared" si="160"/>
        <v>5986.2117377160866</v>
      </c>
      <c r="DU44" s="7">
        <f t="shared" si="160"/>
        <v>5926.3496203389259</v>
      </c>
      <c r="DV44" s="7">
        <f t="shared" si="160"/>
        <v>5867.0861241355369</v>
      </c>
      <c r="DW44" s="7">
        <f t="shared" si="160"/>
        <v>5808.4152628941811</v>
      </c>
      <c r="DX44" s="7">
        <f t="shared" si="160"/>
        <v>5750.3311102652397</v>
      </c>
      <c r="DY44" s="7">
        <f t="shared" si="160"/>
        <v>5692.8277991625873</v>
      </c>
      <c r="DZ44" s="7">
        <f t="shared" si="160"/>
        <v>5635.8995211709616</v>
      </c>
      <c r="EA44" s="7">
        <f t="shared" si="160"/>
        <v>5579.5405259592517</v>
      </c>
      <c r="EB44" s="7">
        <f t="shared" si="160"/>
        <v>5523.7451206996593</v>
      </c>
      <c r="EC44" s="7">
        <f t="shared" si="160"/>
        <v>5468.5076694926629</v>
      </c>
      <c r="ED44" s="7">
        <f t="shared" si="160"/>
        <v>5413.8225927977364</v>
      </c>
      <c r="EE44" s="7">
        <f t="shared" si="160"/>
        <v>5359.6843668697593</v>
      </c>
      <c r="EF44" s="7">
        <f t="shared" si="160"/>
        <v>5306.0875232010612</v>
      </c>
      <c r="EG44" s="7">
        <f t="shared" si="160"/>
        <v>5253.0266479690508</v>
      </c>
      <c r="EH44" s="7">
        <f t="shared" si="160"/>
        <v>5200.4963814893599</v>
      </c>
      <c r="EI44" s="7">
        <f t="shared" si="160"/>
        <v>5148.491417674466</v>
      </c>
      <c r="EJ44" s="7">
        <f t="shared" si="160"/>
        <v>5097.0065034977215</v>
      </c>
      <c r="EK44" s="7">
        <f t="shared" si="160"/>
        <v>5046.0364384627446</v>
      </c>
      <c r="EL44" s="7">
        <f t="shared" si="160"/>
        <v>4995.576074078117</v>
      </c>
      <c r="EM44" s="7">
        <f t="shared" si="160"/>
        <v>4945.6203133373356</v>
      </c>
      <c r="EN44" s="7">
        <f t="shared" si="160"/>
        <v>4896.1641102039621</v>
      </c>
      <c r="EO44" s="7">
        <f t="shared" si="160"/>
        <v>4847.2024691019224</v>
      </c>
      <c r="EP44" s="7">
        <f t="shared" si="160"/>
        <v>4798.7304444109031</v>
      </c>
      <c r="EQ44" s="7">
        <f t="shared" si="160"/>
        <v>4750.7431399667939</v>
      </c>
      <c r="ER44" s="7">
        <f t="shared" si="160"/>
        <v>4703.2357085671256</v>
      </c>
      <c r="ES44" s="7">
        <f t="shared" si="160"/>
        <v>4656.2033514814539</v>
      </c>
      <c r="ET44" s="7">
        <f t="shared" si="160"/>
        <v>4609.6413179666397</v>
      </c>
      <c r="EU44" s="7">
        <f t="shared" si="160"/>
        <v>4563.5449047869733</v>
      </c>
      <c r="EV44" s="7">
        <f t="shared" si="160"/>
        <v>4517.9094557391036</v>
      </c>
      <c r="EW44" s="7">
        <f t="shared" si="160"/>
        <v>4472.7303611817124</v>
      </c>
      <c r="EX44" s="7">
        <f t="shared" si="160"/>
        <v>4428.0030575698956</v>
      </c>
      <c r="EY44" s="7">
        <f t="shared" si="160"/>
        <v>4383.7230269941965</v>
      </c>
      <c r="EZ44" s="7">
        <f t="shared" si="160"/>
        <v>4339.8857967242548</v>
      </c>
      <c r="FA44" s="7">
        <f t="shared" si="160"/>
        <v>4296.4869387570125</v>
      </c>
      <c r="FB44" s="7">
        <f t="shared" si="160"/>
        <v>4253.5220693694419</v>
      </c>
      <c r="FC44" s="7">
        <f t="shared" si="160"/>
        <v>4210.9868486757478</v>
      </c>
      <c r="FD44" s="7">
        <f t="shared" si="160"/>
        <v>4168.8769801889903</v>
      </c>
      <c r="FE44" s="7">
        <f t="shared" si="160"/>
        <v>4127.1882103871003</v>
      </c>
      <c r="FF44" s="7">
        <f t="shared" si="160"/>
        <v>4085.9163282832292</v>
      </c>
      <c r="FG44" s="7">
        <f t="shared" si="160"/>
        <v>4045.0571650003967</v>
      </c>
      <c r="FH44" s="7">
        <f t="shared" si="160"/>
        <v>4004.6065933503928</v>
      </c>
      <c r="FI44" s="7">
        <f t="shared" si="160"/>
        <v>3964.5605274168888</v>
      </c>
      <c r="FJ44" s="7">
        <f t="shared" si="160"/>
        <v>3924.9149221427201</v>
      </c>
      <c r="FK44" s="7">
        <f t="shared" si="160"/>
        <v>3885.665772921293</v>
      </c>
      <c r="FL44" s="7">
        <f t="shared" si="160"/>
        <v>3846.8091151920798</v>
      </c>
      <c r="FM44" s="7">
        <f t="shared" si="160"/>
        <v>3808.341024040159</v>
      </c>
      <c r="FN44" s="7">
        <f t="shared" si="160"/>
        <v>3770.2576137997576</v>
      </c>
      <c r="FO44" s="7">
        <f t="shared" si="160"/>
        <v>3732.5550376617598</v>
      </c>
      <c r="FP44" s="7">
        <f t="shared" si="160"/>
        <v>3695.2294872851421</v>
      </c>
      <c r="FQ44" s="7">
        <f t="shared" si="160"/>
        <v>3658.2771924122908</v>
      </c>
      <c r="FR44" s="7">
        <f t="shared" si="160"/>
        <v>3621.6944204881679</v>
      </c>
      <c r="FS44" s="7">
        <f t="shared" si="160"/>
        <v>3585.4774762832863</v>
      </c>
      <c r="FT44" s="7">
        <f t="shared" si="160"/>
        <v>3549.6227015204536</v>
      </c>
      <c r="FU44" s="7">
        <f t="shared" si="160"/>
        <v>3514.126474505249</v>
      </c>
      <c r="FV44" s="7">
        <f t="shared" si="160"/>
        <v>3478.9852097601965</v>
      </c>
      <c r="FW44" s="7">
        <f t="shared" si="160"/>
        <v>3444.1953576625947</v>
      </c>
      <c r="FX44" s="7">
        <f t="shared" si="160"/>
        <v>3409.7534040859687</v>
      </c>
      <c r="FY44" s="7">
        <f t="shared" ref="FY44:IJ44" si="161">FX44*(1+$BE$55)</f>
        <v>3375.6558700451092</v>
      </c>
      <c r="FZ44" s="7">
        <f t="shared" si="161"/>
        <v>3341.8993113446581</v>
      </c>
      <c r="GA44" s="7">
        <f t="shared" si="161"/>
        <v>3308.4803182312116</v>
      </c>
      <c r="GB44" s="7">
        <f t="shared" si="161"/>
        <v>3275.3955150488996</v>
      </c>
      <c r="GC44" s="7">
        <f t="shared" si="161"/>
        <v>3242.6415598984104</v>
      </c>
      <c r="GD44" s="7">
        <f t="shared" si="161"/>
        <v>3210.2151442994264</v>
      </c>
      <c r="GE44" s="7">
        <f t="shared" si="161"/>
        <v>3178.1129928564319</v>
      </c>
      <c r="GF44" s="7">
        <f t="shared" si="161"/>
        <v>3146.3318629278674</v>
      </c>
      <c r="GG44" s="7">
        <f t="shared" si="161"/>
        <v>3114.8685442985889</v>
      </c>
      <c r="GH44" s="7">
        <f t="shared" si="161"/>
        <v>3083.719858855603</v>
      </c>
      <c r="GI44" s="7">
        <f t="shared" si="161"/>
        <v>3052.882660267047</v>
      </c>
      <c r="GJ44" s="7">
        <f t="shared" si="161"/>
        <v>3022.3538336643765</v>
      </c>
      <c r="GK44" s="7">
        <f t="shared" si="161"/>
        <v>2992.1302953277327</v>
      </c>
      <c r="GL44" s="7">
        <f t="shared" si="161"/>
        <v>2962.2089923744552</v>
      </c>
      <c r="GM44" s="7">
        <f t="shared" si="161"/>
        <v>2932.5869024507106</v>
      </c>
      <c r="GN44" s="7">
        <f t="shared" si="161"/>
        <v>2903.2610334262035</v>
      </c>
      <c r="GO44" s="7">
        <f t="shared" si="161"/>
        <v>2874.2284230919413</v>
      </c>
      <c r="GP44" s="7">
        <f t="shared" si="161"/>
        <v>2845.486138861022</v>
      </c>
      <c r="GQ44" s="7">
        <f t="shared" si="161"/>
        <v>2817.0312774724116</v>
      </c>
      <c r="GR44" s="7">
        <f t="shared" si="161"/>
        <v>2788.8609646976875</v>
      </c>
      <c r="GS44" s="7">
        <f t="shared" si="161"/>
        <v>2760.9723550507106</v>
      </c>
      <c r="GT44" s="7">
        <f t="shared" si="161"/>
        <v>2733.3626315002034</v>
      </c>
      <c r="GU44" s="7">
        <f t="shared" si="161"/>
        <v>2706.0290051852012</v>
      </c>
      <c r="GV44" s="7">
        <f t="shared" si="161"/>
        <v>2678.9687151333492</v>
      </c>
      <c r="GW44" s="7">
        <f t="shared" si="161"/>
        <v>2652.1790279820157</v>
      </c>
      <c r="GX44" s="7">
        <f t="shared" si="161"/>
        <v>2625.6572377021953</v>
      </c>
      <c r="GY44" s="7">
        <f t="shared" si="161"/>
        <v>2599.4006653251731</v>
      </c>
      <c r="GZ44" s="7">
        <f t="shared" si="161"/>
        <v>2573.4066586719214</v>
      </c>
      <c r="HA44" s="7">
        <f t="shared" si="161"/>
        <v>2547.6725920852023</v>
      </c>
      <c r="HB44" s="7">
        <f t="shared" si="161"/>
        <v>2522.1958661643503</v>
      </c>
      <c r="HC44" s="7">
        <f t="shared" si="161"/>
        <v>2496.9739075027069</v>
      </c>
      <c r="HD44" s="7">
        <f t="shared" si="161"/>
        <v>2472.0041684276798</v>
      </c>
      <c r="HE44" s="7">
        <f t="shared" si="161"/>
        <v>2447.2841267434028</v>
      </c>
      <c r="HF44" s="7">
        <f t="shared" si="161"/>
        <v>2422.8112854759688</v>
      </c>
      <c r="HG44" s="7">
        <f t="shared" si="161"/>
        <v>2398.5831726212091</v>
      </c>
      <c r="HH44" s="7">
        <f t="shared" si="161"/>
        <v>2374.5973408949972</v>
      </c>
      <c r="HI44" s="7">
        <f t="shared" si="161"/>
        <v>2350.8513674860474</v>
      </c>
      <c r="HJ44" s="7">
        <f t="shared" si="161"/>
        <v>2327.3428538111871</v>
      </c>
      <c r="HK44" s="7">
        <f t="shared" si="161"/>
        <v>2304.069425273075</v>
      </c>
      <c r="HL44" s="7">
        <f t="shared" si="161"/>
        <v>2281.0287310203444</v>
      </c>
      <c r="HM44" s="7">
        <f t="shared" si="161"/>
        <v>2258.2184437101409</v>
      </c>
      <c r="HN44" s="7">
        <f t="shared" si="161"/>
        <v>2235.6362592730397</v>
      </c>
      <c r="HO44" s="7">
        <f t="shared" si="161"/>
        <v>2213.2798966803093</v>
      </c>
      <c r="HP44" s="7">
        <f t="shared" si="161"/>
        <v>2191.1470977135064</v>
      </c>
      <c r="HQ44" s="7">
        <f t="shared" si="161"/>
        <v>2169.2356267363712</v>
      </c>
      <c r="HR44" s="7">
        <f t="shared" si="161"/>
        <v>2147.5432704690074</v>
      </c>
      <c r="HS44" s="7">
        <f t="shared" si="161"/>
        <v>2126.0678377643171</v>
      </c>
      <c r="HT44" s="7">
        <f t="shared" si="161"/>
        <v>2104.8071593866739</v>
      </c>
      <c r="HU44" s="7">
        <f t="shared" si="161"/>
        <v>2083.7590877928073</v>
      </c>
      <c r="HV44" s="7">
        <f t="shared" si="161"/>
        <v>2062.9214969148793</v>
      </c>
      <c r="HW44" s="7">
        <f t="shared" si="161"/>
        <v>2042.2922819457306</v>
      </c>
      <c r="HX44" s="7">
        <f t="shared" si="161"/>
        <v>2021.8693591262731</v>
      </c>
      <c r="HY44" s="7">
        <f t="shared" si="161"/>
        <v>2001.6506655350104</v>
      </c>
      <c r="HZ44" s="7">
        <f t="shared" si="161"/>
        <v>1981.6341588796602</v>
      </c>
      <c r="IA44" s="7">
        <f t="shared" si="161"/>
        <v>1961.8178172908636</v>
      </c>
      <c r="IB44" s="7">
        <f t="shared" si="161"/>
        <v>1942.1996391179548</v>
      </c>
      <c r="IC44" s="7">
        <f t="shared" si="161"/>
        <v>1922.7776427267752</v>
      </c>
      <c r="ID44" s="7">
        <f t="shared" si="161"/>
        <v>1903.5498662995074</v>
      </c>
      <c r="IE44" s="7">
        <f t="shared" si="161"/>
        <v>1884.5143676365124</v>
      </c>
      <c r="IF44" s="7">
        <f t="shared" si="161"/>
        <v>1865.6692239601473</v>
      </c>
      <c r="IG44" s="7">
        <f t="shared" si="161"/>
        <v>1847.0125317205459</v>
      </c>
      <c r="IH44" s="7">
        <f t="shared" si="161"/>
        <v>1828.5424064033405</v>
      </c>
      <c r="II44" s="7">
        <f t="shared" si="161"/>
        <v>1810.2569823393071</v>
      </c>
      <c r="IJ44" s="7">
        <f t="shared" si="161"/>
        <v>1792.1544125159139</v>
      </c>
      <c r="IK44" s="7">
        <f t="shared" ref="IK44:KV44" si="162">IJ44*(1+$BE$55)</f>
        <v>1774.2328683907547</v>
      </c>
      <c r="IL44" s="7">
        <f t="shared" si="162"/>
        <v>1756.4905397068471</v>
      </c>
      <c r="IM44" s="7">
        <f t="shared" si="162"/>
        <v>1738.9256343097786</v>
      </c>
      <c r="IN44" s="7">
        <f t="shared" si="162"/>
        <v>1721.5363779666809</v>
      </c>
      <c r="IO44" s="7">
        <f t="shared" si="162"/>
        <v>1704.321014187014</v>
      </c>
      <c r="IP44" s="7">
        <f t="shared" si="162"/>
        <v>1687.277804045144</v>
      </c>
      <c r="IQ44" s="7">
        <f t="shared" si="162"/>
        <v>1670.4050260046924</v>
      </c>
      <c r="IR44" s="7">
        <f t="shared" si="162"/>
        <v>1653.7009757446456</v>
      </c>
      <c r="IS44" s="7">
        <f t="shared" si="162"/>
        <v>1637.1639659871992</v>
      </c>
      <c r="IT44" s="7">
        <f t="shared" si="162"/>
        <v>1620.7923263273271</v>
      </c>
      <c r="IU44" s="7">
        <f t="shared" si="162"/>
        <v>1604.584403064054</v>
      </c>
      <c r="IV44" s="7">
        <f t="shared" si="162"/>
        <v>1588.5385590334133</v>
      </c>
      <c r="IW44" s="7">
        <f t="shared" si="162"/>
        <v>1572.6531734430791</v>
      </c>
      <c r="IX44" s="7">
        <f t="shared" si="162"/>
        <v>1556.9266417086483</v>
      </c>
      <c r="IY44" s="7">
        <f t="shared" si="162"/>
        <v>1541.3573752915618</v>
      </c>
      <c r="IZ44" s="7">
        <f t="shared" si="162"/>
        <v>1525.9438015386461</v>
      </c>
      <c r="JA44" s="7">
        <f t="shared" si="162"/>
        <v>1510.6843635232597</v>
      </c>
      <c r="JB44" s="7">
        <f t="shared" si="162"/>
        <v>1495.5775198880272</v>
      </c>
      <c r="JC44" s="7">
        <f t="shared" si="162"/>
        <v>1480.6217446891469</v>
      </c>
      <c r="JD44" s="7">
        <f t="shared" si="162"/>
        <v>1465.8155272422555</v>
      </c>
      <c r="JE44" s="7">
        <f t="shared" si="162"/>
        <v>1451.1573719698329</v>
      </c>
      <c r="JF44" s="7">
        <f t="shared" si="162"/>
        <v>1436.6457982501345</v>
      </c>
      <c r="JG44" s="7">
        <f t="shared" si="162"/>
        <v>1422.2793402676332</v>
      </c>
      <c r="JH44" s="7">
        <f t="shared" si="162"/>
        <v>1408.0565468649568</v>
      </c>
      <c r="JI44" s="7">
        <f t="shared" si="162"/>
        <v>1393.9759813963071</v>
      </c>
      <c r="JJ44" s="7">
        <f t="shared" si="162"/>
        <v>1380.0362215823441</v>
      </c>
      <c r="JK44" s="7">
        <f t="shared" si="162"/>
        <v>1366.2358593665206</v>
      </c>
      <c r="JL44" s="7">
        <f t="shared" si="162"/>
        <v>1352.5735007728554</v>
      </c>
      <c r="JM44" s="7">
        <f t="shared" si="162"/>
        <v>1339.0477657651268</v>
      </c>
      <c r="JN44" s="7">
        <f t="shared" si="162"/>
        <v>1325.6572881074756</v>
      </c>
      <c r="JO44" s="7">
        <f t="shared" si="162"/>
        <v>1312.4007152264007</v>
      </c>
      <c r="JP44" s="7">
        <f t="shared" si="162"/>
        <v>1299.2767080741366</v>
      </c>
      <c r="JQ44" s="7">
        <f t="shared" si="162"/>
        <v>1286.2839409933952</v>
      </c>
      <c r="JR44" s="7">
        <f t="shared" si="162"/>
        <v>1273.4211015834612</v>
      </c>
      <c r="JS44" s="7">
        <f t="shared" si="162"/>
        <v>1260.6868905676265</v>
      </c>
      <c r="JT44" s="7">
        <f t="shared" si="162"/>
        <v>1248.0800216619502</v>
      </c>
      <c r="JU44" s="7">
        <f t="shared" si="162"/>
        <v>1235.5992214453308</v>
      </c>
      <c r="JV44" s="7">
        <f t="shared" si="162"/>
        <v>1223.2432292308774</v>
      </c>
      <c r="JW44" s="7">
        <f t="shared" si="162"/>
        <v>1211.0107969385685</v>
      </c>
      <c r="JX44" s="7">
        <f t="shared" si="162"/>
        <v>1198.9006889691827</v>
      </c>
      <c r="JY44" s="7">
        <f t="shared" si="162"/>
        <v>1186.9116820794909</v>
      </c>
      <c r="JZ44" s="7">
        <f t="shared" si="162"/>
        <v>1175.042565258696</v>
      </c>
      <c r="KA44" s="7">
        <f t="shared" si="162"/>
        <v>1163.292139606109</v>
      </c>
      <c r="KB44" s="7">
        <f t="shared" si="162"/>
        <v>1151.6592182100478</v>
      </c>
      <c r="KC44" s="7">
        <f t="shared" si="162"/>
        <v>1140.1426260279472</v>
      </c>
      <c r="KD44" s="7">
        <f t="shared" si="162"/>
        <v>1128.7411997676677</v>
      </c>
      <c r="KE44" s="7">
        <f t="shared" si="162"/>
        <v>1117.4537877699911</v>
      </c>
      <c r="KF44" s="7">
        <f t="shared" si="162"/>
        <v>1106.2792498922911</v>
      </c>
      <c r="KG44" s="7">
        <f t="shared" si="162"/>
        <v>1095.2164573933683</v>
      </c>
      <c r="KH44" s="7">
        <f t="shared" si="162"/>
        <v>1084.2642928194346</v>
      </c>
      <c r="KI44" s="7">
        <f t="shared" si="162"/>
        <v>1073.4216498912401</v>
      </c>
      <c r="KJ44" s="7">
        <f t="shared" si="162"/>
        <v>1062.6874333923276</v>
      </c>
      <c r="KK44" s="7">
        <f t="shared" si="162"/>
        <v>1052.0605590584044</v>
      </c>
      <c r="KL44" s="7">
        <f t="shared" si="162"/>
        <v>1041.5399534678204</v>
      </c>
      <c r="KM44" s="7">
        <f t="shared" si="162"/>
        <v>1031.1245539331421</v>
      </c>
      <c r="KN44" s="7">
        <f t="shared" si="162"/>
        <v>1020.8133083938106</v>
      </c>
      <c r="KO44" s="7">
        <f t="shared" si="162"/>
        <v>1010.6051753098725</v>
      </c>
      <c r="KP44" s="7">
        <f t="shared" si="162"/>
        <v>1000.4991235567737</v>
      </c>
      <c r="KQ44" s="7">
        <f t="shared" si="162"/>
        <v>990.49413232120594</v>
      </c>
      <c r="KR44" s="7">
        <f t="shared" si="162"/>
        <v>980.58919099799391</v>
      </c>
      <c r="KS44" s="7">
        <f t="shared" si="162"/>
        <v>970.78329908801402</v>
      </c>
      <c r="KT44" s="7">
        <f t="shared" si="162"/>
        <v>961.07546609713393</v>
      </c>
      <c r="KU44" s="7">
        <f t="shared" si="162"/>
        <v>951.46471143616259</v>
      </c>
      <c r="KV44" s="7">
        <f t="shared" si="162"/>
        <v>941.95006432180094</v>
      </c>
      <c r="KW44" s="7">
        <f t="shared" ref="KW44:NH44" si="163">KV44*(1+$BE$55)</f>
        <v>932.53056367858289</v>
      </c>
      <c r="KX44" s="7">
        <f t="shared" si="163"/>
        <v>923.20525804179704</v>
      </c>
      <c r="KY44" s="7">
        <f t="shared" si="163"/>
        <v>913.97320546137905</v>
      </c>
      <c r="KZ44" s="7">
        <f t="shared" si="163"/>
        <v>904.83347340676528</v>
      </c>
      <c r="LA44" s="7">
        <f t="shared" si="163"/>
        <v>895.7851386726976</v>
      </c>
      <c r="LB44" s="7">
        <f t="shared" si="163"/>
        <v>886.82728728597067</v>
      </c>
      <c r="LC44" s="7">
        <f t="shared" si="163"/>
        <v>877.95901441311094</v>
      </c>
      <c r="LD44" s="7">
        <f t="shared" si="163"/>
        <v>869.1794242689798</v>
      </c>
      <c r="LE44" s="7">
        <f t="shared" si="163"/>
        <v>860.48763002629005</v>
      </c>
      <c r="LF44" s="7">
        <f t="shared" si="163"/>
        <v>851.88275372602709</v>
      </c>
      <c r="LG44" s="7">
        <f t="shared" si="163"/>
        <v>843.36392618876687</v>
      </c>
      <c r="LH44" s="7">
        <f t="shared" si="163"/>
        <v>834.93028692687915</v>
      </c>
      <c r="LI44" s="7">
        <f t="shared" si="163"/>
        <v>826.58098405761029</v>
      </c>
      <c r="LJ44" s="7">
        <f t="shared" si="163"/>
        <v>818.31517421703415</v>
      </c>
      <c r="LK44" s="7">
        <f t="shared" si="163"/>
        <v>810.13202247486379</v>
      </c>
      <c r="LL44" s="7">
        <f t="shared" si="163"/>
        <v>802.03070225011516</v>
      </c>
      <c r="LM44" s="7">
        <f t="shared" si="163"/>
        <v>794.01039522761403</v>
      </c>
      <c r="LN44" s="7">
        <f t="shared" si="163"/>
        <v>786.07029127533792</v>
      </c>
      <c r="LO44" s="7">
        <f t="shared" si="163"/>
        <v>778.20958836258455</v>
      </c>
      <c r="LP44" s="7">
        <f t="shared" si="163"/>
        <v>770.4274924789587</v>
      </c>
      <c r="LQ44" s="7">
        <f t="shared" si="163"/>
        <v>762.72321755416908</v>
      </c>
      <c r="LR44" s="7">
        <f t="shared" si="163"/>
        <v>755.09598537862735</v>
      </c>
      <c r="LS44" s="7">
        <f t="shared" si="163"/>
        <v>747.54502552484109</v>
      </c>
      <c r="LT44" s="7">
        <f t="shared" si="163"/>
        <v>740.06957526959263</v>
      </c>
      <c r="LU44" s="7">
        <f t="shared" si="163"/>
        <v>732.66887951689671</v>
      </c>
      <c r="LV44" s="7">
        <f t="shared" si="163"/>
        <v>725.34219072172777</v>
      </c>
      <c r="LW44" s="7">
        <f t="shared" si="163"/>
        <v>718.08876881451044</v>
      </c>
      <c r="LX44" s="7">
        <f t="shared" si="163"/>
        <v>710.90788112636528</v>
      </c>
      <c r="LY44" s="7">
        <f t="shared" si="163"/>
        <v>703.79880231510163</v>
      </c>
      <c r="LZ44" s="7">
        <f t="shared" si="163"/>
        <v>696.76081429195062</v>
      </c>
      <c r="MA44" s="7">
        <f t="shared" si="163"/>
        <v>689.79320614903111</v>
      </c>
      <c r="MB44" s="7">
        <f t="shared" si="163"/>
        <v>682.89527408754077</v>
      </c>
      <c r="MC44" s="7">
        <f t="shared" si="163"/>
        <v>676.0663213466654</v>
      </c>
      <c r="MD44" s="7">
        <f t="shared" si="163"/>
        <v>669.30565813319879</v>
      </c>
      <c r="ME44" s="7">
        <f t="shared" si="163"/>
        <v>662.61260155186676</v>
      </c>
      <c r="MF44" s="7">
        <f t="shared" si="163"/>
        <v>655.98647553634805</v>
      </c>
      <c r="MG44" s="7">
        <f t="shared" si="163"/>
        <v>649.42661078098456</v>
      </c>
      <c r="MH44" s="7">
        <f t="shared" si="163"/>
        <v>642.93234467317473</v>
      </c>
      <c r="MI44" s="7">
        <f t="shared" si="163"/>
        <v>636.50302122644302</v>
      </c>
      <c r="MJ44" s="7">
        <f t="shared" si="163"/>
        <v>630.13799101417862</v>
      </c>
      <c r="MK44" s="7">
        <f t="shared" si="163"/>
        <v>623.83661110403682</v>
      </c>
      <c r="ML44" s="7">
        <f t="shared" si="163"/>
        <v>617.59824499299646</v>
      </c>
      <c r="MM44" s="7">
        <f t="shared" si="163"/>
        <v>611.42226254306649</v>
      </c>
      <c r="MN44" s="7">
        <f t="shared" si="163"/>
        <v>605.30803991763582</v>
      </c>
      <c r="MO44" s="7">
        <f t="shared" si="163"/>
        <v>599.25495951845949</v>
      </c>
      <c r="MP44" s="7">
        <f t="shared" si="163"/>
        <v>593.26240992327484</v>
      </c>
      <c r="MQ44" s="7">
        <f t="shared" si="163"/>
        <v>587.32978582404212</v>
      </c>
      <c r="MR44" s="7">
        <f t="shared" si="163"/>
        <v>581.45648796580167</v>
      </c>
      <c r="MS44" s="7">
        <f t="shared" si="163"/>
        <v>575.64192308614361</v>
      </c>
      <c r="MT44" s="7">
        <f t="shared" si="163"/>
        <v>569.8855038552822</v>
      </c>
      <c r="MU44" s="7">
        <f t="shared" si="163"/>
        <v>564.18664881672942</v>
      </c>
      <c r="MV44" s="7">
        <f t="shared" si="163"/>
        <v>558.54478232856206</v>
      </c>
      <c r="MW44" s="7">
        <f t="shared" si="163"/>
        <v>552.95933450527639</v>
      </c>
      <c r="MX44" s="7">
        <f t="shared" si="163"/>
        <v>547.42974116022367</v>
      </c>
      <c r="MY44" s="7">
        <f t="shared" si="163"/>
        <v>541.95544374862141</v>
      </c>
      <c r="MZ44" s="7">
        <f t="shared" si="163"/>
        <v>536.53588931113518</v>
      </c>
      <c r="NA44" s="7">
        <f t="shared" si="163"/>
        <v>531.17053041802387</v>
      </c>
      <c r="NB44" s="7">
        <f t="shared" si="163"/>
        <v>525.85882511384364</v>
      </c>
      <c r="NC44" s="7">
        <f t="shared" si="163"/>
        <v>520.60023686270517</v>
      </c>
      <c r="ND44" s="7">
        <f t="shared" si="163"/>
        <v>515.39423449407809</v>
      </c>
      <c r="NE44" s="7">
        <f t="shared" si="163"/>
        <v>510.2402921491373</v>
      </c>
      <c r="NF44" s="7">
        <f t="shared" si="163"/>
        <v>505.13788922764593</v>
      </c>
      <c r="NG44" s="7">
        <f t="shared" si="163"/>
        <v>500.08651033536944</v>
      </c>
      <c r="NH44" s="7">
        <f t="shared" si="163"/>
        <v>495.08564523201574</v>
      </c>
      <c r="NI44" s="7">
        <f t="shared" ref="NI44:PT44" si="164">NH44*(1+$BE$55)</f>
        <v>490.13478877969555</v>
      </c>
      <c r="NJ44" s="7">
        <f t="shared" si="164"/>
        <v>485.23344089189857</v>
      </c>
      <c r="NK44" s="7">
        <f t="shared" si="164"/>
        <v>480.38110648297959</v>
      </c>
      <c r="NL44" s="7">
        <f t="shared" si="164"/>
        <v>475.57729541814979</v>
      </c>
      <c r="NM44" s="7">
        <f t="shared" si="164"/>
        <v>470.82152246396828</v>
      </c>
      <c r="NN44" s="7">
        <f t="shared" si="164"/>
        <v>466.11330723932861</v>
      </c>
      <c r="NO44" s="7">
        <f t="shared" si="164"/>
        <v>461.45217416693532</v>
      </c>
      <c r="NP44" s="7">
        <f t="shared" si="164"/>
        <v>456.83765242526596</v>
      </c>
      <c r="NQ44" s="7">
        <f t="shared" si="164"/>
        <v>452.26927590101332</v>
      </c>
      <c r="NR44" s="7">
        <f t="shared" si="164"/>
        <v>447.7465831420032</v>
      </c>
      <c r="NS44" s="7">
        <f t="shared" si="164"/>
        <v>443.26911731058317</v>
      </c>
      <c r="NT44" s="7">
        <f t="shared" si="164"/>
        <v>438.83642613747736</v>
      </c>
      <c r="NU44" s="7">
        <f t="shared" si="164"/>
        <v>434.4480618761026</v>
      </c>
      <c r="NV44" s="7">
        <f t="shared" si="164"/>
        <v>430.10358125734155</v>
      </c>
      <c r="NW44" s="7">
        <f t="shared" si="164"/>
        <v>425.8025454447681</v>
      </c>
      <c r="NX44" s="7">
        <f t="shared" si="164"/>
        <v>421.5445199903204</v>
      </c>
      <c r="NY44" s="7">
        <f t="shared" si="164"/>
        <v>417.32907479041717</v>
      </c>
      <c r="NZ44" s="7">
        <f t="shared" si="164"/>
        <v>413.15578404251301</v>
      </c>
      <c r="OA44" s="7">
        <f t="shared" si="164"/>
        <v>409.02422620208785</v>
      </c>
      <c r="OB44" s="7">
        <f t="shared" si="164"/>
        <v>404.93398394006698</v>
      </c>
      <c r="OC44" s="7">
        <f t="shared" si="164"/>
        <v>400.88464410066632</v>
      </c>
      <c r="OD44" s="7">
        <f t="shared" si="164"/>
        <v>396.87579765965967</v>
      </c>
      <c r="OE44" s="7">
        <f t="shared" si="164"/>
        <v>392.90703968306309</v>
      </c>
      <c r="OF44" s="7">
        <f t="shared" si="164"/>
        <v>388.97796928623245</v>
      </c>
      <c r="OG44" s="7">
        <f t="shared" si="164"/>
        <v>385.08818959337015</v>
      </c>
      <c r="OH44" s="7">
        <f t="shared" si="164"/>
        <v>381.23730769743645</v>
      </c>
      <c r="OI44" s="7">
        <f t="shared" si="164"/>
        <v>377.42493462046207</v>
      </c>
      <c r="OJ44" s="7">
        <f t="shared" si="164"/>
        <v>373.65068527425746</v>
      </c>
      <c r="OK44" s="7">
        <f t="shared" si="164"/>
        <v>369.91417842151486</v>
      </c>
      <c r="OL44" s="7">
        <f t="shared" si="164"/>
        <v>366.2150366372997</v>
      </c>
      <c r="OM44" s="7">
        <f t="shared" si="164"/>
        <v>362.55288627092671</v>
      </c>
      <c r="ON44" s="7">
        <f t="shared" si="164"/>
        <v>358.92735740821746</v>
      </c>
      <c r="OO44" s="7">
        <f t="shared" si="164"/>
        <v>355.33808383413526</v>
      </c>
      <c r="OP44" s="7">
        <f t="shared" si="164"/>
        <v>351.78470299579391</v>
      </c>
      <c r="OQ44" s="7">
        <f t="shared" si="164"/>
        <v>348.26685596583599</v>
      </c>
      <c r="OR44" s="7">
        <f t="shared" si="164"/>
        <v>344.78418740617764</v>
      </c>
      <c r="OS44" s="7">
        <f t="shared" si="164"/>
        <v>341.33634553211584</v>
      </c>
      <c r="OT44" s="7">
        <f t="shared" si="164"/>
        <v>337.92298207679465</v>
      </c>
      <c r="OU44" s="7">
        <f t="shared" si="164"/>
        <v>334.54375225602672</v>
      </c>
      <c r="OV44" s="7">
        <f t="shared" si="164"/>
        <v>331.19831473346647</v>
      </c>
      <c r="OW44" s="7">
        <f t="shared" si="164"/>
        <v>327.8863315861318</v>
      </c>
      <c r="OX44" s="7">
        <f t="shared" si="164"/>
        <v>324.60746827027049</v>
      </c>
      <c r="OY44" s="7">
        <f t="shared" si="164"/>
        <v>321.36139358756776</v>
      </c>
      <c r="OZ44" s="7">
        <f t="shared" si="164"/>
        <v>318.14777965169208</v>
      </c>
      <c r="PA44" s="7">
        <f t="shared" si="164"/>
        <v>314.96630185517517</v>
      </c>
      <c r="PB44" s="7">
        <f t="shared" si="164"/>
        <v>311.81663883662344</v>
      </c>
      <c r="PC44" s="7">
        <f t="shared" si="164"/>
        <v>308.69847244825718</v>
      </c>
      <c r="PD44" s="7">
        <f t="shared" si="164"/>
        <v>305.61148772377459</v>
      </c>
      <c r="PE44" s="7">
        <f t="shared" si="164"/>
        <v>302.55537284653684</v>
      </c>
      <c r="PF44" s="7">
        <f t="shared" si="164"/>
        <v>299.52981911807149</v>
      </c>
      <c r="PG44" s="7">
        <f t="shared" si="164"/>
        <v>296.53452092689076</v>
      </c>
      <c r="PH44" s="7">
        <f t="shared" si="164"/>
        <v>293.56917571762187</v>
      </c>
      <c r="PI44" s="7">
        <f t="shared" si="164"/>
        <v>290.63348396044563</v>
      </c>
      <c r="PJ44" s="7">
        <f t="shared" si="164"/>
        <v>287.72714912084115</v>
      </c>
      <c r="PK44" s="7">
        <f t="shared" si="164"/>
        <v>284.84987762963272</v>
      </c>
      <c r="PL44" s="7">
        <f t="shared" si="164"/>
        <v>282.0013788533364</v>
      </c>
      <c r="PM44" s="7">
        <f t="shared" si="164"/>
        <v>279.18136506480306</v>
      </c>
      <c r="PN44" s="7">
        <f t="shared" si="164"/>
        <v>276.38955141415505</v>
      </c>
      <c r="PO44" s="7">
        <f t="shared" si="164"/>
        <v>273.6256559000135</v>
      </c>
      <c r="PP44" s="7">
        <f t="shared" si="164"/>
        <v>270.88939934101336</v>
      </c>
      <c r="PQ44" s="7">
        <f t="shared" si="164"/>
        <v>268.18050534760323</v>
      </c>
      <c r="PR44" s="7">
        <f t="shared" si="164"/>
        <v>265.49870029412722</v>
      </c>
      <c r="PS44" s="7">
        <f t="shared" si="164"/>
        <v>262.84371329118596</v>
      </c>
      <c r="PT44" s="7">
        <f t="shared" si="164"/>
        <v>260.21527615827409</v>
      </c>
      <c r="PU44" s="7">
        <f t="shared" ref="PU44:QA44" si="165">PT44*(1+$BE$55)</f>
        <v>257.61312339669138</v>
      </c>
      <c r="PV44" s="7">
        <f t="shared" si="165"/>
        <v>255.03699216272446</v>
      </c>
      <c r="PW44" s="7">
        <f t="shared" si="165"/>
        <v>252.48662224109722</v>
      </c>
      <c r="PX44" s="7">
        <f t="shared" si="165"/>
        <v>249.96175601868626</v>
      </c>
      <c r="PY44" s="7">
        <f t="shared" si="165"/>
        <v>247.4621384584994</v>
      </c>
      <c r="PZ44" s="7">
        <f t="shared" si="165"/>
        <v>244.9875170739144</v>
      </c>
      <c r="QA44" s="7">
        <f t="shared" si="165"/>
        <v>242.53764190317526</v>
      </c>
    </row>
    <row r="45" spans="1:443" x14ac:dyDescent="0.25">
      <c r="B45" s="21" t="s">
        <v>3</v>
      </c>
      <c r="C45" s="2">
        <v>3047</v>
      </c>
      <c r="D45" s="2">
        <v>3021</v>
      </c>
      <c r="E45" s="2">
        <v>2996</v>
      </c>
      <c r="F45" s="2">
        <v>2978</v>
      </c>
      <c r="G45" s="2">
        <v>2967</v>
      </c>
      <c r="H45" s="2">
        <v>2960</v>
      </c>
      <c r="I45" s="2">
        <v>2941</v>
      </c>
      <c r="J45" s="2">
        <v>2914</v>
      </c>
      <c r="K45" s="2">
        <v>2886</v>
      </c>
      <c r="L45" s="2">
        <v>2869</v>
      </c>
      <c r="M45" s="2">
        <v>2861</v>
      </c>
      <c r="N45" s="2">
        <v>2855</v>
      </c>
      <c r="O45" s="2">
        <v>2849</v>
      </c>
      <c r="P45" s="2">
        <v>2848</v>
      </c>
      <c r="Q45" s="2">
        <v>2849</v>
      </c>
      <c r="R45" s="2">
        <v>2826</v>
      </c>
      <c r="S45" s="2">
        <v>2829</v>
      </c>
      <c r="T45" s="2">
        <v>2812</v>
      </c>
      <c r="U45" s="2">
        <v>2797</v>
      </c>
      <c r="V45" s="2">
        <v>2782</v>
      </c>
      <c r="W45" s="2">
        <v>2765</v>
      </c>
      <c r="X45" s="2">
        <v>2745</v>
      </c>
      <c r="Y45" s="2">
        <v>2711</v>
      </c>
      <c r="Z45" s="2">
        <v>2707</v>
      </c>
      <c r="AA45" s="2">
        <v>2704</v>
      </c>
      <c r="AB45" s="2">
        <v>2703</v>
      </c>
      <c r="AC45" s="2">
        <v>2703</v>
      </c>
      <c r="AD45" s="2">
        <v>2701</v>
      </c>
      <c r="AE45" s="2">
        <f>AA45*3</f>
        <v>8112</v>
      </c>
      <c r="AF45" s="2">
        <f t="shared" ref="AF45:AH45" si="166">AB45*3</f>
        <v>8109</v>
      </c>
      <c r="AG45" s="2">
        <f t="shared" si="166"/>
        <v>8109</v>
      </c>
      <c r="AH45" s="2">
        <f t="shared" si="166"/>
        <v>8103</v>
      </c>
      <c r="AO45" s="2">
        <f>F45</f>
        <v>2978</v>
      </c>
      <c r="AP45" s="2">
        <f>J45</f>
        <v>2914</v>
      </c>
      <c r="AQ45" s="2">
        <f>N45</f>
        <v>2855</v>
      </c>
      <c r="AR45" s="2">
        <f>R45</f>
        <v>2826</v>
      </c>
      <c r="AS45" s="2">
        <f>V45</f>
        <v>2782</v>
      </c>
      <c r="AT45" s="2">
        <f>Z45</f>
        <v>2707</v>
      </c>
      <c r="AU45" s="2">
        <f>AD45</f>
        <v>2701</v>
      </c>
      <c r="AV45" s="2">
        <f>AH45</f>
        <v>8103</v>
      </c>
      <c r="AW45" s="2">
        <f t="shared" ref="AW45" si="167">AV45*0.99</f>
        <v>8021.97</v>
      </c>
      <c r="AX45" s="2">
        <f t="shared" ref="AX45" si="168">AW45*0.99</f>
        <v>7941.7503000000006</v>
      </c>
      <c r="AY45" s="2">
        <f t="shared" ref="AY45" si="169">AX45*0.99</f>
        <v>7862.3327970000009</v>
      </c>
      <c r="AZ45" s="2">
        <f t="shared" ref="AZ45" si="170">AY45*0.99</f>
        <v>7783.7094690300009</v>
      </c>
    </row>
    <row r="46" spans="1:443" x14ac:dyDescent="0.25">
      <c r="B46" s="21" t="s">
        <v>30</v>
      </c>
      <c r="C46" s="8">
        <f>C44/C45</f>
        <v>0.99737446668854612</v>
      </c>
      <c r="D46" s="8">
        <f>D44/D45</f>
        <v>0.95961602118503808</v>
      </c>
      <c r="E46" s="8">
        <f>E44/E45</f>
        <v>0.58377837116154874</v>
      </c>
      <c r="F46" s="8">
        <f>F44/F45</f>
        <v>0.73035594358629952</v>
      </c>
      <c r="G46" s="8">
        <f t="shared" ref="G46:H46" si="171">G44/G45</f>
        <v>0.71924502864846651</v>
      </c>
      <c r="H46" s="8">
        <f t="shared" si="171"/>
        <v>-0.29087837837837838</v>
      </c>
      <c r="I46" s="8">
        <f t="shared" ref="I46:P46" si="172">I44/I45</f>
        <v>0.58143488609316563</v>
      </c>
      <c r="J46" s="8">
        <f t="shared" si="172"/>
        <v>1.2652711050102952</v>
      </c>
      <c r="K46" s="8">
        <f t="shared" si="172"/>
        <v>1.3312543312543312</v>
      </c>
      <c r="L46" s="8">
        <f t="shared" si="172"/>
        <v>1.2582781456953642</v>
      </c>
      <c r="M46" s="8">
        <f t="shared" si="172"/>
        <v>1.1492485145054177</v>
      </c>
      <c r="N46" s="8">
        <f t="shared" si="172"/>
        <v>1.4504378283712784</v>
      </c>
      <c r="O46" s="8">
        <f t="shared" si="172"/>
        <v>1.4004914004914004</v>
      </c>
      <c r="P46" s="8">
        <f t="shared" si="172"/>
        <v>2.273876404494382</v>
      </c>
      <c r="Q46" s="8">
        <f t="shared" ref="Q46:AH46" si="173">Q44/Q45</f>
        <v>1.8023868023868024</v>
      </c>
      <c r="R46" s="8">
        <f t="shared" si="173"/>
        <v>-0.73991507430997872</v>
      </c>
      <c r="S46" s="8">
        <f t="shared" si="173"/>
        <v>0.96500530222693526</v>
      </c>
      <c r="T46" s="8">
        <f t="shared" si="173"/>
        <v>1.5206258890469417</v>
      </c>
      <c r="U46" s="8">
        <f t="shared" si="173"/>
        <v>1.9717554522702896</v>
      </c>
      <c r="V46" s="8">
        <f t="shared" si="173"/>
        <v>1.280373831775701</v>
      </c>
      <c r="W46" s="8">
        <f t="shared" si="173"/>
        <v>0.74285714285714288</v>
      </c>
      <c r="X46" s="8">
        <f t="shared" si="173"/>
        <v>1.8757741347905281</v>
      </c>
      <c r="Y46" s="8">
        <f t="shared" si="173"/>
        <v>-0.6632239026189598</v>
      </c>
      <c r="Z46" s="8">
        <f t="shared" si="173"/>
        <v>2.3180642777983005</v>
      </c>
      <c r="AA46" s="8">
        <f t="shared" si="173"/>
        <v>0.61871301775147924</v>
      </c>
      <c r="AB46" s="8">
        <f t="shared" si="173"/>
        <v>2.9193488716241212</v>
      </c>
      <c r="AC46" s="8">
        <f t="shared" si="173"/>
        <v>0.16759156492785793</v>
      </c>
      <c r="AD46" s="8">
        <f t="shared" si="173"/>
        <v>2.0340614587189929</v>
      </c>
      <c r="AE46" s="8">
        <f t="shared" si="173"/>
        <v>0.51797990631163848</v>
      </c>
      <c r="AF46" s="8">
        <f t="shared" si="173"/>
        <v>0.76800314465409003</v>
      </c>
      <c r="AG46" s="8">
        <f t="shared" si="173"/>
        <v>0.66488500431619146</v>
      </c>
      <c r="AH46" s="8">
        <f t="shared" si="173"/>
        <v>0.78910002468221907</v>
      </c>
      <c r="AI46" s="8"/>
      <c r="AJ46" s="8"/>
      <c r="AK46" s="8"/>
      <c r="AO46" s="8">
        <f>AO44/AO45</f>
        <v>3.3116185359301546</v>
      </c>
      <c r="AP46" s="8">
        <f>AP44/AP45</f>
        <v>2.2889498970487301</v>
      </c>
      <c r="AQ46" s="8">
        <f>AQ44/AQ45</f>
        <v>36.640630472854639</v>
      </c>
      <c r="AR46" s="8">
        <f>AR44/AR45</f>
        <v>4.780608634111819</v>
      </c>
      <c r="AS46" s="8">
        <f t="shared" ref="AS46:AZ46" si="174">AS44/AS45</f>
        <v>5.781092739036664</v>
      </c>
      <c r="AT46" s="8">
        <f t="shared" si="174"/>
        <v>4.3147395640930917</v>
      </c>
      <c r="AU46" s="8">
        <f t="shared" si="174"/>
        <v>5.7426878933728247</v>
      </c>
      <c r="AV46" s="8">
        <f t="shared" si="174"/>
        <v>0.29713569048500049</v>
      </c>
      <c r="AW46" s="8">
        <f t="shared" si="174"/>
        <v>1.0662111432727812</v>
      </c>
      <c r="AX46" s="8">
        <f t="shared" si="174"/>
        <v>1.2315910913932855</v>
      </c>
      <c r="AY46" s="8">
        <f t="shared" si="174"/>
        <v>1.4046708464171616</v>
      </c>
      <c r="AZ46" s="8">
        <f t="shared" si="174"/>
        <v>1.5857380447823808</v>
      </c>
    </row>
    <row r="47" spans="1:443" x14ac:dyDescent="0.25">
      <c r="B47" s="21"/>
    </row>
    <row r="48" spans="1:443" x14ac:dyDescent="0.25">
      <c r="B48" s="26" t="s">
        <v>134</v>
      </c>
      <c r="C48" s="8">
        <f>2.04/4</f>
        <v>0.51</v>
      </c>
      <c r="D48" s="8">
        <f>2.04/4</f>
        <v>0.51</v>
      </c>
      <c r="E48" s="8">
        <f>2.04/4</f>
        <v>0.51</v>
      </c>
      <c r="F48" s="8">
        <f>2.04/4</f>
        <v>0.51</v>
      </c>
      <c r="G48" s="8">
        <f>2.08/4</f>
        <v>0.52</v>
      </c>
      <c r="H48" s="8">
        <f>2.08/4</f>
        <v>0.52</v>
      </c>
      <c r="I48" s="8">
        <f>2.08/4</f>
        <v>0.52</v>
      </c>
      <c r="J48" s="8">
        <f>2.08/4</f>
        <v>0.52</v>
      </c>
      <c r="K48" s="8">
        <f>2.12/4</f>
        <v>0.53</v>
      </c>
      <c r="L48" s="8">
        <f>2.12/4</f>
        <v>0.53</v>
      </c>
      <c r="M48" s="8">
        <f>2.12/4</f>
        <v>0.53</v>
      </c>
      <c r="N48" s="8">
        <f>2.12/4</f>
        <v>0.53</v>
      </c>
      <c r="O48" s="8">
        <f>2.16/4</f>
        <v>0.54</v>
      </c>
      <c r="P48" s="8">
        <f>2.16/4</f>
        <v>0.54</v>
      </c>
      <c r="Q48" s="8">
        <f>2.16/4</f>
        <v>0.54</v>
      </c>
      <c r="R48" s="8">
        <f>2.16/4</f>
        <v>0.54</v>
      </c>
      <c r="S48" s="8">
        <f>2.2/4</f>
        <v>0.55000000000000004</v>
      </c>
      <c r="T48" s="8">
        <f>2.2/4</f>
        <v>0.55000000000000004</v>
      </c>
      <c r="U48" s="8">
        <f>2.2/4</f>
        <v>0.55000000000000004</v>
      </c>
      <c r="V48" s="8">
        <f>2.2/4</f>
        <v>0.55000000000000004</v>
      </c>
      <c r="W48" s="8">
        <f>2.24/4</f>
        <v>0.56000000000000005</v>
      </c>
      <c r="X48" s="8">
        <f t="shared" ref="X48:Z48" si="175">2.24/4</f>
        <v>0.56000000000000005</v>
      </c>
      <c r="Y48" s="8">
        <f t="shared" si="175"/>
        <v>0.56000000000000005</v>
      </c>
      <c r="Z48" s="8">
        <f t="shared" si="175"/>
        <v>0.56000000000000005</v>
      </c>
      <c r="AA48" s="8">
        <f>2.28/4</f>
        <v>0.56999999999999995</v>
      </c>
      <c r="AO48" s="8">
        <f>SUM(C48:F48)</f>
        <v>2.04</v>
      </c>
      <c r="AP48" s="8">
        <f>SUM(G48:J48)</f>
        <v>2.08</v>
      </c>
      <c r="AQ48" s="8">
        <f>SUM(K48:N48)</f>
        <v>2.12</v>
      </c>
      <c r="AR48" s="8">
        <f>SUM(O48:R48)</f>
        <v>2.16</v>
      </c>
      <c r="AS48" s="8">
        <f>SUM(S48:V48)</f>
        <v>2.2000000000000002</v>
      </c>
      <c r="AT48" s="8">
        <f>SUM(W48:Z48)</f>
        <v>2.2400000000000002</v>
      </c>
      <c r="AW48" s="74" t="s">
        <v>193</v>
      </c>
    </row>
    <row r="49" spans="1:60" x14ac:dyDescent="0.25">
      <c r="B49" s="26" t="s">
        <v>135</v>
      </c>
      <c r="C49" s="8"/>
      <c r="D49" s="8"/>
      <c r="E49" s="8"/>
      <c r="F49" s="8"/>
      <c r="G49" s="8"/>
      <c r="H49" s="8"/>
      <c r="I49" s="8"/>
      <c r="J49" s="8"/>
      <c r="K49" s="8"/>
      <c r="L49" s="8"/>
      <c r="M49" s="8"/>
      <c r="N49" s="8"/>
      <c r="O49" s="8"/>
      <c r="P49" s="8"/>
      <c r="Q49" s="8"/>
      <c r="R49" s="8"/>
      <c r="S49" s="8"/>
      <c r="T49" s="8"/>
      <c r="U49" s="8"/>
      <c r="V49" s="8"/>
      <c r="W49" s="8"/>
      <c r="X49" s="8"/>
      <c r="Y49" s="8"/>
      <c r="Z49" s="8"/>
      <c r="AO49" s="4">
        <f>AO48/AO46</f>
        <v>0.61601297911174202</v>
      </c>
      <c r="AP49" s="4">
        <f t="shared" ref="AP49:AT49" si="176">AP48/AP46</f>
        <v>0.90871364317841086</v>
      </c>
      <c r="AQ49" s="4">
        <f t="shared" si="176"/>
        <v>5.7859266411111859E-2</v>
      </c>
      <c r="AR49" s="4">
        <f t="shared" si="176"/>
        <v>0.45182531458179126</v>
      </c>
      <c r="AS49" s="4">
        <f t="shared" si="176"/>
        <v>0.38055089224647148</v>
      </c>
      <c r="AT49" s="4">
        <f t="shared" si="176"/>
        <v>0.51915068493150696</v>
      </c>
    </row>
    <row r="50" spans="1:60" x14ac:dyDescent="0.25">
      <c r="B50" s="26"/>
      <c r="C50" s="8"/>
      <c r="D50" s="8"/>
      <c r="E50" s="8"/>
      <c r="F50" s="8"/>
      <c r="G50" s="8"/>
      <c r="H50" s="8"/>
      <c r="I50" s="8"/>
      <c r="J50" s="8"/>
      <c r="K50" s="8"/>
      <c r="L50" s="8"/>
      <c r="M50" s="8"/>
      <c r="N50" s="8"/>
      <c r="O50" s="8"/>
      <c r="P50" s="8"/>
      <c r="Q50" s="8"/>
      <c r="R50" s="8"/>
      <c r="S50" s="8"/>
      <c r="T50" s="8"/>
      <c r="U50" s="8"/>
      <c r="V50" s="8"/>
      <c r="W50" s="8"/>
      <c r="X50" s="8"/>
      <c r="Y50" s="8"/>
      <c r="Z50" s="8"/>
      <c r="AO50" s="4"/>
      <c r="AP50" s="4"/>
      <c r="AQ50" s="4"/>
      <c r="AR50" s="4"/>
      <c r="AS50" s="4"/>
      <c r="AT50" s="4"/>
    </row>
    <row r="51" spans="1:60" x14ac:dyDescent="0.25">
      <c r="B51" s="26" t="s">
        <v>143</v>
      </c>
      <c r="E51" s="8"/>
      <c r="F51" s="8"/>
      <c r="G51" s="8"/>
      <c r="H51" s="8"/>
      <c r="I51" s="8"/>
      <c r="J51" s="8"/>
      <c r="K51" s="8"/>
      <c r="L51" s="8"/>
      <c r="M51" s="8"/>
      <c r="N51" s="8"/>
      <c r="O51" s="8"/>
      <c r="P51" s="8"/>
      <c r="Q51" s="8"/>
      <c r="R51" s="8"/>
      <c r="S51" s="8"/>
      <c r="T51" s="8"/>
      <c r="U51" s="8"/>
      <c r="V51" s="8"/>
      <c r="W51" s="8"/>
      <c r="X51" s="8"/>
      <c r="Y51" s="8"/>
      <c r="Z51" s="8"/>
      <c r="AO51" s="2">
        <f t="shared" ref="AO51:AU51" si="177">AO44+AO42+AO37+AO104</f>
        <v>26969</v>
      </c>
      <c r="AP51" s="2">
        <f t="shared" si="177"/>
        <v>23604</v>
      </c>
      <c r="AQ51" s="2">
        <f t="shared" si="177"/>
        <v>122773</v>
      </c>
      <c r="AR51" s="2">
        <f t="shared" si="177"/>
        <v>33496</v>
      </c>
      <c r="AS51" s="2">
        <f t="shared" si="177"/>
        <v>33171</v>
      </c>
      <c r="AT51" s="2">
        <f t="shared" si="177"/>
        <v>19191</v>
      </c>
      <c r="AU51" s="2">
        <f t="shared" si="177"/>
        <v>23348</v>
      </c>
    </row>
    <row r="52" spans="1:60" x14ac:dyDescent="0.25">
      <c r="B52" s="26" t="s">
        <v>144</v>
      </c>
      <c r="C52" s="8"/>
      <c r="D52" s="8"/>
      <c r="E52" s="8"/>
      <c r="F52" s="8"/>
      <c r="G52" s="8"/>
      <c r="H52" s="8"/>
      <c r="I52" s="8"/>
      <c r="J52" s="8"/>
      <c r="K52" s="8"/>
      <c r="L52" s="8"/>
      <c r="M52" s="8"/>
      <c r="N52" s="8"/>
      <c r="O52" s="8"/>
      <c r="P52" s="8"/>
      <c r="Q52" s="8"/>
      <c r="R52" s="8"/>
      <c r="S52" s="8"/>
      <c r="T52" s="8"/>
      <c r="U52" s="8"/>
      <c r="V52" s="8"/>
      <c r="W52" s="8"/>
      <c r="X52" s="8"/>
      <c r="Y52" s="8"/>
      <c r="Z52" s="8"/>
      <c r="AO52" s="4"/>
      <c r="AP52" s="4">
        <f>AP51/AO51-1</f>
        <v>-0.12477288738922465</v>
      </c>
      <c r="AQ52" s="4">
        <f t="shared" ref="AQ52:AU52" si="178">AQ51/AP51-1</f>
        <v>4.2013641755634641</v>
      </c>
      <c r="AR52" s="4">
        <f t="shared" si="178"/>
        <v>-0.72717128358841121</v>
      </c>
      <c r="AS52" s="4">
        <f t="shared" si="178"/>
        <v>-9.7026510628134277E-3</v>
      </c>
      <c r="AT52" s="4">
        <f>AT51/AS51-1</f>
        <v>-0.42145247354616988</v>
      </c>
      <c r="AU52" s="4">
        <f t="shared" si="178"/>
        <v>0.21661195351987916</v>
      </c>
    </row>
    <row r="53" spans="1:60" x14ac:dyDescent="0.25">
      <c r="B53" s="21"/>
    </row>
    <row r="54" spans="1:60" x14ac:dyDescent="0.25">
      <c r="B54" s="21" t="s">
        <v>50</v>
      </c>
      <c r="G54" s="4">
        <f t="shared" ref="G54:AE54" si="179">G31/C31-1</f>
        <v>4.3797110819962182E-2</v>
      </c>
      <c r="H54" s="4">
        <f t="shared" si="179"/>
        <v>3.7882534149406233E-2</v>
      </c>
      <c r="I54" s="4">
        <f t="shared" si="179"/>
        <v>1.3922827754730971E-2</v>
      </c>
      <c r="J54" s="4">
        <f t="shared" si="179"/>
        <v>1.8537136650840003E-2</v>
      </c>
      <c r="K54" s="4">
        <f t="shared" si="179"/>
        <v>1.0066020050533808E-2</v>
      </c>
      <c r="L54" s="4">
        <f t="shared" si="179"/>
        <v>1.8347548973661976E-2</v>
      </c>
      <c r="M54" s="4">
        <f t="shared" si="179"/>
        <v>2.4797027879641886E-2</v>
      </c>
      <c r="N54" s="4">
        <f t="shared" si="179"/>
        <v>2.0735916076459082E-2</v>
      </c>
      <c r="O54" s="4">
        <f t="shared" si="179"/>
        <v>8.6318337704256676E-2</v>
      </c>
      <c r="P54" s="4">
        <f t="shared" si="179"/>
        <v>5.6490025081110895E-2</v>
      </c>
      <c r="Q54" s="4">
        <f t="shared" si="179"/>
        <v>5.2480252517755233E-2</v>
      </c>
      <c r="R54" s="4">
        <f t="shared" si="179"/>
        <v>7.3465988099187474E-2</v>
      </c>
      <c r="S54" s="4">
        <f t="shared" si="179"/>
        <v>2.7395225148935554E-2</v>
      </c>
      <c r="T54" s="4">
        <f t="shared" si="179"/>
        <v>2.4001393910354052E-2</v>
      </c>
      <c r="U54" s="4">
        <f t="shared" si="179"/>
        <v>4.3182290584078187E-2</v>
      </c>
      <c r="V54" s="4">
        <f t="shared" si="179"/>
        <v>5.2078196200657789E-3</v>
      </c>
      <c r="W54" s="4">
        <f t="shared" si="179"/>
        <v>2.3563010628298686E-2</v>
      </c>
      <c r="X54" s="4">
        <f t="shared" si="179"/>
        <v>8.3737451080483138E-2</v>
      </c>
      <c r="Y54" s="4">
        <f t="shared" si="179"/>
        <v>8.7443515388720972E-2</v>
      </c>
      <c r="Z54" s="4">
        <f t="shared" si="179"/>
        <v>7.3113932662179248E-2</v>
      </c>
      <c r="AA54" s="4">
        <f t="shared" si="179"/>
        <v>7.5807556739116544E-2</v>
      </c>
      <c r="AB54" s="4">
        <f t="shared" si="179"/>
        <v>5.7392760648702357E-2</v>
      </c>
      <c r="AC54" s="4">
        <f t="shared" si="179"/>
        <v>5.2292671435021809E-2</v>
      </c>
      <c r="AD54" s="4">
        <f t="shared" si="179"/>
        <v>5.6934555739783566E-2</v>
      </c>
      <c r="AE54" s="4">
        <f t="shared" si="179"/>
        <v>3.9706042639247485E-2</v>
      </c>
      <c r="AF54" s="4">
        <f t="shared" ref="AF54:AH54" si="180">AF31/AB31-1</f>
        <v>3.9417442090675214E-2</v>
      </c>
      <c r="AG54" s="4">
        <f t="shared" si="180"/>
        <v>3.9632098704012408E-2</v>
      </c>
      <c r="AH54" s="4">
        <f t="shared" si="180"/>
        <v>4.0737594297183488E-2</v>
      </c>
      <c r="AI54" s="4"/>
      <c r="AJ54" s="4"/>
      <c r="AK54" s="4"/>
      <c r="AP54" s="4">
        <f t="shared" ref="AP54:AY54" si="181">AP31/AO31-1</f>
        <v>2.8104720161968855E-2</v>
      </c>
      <c r="AQ54" s="4">
        <f t="shared" si="181"/>
        <v>0.19301328719588651</v>
      </c>
      <c r="AR54" s="4">
        <f t="shared" si="181"/>
        <v>-8.8873571759123471E-2</v>
      </c>
      <c r="AS54" s="4">
        <f t="shared" si="181"/>
        <v>2.4327954345069625E-2</v>
      </c>
      <c r="AT54" s="4">
        <f t="shared" si="181"/>
        <v>6.7280193590965709E-2</v>
      </c>
      <c r="AU54" s="4">
        <f t="shared" si="181"/>
        <v>6.02595499019285E-2</v>
      </c>
      <c r="AV54" s="4">
        <f t="shared" si="181"/>
        <v>9.3304069431050518E-3</v>
      </c>
      <c r="AW54" s="4">
        <f t="shared" si="181"/>
        <v>2.0000000000000018E-2</v>
      </c>
      <c r="AX54" s="4">
        <f t="shared" si="181"/>
        <v>2.0000000000000018E-2</v>
      </c>
      <c r="AY54" s="4">
        <f t="shared" si="181"/>
        <v>2.0000000000000018E-2</v>
      </c>
      <c r="AZ54" s="4">
        <f t="shared" ref="AZ54:AZ55" si="182">AZ31/AY31-1</f>
        <v>2.0000000000000018E-2</v>
      </c>
      <c r="BD54" s="28" t="s">
        <v>140</v>
      </c>
      <c r="BG54" s="28" t="s">
        <v>141</v>
      </c>
    </row>
    <row r="55" spans="1:60" x14ac:dyDescent="0.25">
      <c r="B55" s="21" t="s">
        <v>51</v>
      </c>
      <c r="G55" s="4">
        <f t="shared" ref="G55:AD55" si="183">G32/C32-1</f>
        <v>4.5832953197700865E-2</v>
      </c>
      <c r="H55" s="4">
        <f t="shared" si="183"/>
        <v>4.4252138853377865E-2</v>
      </c>
      <c r="I55" s="4">
        <f t="shared" si="183"/>
        <v>1.713873747910899E-2</v>
      </c>
      <c r="J55" s="4">
        <f t="shared" si="183"/>
        <v>2.208690568978966E-2</v>
      </c>
      <c r="K55" s="4">
        <f t="shared" si="183"/>
        <v>1.4469996837755073E-2</v>
      </c>
      <c r="L55" s="4">
        <f t="shared" si="183"/>
        <v>2.4609975829487984E-2</v>
      </c>
      <c r="M55" s="4">
        <f t="shared" si="183"/>
        <v>2.9898191503071381E-2</v>
      </c>
      <c r="N55" s="4">
        <f t="shared" si="183"/>
        <v>2.7081128999971504E-2</v>
      </c>
      <c r="O55" s="4">
        <f t="shared" si="183"/>
        <v>9.6652836597372893E-2</v>
      </c>
      <c r="P55" s="4">
        <f t="shared" si="183"/>
        <v>4.8670894478314519E-2</v>
      </c>
      <c r="Q55" s="4">
        <f t="shared" si="183"/>
        <v>4.628779979144948E-2</v>
      </c>
      <c r="R55" s="4">
        <f t="shared" si="183"/>
        <v>6.9727512343616516E-2</v>
      </c>
      <c r="S55" s="4">
        <f t="shared" si="183"/>
        <v>1.2212573265638182E-2</v>
      </c>
      <c r="T55" s="4">
        <f t="shared" si="183"/>
        <v>2.4286924597571202E-2</v>
      </c>
      <c r="U55" s="4">
        <f t="shared" si="183"/>
        <v>4.6681748871326256E-2</v>
      </c>
      <c r="V55" s="4">
        <f t="shared" si="183"/>
        <v>2.2644259550064216E-3</v>
      </c>
      <c r="W55" s="4">
        <f t="shared" si="183"/>
        <v>3.4617321248741284E-2</v>
      </c>
      <c r="X55" s="4">
        <f t="shared" si="183"/>
        <v>0.10129963967561295</v>
      </c>
      <c r="Y55" s="4">
        <f t="shared" si="183"/>
        <v>0.10083505517838942</v>
      </c>
      <c r="Z55" s="4">
        <f t="shared" si="183"/>
        <v>8.570661865272422E-2</v>
      </c>
      <c r="AA55" s="4">
        <f t="shared" si="183"/>
        <v>7.8963377539846613E-2</v>
      </c>
      <c r="AB55" s="4">
        <f t="shared" si="183"/>
        <v>5.1900067335416633E-2</v>
      </c>
      <c r="AC55" s="4">
        <f t="shared" si="183"/>
        <v>4.8177973065312685E-2</v>
      </c>
      <c r="AD55" s="4">
        <f t="shared" si="183"/>
        <v>5.1043269575755668E-2</v>
      </c>
      <c r="AE55" s="4">
        <f t="shared" ref="AE55:AH55" si="184">AE32/AA32-1</f>
        <v>3.0000000000000027E-2</v>
      </c>
      <c r="AF55" s="4">
        <f t="shared" si="184"/>
        <v>3.0000000000000027E-2</v>
      </c>
      <c r="AG55" s="4">
        <f t="shared" si="184"/>
        <v>3.0000000000000027E-2</v>
      </c>
      <c r="AH55" s="4">
        <f t="shared" si="184"/>
        <v>3.0000000000000027E-2</v>
      </c>
      <c r="AI55" s="4"/>
      <c r="AJ55" s="4"/>
      <c r="AK55" s="4"/>
      <c r="AP55" s="4">
        <f t="shared" ref="AP55:AY55" si="185">AP32/AO32-1</f>
        <v>3.1883041060964734E-2</v>
      </c>
      <c r="AQ55" s="4">
        <f t="shared" si="185"/>
        <v>2.4147354925110553E-2</v>
      </c>
      <c r="AR55" s="4">
        <f t="shared" si="185"/>
        <v>6.5153761356292916E-2</v>
      </c>
      <c r="AS55" s="4">
        <f t="shared" si="185"/>
        <v>2.0663074122979186E-2</v>
      </c>
      <c r="AT55" s="4">
        <f t="shared" si="185"/>
        <v>8.0934731934731996E-2</v>
      </c>
      <c r="AU55" s="4">
        <f t="shared" si="185"/>
        <v>5.6976069662577178E-2</v>
      </c>
      <c r="AV55" s="4">
        <f t="shared" si="185"/>
        <v>3.0000000000000027E-2</v>
      </c>
      <c r="AW55" s="4">
        <f t="shared" si="185"/>
        <v>2.0000000000000018E-2</v>
      </c>
      <c r="AX55" s="4">
        <f t="shared" si="185"/>
        <v>2.0000000000000018E-2</v>
      </c>
      <c r="AY55" s="4">
        <f t="shared" si="185"/>
        <v>2.0000000000000018E-2</v>
      </c>
      <c r="AZ55" s="4">
        <f t="shared" si="182"/>
        <v>2.0000000000000018E-2</v>
      </c>
      <c r="BD55" s="9" t="s">
        <v>57</v>
      </c>
      <c r="BE55" s="10">
        <v>-0.01</v>
      </c>
      <c r="BG55" s="9" t="s">
        <v>57</v>
      </c>
      <c r="BH55" s="10">
        <v>-0.01</v>
      </c>
    </row>
    <row r="56" spans="1:60" x14ac:dyDescent="0.25">
      <c r="B56" s="21" t="s">
        <v>52</v>
      </c>
      <c r="G56" s="4">
        <f t="shared" ref="G56:P58" si="186">G34/C34-1</f>
        <v>4.9234269001096731E-2</v>
      </c>
      <c r="H56" s="4">
        <f t="shared" si="186"/>
        <v>3.2553643920355757E-2</v>
      </c>
      <c r="I56" s="4">
        <f t="shared" si="186"/>
        <v>-2.828643739764769E-3</v>
      </c>
      <c r="J56" s="4">
        <f t="shared" si="186"/>
        <v>-4.5987654320987614E-2</v>
      </c>
      <c r="K56" s="4">
        <f t="shared" si="186"/>
        <v>4.5297920941578251E-3</v>
      </c>
      <c r="L56" s="4">
        <f t="shared" si="186"/>
        <v>6.1407121728385139E-3</v>
      </c>
      <c r="M56" s="4">
        <f t="shared" si="186"/>
        <v>2.1685577784413157E-2</v>
      </c>
      <c r="N56" s="4">
        <f t="shared" si="186"/>
        <v>2.8110284338042302E-2</v>
      </c>
      <c r="O56" s="4">
        <f t="shared" si="186"/>
        <v>5.49603021660372E-2</v>
      </c>
      <c r="P56" s="4">
        <f t="shared" si="186"/>
        <v>7.9007108034684137E-2</v>
      </c>
      <c r="Q56" s="4">
        <f t="shared" ref="Q56:Z58" si="187">Q34/M34-1</f>
        <v>4.4496401563584476E-2</v>
      </c>
      <c r="R56" s="4">
        <f t="shared" si="187"/>
        <v>9.5451207999720289E-2</v>
      </c>
      <c r="S56" s="4">
        <f t="shared" si="187"/>
        <v>2.7655998830922179E-2</v>
      </c>
      <c r="T56" s="4">
        <f t="shared" si="187"/>
        <v>-1.6658619024625732E-2</v>
      </c>
      <c r="U56" s="4">
        <f t="shared" si="187"/>
        <v>3.9138190339617296E-2</v>
      </c>
      <c r="V56" s="4">
        <f t="shared" si="187"/>
        <v>4.1811624269891823E-3</v>
      </c>
      <c r="W56" s="4">
        <f t="shared" si="187"/>
        <v>4.5326886842760095E-2</v>
      </c>
      <c r="X56" s="4">
        <f t="shared" si="187"/>
        <v>5.8082845217635404E-2</v>
      </c>
      <c r="Y56" s="4">
        <f t="shared" si="187"/>
        <v>0.16139347021204986</v>
      </c>
      <c r="Z56" s="4">
        <f t="shared" si="187"/>
        <v>5.0918568431759015E-2</v>
      </c>
      <c r="AA56" s="4">
        <f t="shared" ref="AA56:AJ58" si="188">AA34/W34-1</f>
        <v>4.6694327302407856E-2</v>
      </c>
      <c r="AB56" s="4">
        <f t="shared" si="188"/>
        <v>7.6209102661848993E-2</v>
      </c>
      <c r="AC56" s="4">
        <f t="shared" si="188"/>
        <v>-3.1473699463845817E-2</v>
      </c>
      <c r="AD56" s="4">
        <f t="shared" si="188"/>
        <v>3.7654246310186323E-2</v>
      </c>
      <c r="AE56" s="4">
        <f t="shared" ref="AE56:AH56" si="189">AE34/AA34-1</f>
        <v>7.8000000000000069E-2</v>
      </c>
      <c r="AF56" s="4">
        <f t="shared" si="189"/>
        <v>3.0000000000000027E-2</v>
      </c>
      <c r="AG56" s="4">
        <f t="shared" si="189"/>
        <v>3.0000000000000027E-2</v>
      </c>
      <c r="AH56" s="4">
        <f t="shared" si="189"/>
        <v>3.0000000000000027E-2</v>
      </c>
      <c r="AI56" s="4"/>
      <c r="AJ56" s="4"/>
      <c r="AK56" s="4"/>
      <c r="AP56" s="4">
        <f t="shared" ref="AP56:AY56" si="190">AP34/AO34-1</f>
        <v>5.980659093042906E-3</v>
      </c>
      <c r="AQ56" s="4">
        <f t="shared" si="190"/>
        <v>1.5343406721606723E-2</v>
      </c>
      <c r="AR56" s="4">
        <f t="shared" si="190"/>
        <v>6.8911950437076541E-2</v>
      </c>
      <c r="AS56" s="4">
        <f t="shared" si="190"/>
        <v>1.3105393505778773E-2</v>
      </c>
      <c r="AT56" s="4">
        <f t="shared" si="190"/>
        <v>7.9176993854615851E-2</v>
      </c>
      <c r="AU56" s="4">
        <f t="shared" si="190"/>
        <v>3.0132137800849446E-2</v>
      </c>
      <c r="AV56" s="4">
        <f t="shared" si="190"/>
        <v>4.127956570538549E-2</v>
      </c>
      <c r="AW56" s="4">
        <f t="shared" si="190"/>
        <v>1.0000000000000009E-2</v>
      </c>
      <c r="AX56" s="4">
        <f t="shared" si="190"/>
        <v>1.0000000000000009E-2</v>
      </c>
      <c r="AY56" s="4">
        <f t="shared" si="190"/>
        <v>1.0000000000000009E-2</v>
      </c>
      <c r="AZ56" s="4">
        <f t="shared" ref="AZ56:AZ58" si="191">AZ34/AY34-1</f>
        <v>1.0000000000000009E-2</v>
      </c>
      <c r="BD56" s="9" t="s">
        <v>19</v>
      </c>
      <c r="BE56" s="20">
        <f>WACC!C18</f>
        <v>4.4829601391657446E-2</v>
      </c>
      <c r="BG56" s="9" t="s">
        <v>19</v>
      </c>
      <c r="BH56" s="20">
        <f>WACC!C18</f>
        <v>4.4829601391657446E-2</v>
      </c>
    </row>
    <row r="57" spans="1:60" x14ac:dyDescent="0.25">
      <c r="B57" s="21" t="s">
        <v>53</v>
      </c>
      <c r="G57" s="4">
        <f t="shared" si="186"/>
        <v>4.9234269001096731E-2</v>
      </c>
      <c r="H57" s="4">
        <f t="shared" si="186"/>
        <v>3.2553643920355757E-2</v>
      </c>
      <c r="I57" s="4">
        <f t="shared" si="186"/>
        <v>-2.828643739764769E-3</v>
      </c>
      <c r="J57" s="4">
        <f t="shared" si="186"/>
        <v>-4.5987654320987614E-2</v>
      </c>
      <c r="K57" s="4">
        <f t="shared" si="186"/>
        <v>4.5297920941578251E-3</v>
      </c>
      <c r="L57" s="4">
        <f t="shared" si="186"/>
        <v>6.1407121728385139E-3</v>
      </c>
      <c r="M57" s="4">
        <f t="shared" si="186"/>
        <v>2.1685577784413157E-2</v>
      </c>
      <c r="N57" s="4">
        <f t="shared" si="186"/>
        <v>2.8110284338042302E-2</v>
      </c>
      <c r="O57" s="4">
        <f t="shared" si="186"/>
        <v>5.49603021660372E-2</v>
      </c>
      <c r="P57" s="4">
        <f t="shared" si="186"/>
        <v>7.9007108034684137E-2</v>
      </c>
      <c r="Q57" s="4">
        <f t="shared" si="187"/>
        <v>4.4496401563584476E-2</v>
      </c>
      <c r="R57" s="4">
        <f t="shared" si="187"/>
        <v>9.5451207999720289E-2</v>
      </c>
      <c r="S57" s="4">
        <f t="shared" si="187"/>
        <v>2.7655998830922179E-2</v>
      </c>
      <c r="T57" s="4">
        <f t="shared" si="187"/>
        <v>-1.6658619024625732E-2</v>
      </c>
      <c r="U57" s="4">
        <f t="shared" si="187"/>
        <v>3.9138190339617296E-2</v>
      </c>
      <c r="V57" s="4">
        <f t="shared" si="187"/>
        <v>4.1811624269891823E-3</v>
      </c>
      <c r="W57" s="4">
        <f t="shared" si="187"/>
        <v>4.5326886842760095E-2</v>
      </c>
      <c r="X57" s="4">
        <f t="shared" si="187"/>
        <v>5.8082845217635404E-2</v>
      </c>
      <c r="Y57" s="4">
        <f t="shared" si="187"/>
        <v>0.16139347021204986</v>
      </c>
      <c r="Z57" s="4">
        <f t="shared" si="187"/>
        <v>5.0918568431759015E-2</v>
      </c>
      <c r="AA57" s="4">
        <f t="shared" si="188"/>
        <v>4.6694327302407856E-2</v>
      </c>
      <c r="AB57" s="4">
        <f t="shared" si="188"/>
        <v>7.6209102661848993E-2</v>
      </c>
      <c r="AC57" s="4">
        <f t="shared" si="188"/>
        <v>-3.1473699463845817E-2</v>
      </c>
      <c r="AD57" s="4">
        <f t="shared" si="188"/>
        <v>3.7654246310186323E-2</v>
      </c>
      <c r="AE57" s="4">
        <f t="shared" ref="AE57:AH57" si="192">AE35/AA35-1</f>
        <v>7.8000000000000069E-2</v>
      </c>
      <c r="AF57" s="4">
        <f t="shared" si="192"/>
        <v>3.0000000000000027E-2</v>
      </c>
      <c r="AG57" s="4">
        <f t="shared" si="192"/>
        <v>3.0000000000000027E-2</v>
      </c>
      <c r="AH57" s="4">
        <f t="shared" si="192"/>
        <v>3.0000000000000027E-2</v>
      </c>
      <c r="AI57" s="4"/>
      <c r="AJ57" s="4"/>
      <c r="AK57" s="4"/>
      <c r="AP57" s="4">
        <f t="shared" ref="AP57:AY57" si="193">AP35/AO35-1</f>
        <v>5.980659093042906E-3</v>
      </c>
      <c r="AQ57" s="4">
        <f t="shared" si="193"/>
        <v>1.5343406721606723E-2</v>
      </c>
      <c r="AR57" s="4">
        <f t="shared" si="193"/>
        <v>6.8911950437076541E-2</v>
      </c>
      <c r="AS57" s="4">
        <f t="shared" si="193"/>
        <v>1.3105393505778773E-2</v>
      </c>
      <c r="AT57" s="4">
        <f t="shared" si="193"/>
        <v>7.9176993854615851E-2</v>
      </c>
      <c r="AU57" s="4">
        <f t="shared" si="193"/>
        <v>3.0132137800849446E-2</v>
      </c>
      <c r="AV57" s="4">
        <f t="shared" si="193"/>
        <v>4.127956570538549E-2</v>
      </c>
      <c r="AW57" s="4">
        <f t="shared" si="193"/>
        <v>1.0000000000000009E-2</v>
      </c>
      <c r="AX57" s="4">
        <f t="shared" si="193"/>
        <v>1.0000000000000009E-2</v>
      </c>
      <c r="AY57" s="4">
        <f t="shared" si="193"/>
        <v>1.0000000000000009E-2</v>
      </c>
      <c r="AZ57" s="4">
        <f t="shared" si="191"/>
        <v>1.0000000000000009E-2</v>
      </c>
      <c r="BD57" s="9" t="s">
        <v>3</v>
      </c>
      <c r="BE57" s="11">
        <f>Main!C5</f>
        <v>8103</v>
      </c>
      <c r="BG57" s="9" t="s">
        <v>3</v>
      </c>
      <c r="BH57" s="2">
        <f>Main!C5</f>
        <v>8103</v>
      </c>
    </row>
    <row r="58" spans="1:60" x14ac:dyDescent="0.25">
      <c r="B58" s="23" t="s">
        <v>78</v>
      </c>
      <c r="G58" s="4">
        <f t="shared" si="186"/>
        <v>-1.5848768378842859E-2</v>
      </c>
      <c r="H58" s="4">
        <f t="shared" si="186"/>
        <v>-3.6689562740827575E-2</v>
      </c>
      <c r="I58" s="4">
        <f t="shared" si="186"/>
        <v>4.6599496221662484E-2</v>
      </c>
      <c r="J58" s="4">
        <f t="shared" si="186"/>
        <v>0.3581822252070741</v>
      </c>
      <c r="K58" s="4">
        <f t="shared" si="186"/>
        <v>-4.0551028327512562E-2</v>
      </c>
      <c r="L58" s="4">
        <f t="shared" si="186"/>
        <v>-2.9043478260869615E-2</v>
      </c>
      <c r="M58" s="4">
        <f t="shared" si="186"/>
        <v>-5.3750501403931006E-2</v>
      </c>
      <c r="N58" s="4">
        <f t="shared" si="186"/>
        <v>-0.12279545079940668</v>
      </c>
      <c r="O58" s="4">
        <f t="shared" si="186"/>
        <v>5.6420626895854475E-2</v>
      </c>
      <c r="P58" s="4">
        <f t="shared" si="186"/>
        <v>8.5258821422174558E-2</v>
      </c>
      <c r="Q58" s="4">
        <f t="shared" si="187"/>
        <v>0.22467147096227214</v>
      </c>
      <c r="R58" s="4">
        <f t="shared" si="187"/>
        <v>3.1003382187147599E-2</v>
      </c>
      <c r="S58" s="4">
        <f t="shared" si="187"/>
        <v>0.32254977029096477</v>
      </c>
      <c r="T58" s="4">
        <f t="shared" si="187"/>
        <v>0.21373163888430424</v>
      </c>
      <c r="U58" s="4">
        <f t="shared" si="187"/>
        <v>2.4229837313949343E-3</v>
      </c>
      <c r="V58" s="4">
        <f t="shared" si="187"/>
        <v>7.2899580827410215E-2</v>
      </c>
      <c r="W58" s="4">
        <f t="shared" si="187"/>
        <v>-0.23027934578086551</v>
      </c>
      <c r="X58" s="4">
        <f t="shared" si="187"/>
        <v>-6.7990209409845015E-2</v>
      </c>
      <c r="Y58" s="4">
        <f t="shared" si="187"/>
        <v>-0.53470303867403313</v>
      </c>
      <c r="Z58" s="4">
        <f t="shared" si="187"/>
        <v>-5.5376252760319322E-2</v>
      </c>
      <c r="AA58" s="4">
        <f t="shared" si="188"/>
        <v>0.17337344866491167</v>
      </c>
      <c r="AB58" s="4">
        <f t="shared" si="188"/>
        <v>6.7405894368252062E-2</v>
      </c>
      <c r="AC58" s="4">
        <f t="shared" si="188"/>
        <v>1.3012987012987014</v>
      </c>
      <c r="AD58" s="4">
        <f t="shared" si="188"/>
        <v>0.30444164718575806</v>
      </c>
      <c r="AE58" s="4">
        <f>AE36/AA36-1</f>
        <v>3.0151282051284367E-2</v>
      </c>
      <c r="AF58" s="4">
        <f t="shared" ref="AF58:AH58" si="194">AF36/AB36-1</f>
        <v>0.238059048660473</v>
      </c>
      <c r="AG58" s="4">
        <f t="shared" si="194"/>
        <v>0.27973879393743872</v>
      </c>
      <c r="AH58" s="4">
        <f t="shared" si="194"/>
        <v>0.28665425971877978</v>
      </c>
      <c r="AI58" s="4"/>
      <c r="AJ58" s="4"/>
      <c r="AK58" s="4"/>
      <c r="AP58" s="4">
        <f t="shared" ref="AP58:AY58" si="195">AP36/AO36-1</f>
        <v>7.4374908254636107E-2</v>
      </c>
      <c r="AQ58" s="4">
        <f t="shared" si="195"/>
        <v>4.0232727603953178</v>
      </c>
      <c r="AR58" s="4">
        <f t="shared" si="195"/>
        <v>-0.79556828896786824</v>
      </c>
      <c r="AS58" s="4">
        <f t="shared" si="195"/>
        <v>0.1505233280113536</v>
      </c>
      <c r="AT58" s="4">
        <f t="shared" si="195"/>
        <v>-0.212551075476062</v>
      </c>
      <c r="AU58" s="4">
        <f t="shared" si="195"/>
        <v>0.32230272175445474</v>
      </c>
      <c r="AV58" s="4">
        <f t="shared" si="195"/>
        <v>-0.52063586554124197</v>
      </c>
      <c r="AW58" s="4">
        <f t="shared" si="195"/>
        <v>0.12532226998720231</v>
      </c>
      <c r="AX58" s="4">
        <f t="shared" si="195"/>
        <v>0.11452891453777658</v>
      </c>
      <c r="AY58" s="4">
        <f t="shared" si="195"/>
        <v>0.10566328108476708</v>
      </c>
      <c r="AZ58" s="4">
        <f t="shared" si="191"/>
        <v>9.8251593749891786E-2</v>
      </c>
      <c r="BD58" s="9" t="s">
        <v>58</v>
      </c>
      <c r="BE58" s="11">
        <f>NPV(BE56,AU44:QA44)</f>
        <v>222417.04109395362</v>
      </c>
      <c r="BG58" s="9" t="s">
        <v>58</v>
      </c>
      <c r="BH58" s="2">
        <f>NPV(BH56,AS134:PZ134)</f>
        <v>680052.3628777446</v>
      </c>
    </row>
    <row r="59" spans="1:60" x14ac:dyDescent="0.25">
      <c r="B59" s="21" t="s">
        <v>54</v>
      </c>
      <c r="G59" s="4">
        <f>G44/C44-1</f>
        <v>-0.29779532741033232</v>
      </c>
      <c r="H59" s="4">
        <f t="shared" ref="H59:R59" si="196">H44/D44-1</f>
        <v>-1.2969989651604001</v>
      </c>
      <c r="I59" s="4">
        <f t="shared" si="196"/>
        <v>-2.2298456260720356E-2</v>
      </c>
      <c r="J59" s="4">
        <f t="shared" si="196"/>
        <v>0.69517241379310346</v>
      </c>
      <c r="K59" s="4">
        <f t="shared" si="196"/>
        <v>0.80037488284910974</v>
      </c>
      <c r="L59" s="4">
        <f t="shared" si="196"/>
        <v>-5.1927990708478511</v>
      </c>
      <c r="M59" s="4">
        <f t="shared" si="196"/>
        <v>0.92280701754385963</v>
      </c>
      <c r="N59" s="4">
        <f t="shared" si="196"/>
        <v>0.12313534038513696</v>
      </c>
      <c r="O59" s="4">
        <f t="shared" si="196"/>
        <v>3.8521603331598042E-2</v>
      </c>
      <c r="P59" s="4">
        <f t="shared" si="196"/>
        <v>0.79390581717451525</v>
      </c>
      <c r="Q59" s="4">
        <f t="shared" si="196"/>
        <v>0.56173965936739667</v>
      </c>
      <c r="R59" s="4">
        <f t="shared" si="196"/>
        <v>-1.504950495049505</v>
      </c>
      <c r="S59" s="4">
        <f t="shared" ref="S59:Z61" si="197">S44/O44-1</f>
        <v>-0.31578947368421051</v>
      </c>
      <c r="T59" s="4">
        <f t="shared" si="197"/>
        <v>-0.33971587399629399</v>
      </c>
      <c r="U59" s="4">
        <f t="shared" si="197"/>
        <v>7.4001947419668923E-2</v>
      </c>
      <c r="V59" s="4">
        <f t="shared" si="197"/>
        <v>-2.7034911525585845</v>
      </c>
      <c r="W59" s="4">
        <f t="shared" si="197"/>
        <v>-0.24761904761904763</v>
      </c>
      <c r="X59" s="4">
        <f t="shared" si="197"/>
        <v>0.20416276894293728</v>
      </c>
      <c r="Y59" s="4">
        <f t="shared" si="197"/>
        <v>-1.3260199456029012</v>
      </c>
      <c r="Z59" s="4">
        <f t="shared" si="197"/>
        <v>0.76165075800112292</v>
      </c>
      <c r="AA59" s="4">
        <f t="shared" ref="AA59:AA61" si="198">AA44/W44-1</f>
        <v>-0.18549172346640697</v>
      </c>
      <c r="AB59" s="4">
        <f t="shared" ref="AB59:AB61" si="199">AB44/X44-1</f>
        <v>0.53253058846377943</v>
      </c>
      <c r="AC59" s="4">
        <f t="shared" ref="AC59:AC61" si="200">AC44/Y44-1</f>
        <v>-1.2519466073414907</v>
      </c>
      <c r="AD59" s="4">
        <f t="shared" ref="AD59:AD61" si="201">AD44/Z44-1</f>
        <v>-0.12446215139442229</v>
      </c>
      <c r="AE59" s="4">
        <f t="shared" ref="AE59:AE61" si="202">AE44/AA44-1</f>
        <v>1.5115678421996481</v>
      </c>
      <c r="AF59" s="4">
        <f t="shared" ref="AF59:AF61" si="203">AF44/AB44-1</f>
        <v>-0.21077968571790451</v>
      </c>
      <c r="AG59" s="4">
        <f t="shared" ref="AG59:AG61" si="204">AG44/AC44-1</f>
        <v>10.901881898454738</v>
      </c>
      <c r="AH59" s="4">
        <f t="shared" ref="AH59:AH61" si="205">AH44/AD44-1</f>
        <v>0.16382917728431412</v>
      </c>
      <c r="AI59" s="4"/>
      <c r="AJ59" s="4"/>
      <c r="AK59" s="4"/>
      <c r="AP59" s="4">
        <f>AP44/AO44-1</f>
        <v>-0.32366659906712636</v>
      </c>
      <c r="AQ59" s="4">
        <f t="shared" ref="AQ59:AR59" si="206">AQ44/AP44-1</f>
        <v>14.683508245877061</v>
      </c>
      <c r="AR59" s="4">
        <f t="shared" si="206"/>
        <v>-0.87085241231633992</v>
      </c>
      <c r="AS59" s="4">
        <f t="shared" ref="AS59:AV59" si="207">AS44/AR44-1</f>
        <v>0.19045151739452248</v>
      </c>
      <c r="AT59" s="4">
        <f t="shared" si="207"/>
        <v>-0.27376733196542935</v>
      </c>
      <c r="AU59" s="4">
        <f t="shared" si="207"/>
        <v>0.32799657534246585</v>
      </c>
      <c r="AV59" s="4">
        <f t="shared" si="207"/>
        <v>-0.84477528850493466</v>
      </c>
      <c r="AW59" s="4">
        <f t="shared" ref="AW59:AY61" si="208">AW44/AV44-1</f>
        <v>2.5524141516528389</v>
      </c>
      <c r="AX59" s="4">
        <f t="shared" si="208"/>
        <v>0.14355884214146797</v>
      </c>
      <c r="AY59" s="4">
        <f t="shared" si="208"/>
        <v>0.1291281235071231</v>
      </c>
      <c r="AZ59" s="4">
        <f t="shared" ref="AZ59:AZ61" si="209">AZ44/AY44-1</f>
        <v>0.11761461294565168</v>
      </c>
      <c r="BD59" s="9" t="s">
        <v>63</v>
      </c>
      <c r="BE59" s="2">
        <f>Main!C7-Main!C8</f>
        <v>-30590</v>
      </c>
      <c r="BG59" s="9" t="s">
        <v>63</v>
      </c>
      <c r="BH59" s="2">
        <f>Main!C7-Main!C8</f>
        <v>-30590</v>
      </c>
    </row>
    <row r="60" spans="1:60" x14ac:dyDescent="0.25">
      <c r="B60" s="21" t="s">
        <v>55</v>
      </c>
      <c r="G60" s="4">
        <f>G45/C45-1</f>
        <v>-2.625533311453887E-2</v>
      </c>
      <c r="H60" s="4">
        <f t="shared" ref="H60:R60" si="210">H45/D45-1</f>
        <v>-2.0191989407481015E-2</v>
      </c>
      <c r="I60" s="4">
        <f t="shared" si="210"/>
        <v>-1.8357810413885178E-2</v>
      </c>
      <c r="J60" s="4">
        <f t="shared" si="210"/>
        <v>-2.1490933512424482E-2</v>
      </c>
      <c r="K60" s="4">
        <f t="shared" si="210"/>
        <v>-2.7300303336703746E-2</v>
      </c>
      <c r="L60" s="4">
        <f t="shared" si="210"/>
        <v>-3.074324324324329E-2</v>
      </c>
      <c r="M60" s="4">
        <f t="shared" si="210"/>
        <v>-2.7201632097925921E-2</v>
      </c>
      <c r="N60" s="4">
        <f t="shared" si="210"/>
        <v>-2.0247083047357561E-2</v>
      </c>
      <c r="O60" s="4">
        <f t="shared" si="210"/>
        <v>-1.2820512820512775E-2</v>
      </c>
      <c r="P60" s="4">
        <f t="shared" si="210"/>
        <v>-7.319623562216826E-3</v>
      </c>
      <c r="Q60" s="4">
        <f t="shared" si="210"/>
        <v>-4.1943376441803126E-3</v>
      </c>
      <c r="R60" s="4">
        <f t="shared" si="210"/>
        <v>-1.0157618213660236E-2</v>
      </c>
      <c r="S60" s="4">
        <f t="shared" si="197"/>
        <v>-7.0200070200070463E-3</v>
      </c>
      <c r="T60" s="4">
        <f t="shared" si="197"/>
        <v>-1.2640449438202195E-2</v>
      </c>
      <c r="U60" s="4">
        <f t="shared" si="197"/>
        <v>-1.8252018252018276E-2</v>
      </c>
      <c r="V60" s="4">
        <f t="shared" si="197"/>
        <v>-1.556970983722572E-2</v>
      </c>
      <c r="W60" s="4">
        <f t="shared" si="197"/>
        <v>-2.2622834924001411E-2</v>
      </c>
      <c r="X60" s="4">
        <f t="shared" si="197"/>
        <v>-2.3826458036984355E-2</v>
      </c>
      <c r="Y60" s="4">
        <f t="shared" si="197"/>
        <v>-3.0747229174115098E-2</v>
      </c>
      <c r="Z60" s="4">
        <f t="shared" si="197"/>
        <v>-2.6959022286125123E-2</v>
      </c>
      <c r="AA60" s="4">
        <f t="shared" si="198"/>
        <v>-2.206148282097653E-2</v>
      </c>
      <c r="AB60" s="4">
        <f t="shared" si="199"/>
        <v>-1.5300546448087426E-2</v>
      </c>
      <c r="AC60" s="4">
        <f t="shared" si="200"/>
        <v>-2.950940612320152E-3</v>
      </c>
      <c r="AD60" s="4">
        <f t="shared" si="201"/>
        <v>-2.2164758034725063E-3</v>
      </c>
      <c r="AE60" s="4">
        <f t="shared" si="202"/>
        <v>2</v>
      </c>
      <c r="AF60" s="4">
        <f t="shared" si="203"/>
        <v>2</v>
      </c>
      <c r="AG60" s="4">
        <f t="shared" si="204"/>
        <v>2</v>
      </c>
      <c r="AH60" s="4">
        <f t="shared" si="205"/>
        <v>2</v>
      </c>
      <c r="AI60" s="4"/>
      <c r="AJ60" s="4"/>
      <c r="AK60" s="4"/>
      <c r="AP60" s="4">
        <f>AP45/AO45-1</f>
        <v>-2.1490933512424482E-2</v>
      </c>
      <c r="AQ60" s="4">
        <f t="shared" ref="AQ60:AR60" si="211">AQ45/AP45-1</f>
        <v>-2.0247083047357561E-2</v>
      </c>
      <c r="AR60" s="4">
        <f t="shared" si="211"/>
        <v>-1.0157618213660236E-2</v>
      </c>
      <c r="AS60" s="4">
        <f t="shared" ref="AS60:AV60" si="212">AS45/AR45-1</f>
        <v>-1.556970983722572E-2</v>
      </c>
      <c r="AT60" s="4">
        <f t="shared" si="212"/>
        <v>-2.6959022286125123E-2</v>
      </c>
      <c r="AU60" s="4">
        <f t="shared" si="212"/>
        <v>-2.2164758034725063E-3</v>
      </c>
      <c r="AV60" s="4">
        <f t="shared" si="212"/>
        <v>2</v>
      </c>
      <c r="AW60" s="4">
        <f t="shared" si="208"/>
        <v>-1.0000000000000009E-2</v>
      </c>
      <c r="AX60" s="4">
        <f t="shared" si="208"/>
        <v>-1.0000000000000009E-2</v>
      </c>
      <c r="AY60" s="4">
        <f t="shared" si="208"/>
        <v>-1.0000000000000009E-2</v>
      </c>
      <c r="AZ60" s="4">
        <f t="shared" si="209"/>
        <v>-1.0000000000000009E-2</v>
      </c>
      <c r="BD60" s="9" t="s">
        <v>59</v>
      </c>
      <c r="BE60" s="2">
        <f>+BE58+BE59</f>
        <v>191827.04109395362</v>
      </c>
      <c r="BG60" s="9" t="s">
        <v>59</v>
      </c>
      <c r="BH60" s="2">
        <f>+BH58+BH59</f>
        <v>649462.3628777446</v>
      </c>
    </row>
    <row r="61" spans="1:60" s="13" customFormat="1" ht="14.4" x14ac:dyDescent="0.3">
      <c r="A61" s="12"/>
      <c r="B61" s="21" t="s">
        <v>56</v>
      </c>
      <c r="G61" s="4">
        <f t="shared" ref="G61:R61" si="213">G46/C46-1</f>
        <v>-0.27886159845611136</v>
      </c>
      <c r="H61" s="4">
        <f t="shared" si="213"/>
        <v>-1.3031195519424219</v>
      </c>
      <c r="I61" s="4">
        <f t="shared" si="213"/>
        <v>-4.0143403458409166E-3</v>
      </c>
      <c r="J61" s="4">
        <f t="shared" si="213"/>
        <v>0.73240337964168223</v>
      </c>
      <c r="K61" s="4">
        <f t="shared" si="213"/>
        <v>0.85090515502886621</v>
      </c>
      <c r="L61" s="4">
        <f t="shared" si="213"/>
        <v>-5.3257878179538656</v>
      </c>
      <c r="M61" s="4">
        <f t="shared" si="213"/>
        <v>0.97657302991838191</v>
      </c>
      <c r="N61" s="4">
        <f t="shared" si="213"/>
        <v>0.14634549277838493</v>
      </c>
      <c r="O61" s="4">
        <f t="shared" si="213"/>
        <v>5.2008896881359012E-2</v>
      </c>
      <c r="P61" s="4">
        <f t="shared" si="213"/>
        <v>0.80713335304553513</v>
      </c>
      <c r="Q61" s="4">
        <f t="shared" si="213"/>
        <v>0.56831771339070603</v>
      </c>
      <c r="R61" s="4">
        <f t="shared" si="213"/>
        <v>-1.5101322234134242</v>
      </c>
      <c r="S61" s="4">
        <f t="shared" si="197"/>
        <v>-0.31095235437480229</v>
      </c>
      <c r="T61" s="4">
        <f t="shared" si="197"/>
        <v>-0.33126273440307441</v>
      </c>
      <c r="U61" s="4">
        <f t="shared" si="197"/>
        <v>9.3969091240127645E-2</v>
      </c>
      <c r="V61" s="4">
        <f t="shared" si="197"/>
        <v>-2.7304335000469302</v>
      </c>
      <c r="W61" s="4">
        <f t="shared" si="197"/>
        <v>-0.23020408163265305</v>
      </c>
      <c r="X61" s="4">
        <f t="shared" si="197"/>
        <v>0.23355399135429478</v>
      </c>
      <c r="Y61" s="4">
        <f t="shared" si="197"/>
        <v>-1.3363621497053908</v>
      </c>
      <c r="Z61" s="4">
        <f t="shared" si="197"/>
        <v>0.81045896149210317</v>
      </c>
      <c r="AA61" s="4">
        <f t="shared" si="198"/>
        <v>-0.16711709148839338</v>
      </c>
      <c r="AB61" s="4">
        <f t="shared" si="199"/>
        <v>0.55634349438885478</v>
      </c>
      <c r="AC61" s="4">
        <f t="shared" si="200"/>
        <v>-1.2526922872744288</v>
      </c>
      <c r="AD61" s="4">
        <f t="shared" si="201"/>
        <v>-0.12251723207134435</v>
      </c>
      <c r="AE61" s="4">
        <f t="shared" si="202"/>
        <v>-0.16281071926678392</v>
      </c>
      <c r="AF61" s="4">
        <f t="shared" si="203"/>
        <v>-0.73692656190596817</v>
      </c>
      <c r="AG61" s="4">
        <f t="shared" si="204"/>
        <v>2.9672939661515798</v>
      </c>
      <c r="AH61" s="4">
        <f t="shared" si="205"/>
        <v>-0.61205694090522866</v>
      </c>
      <c r="AI61" s="4"/>
      <c r="AJ61" s="4"/>
      <c r="AK61" s="4"/>
      <c r="AP61" s="4">
        <f>AP46/AO46-1</f>
        <v>-0.30881233082426307</v>
      </c>
      <c r="AQ61" s="4">
        <f>AQ46/AP46-1</f>
        <v>15.007615771798864</v>
      </c>
      <c r="AR61" s="4">
        <f>AR46/AQ46-1</f>
        <v>-0.86952711859984089</v>
      </c>
      <c r="AS61" s="4">
        <f t="shared" ref="AS61:AV61" si="214">AS46/AR46-1</f>
        <v>0.20927965066747678</v>
      </c>
      <c r="AT61" s="4">
        <f t="shared" si="214"/>
        <v>-0.25364636776055571</v>
      </c>
      <c r="AU61" s="4">
        <f t="shared" si="214"/>
        <v>0.33094658624659568</v>
      </c>
      <c r="AV61" s="4">
        <f t="shared" si="214"/>
        <v>-0.94825842950164485</v>
      </c>
      <c r="AW61" s="4">
        <f t="shared" si="208"/>
        <v>2.5882971228816549</v>
      </c>
      <c r="AX61" s="4">
        <f t="shared" si="208"/>
        <v>0.1551099415570385</v>
      </c>
      <c r="AY61" s="4">
        <f t="shared" si="208"/>
        <v>0.14053345808800288</v>
      </c>
      <c r="AZ61" s="4">
        <f t="shared" si="209"/>
        <v>0.12890364944005217</v>
      </c>
      <c r="BD61" s="9" t="s">
        <v>60</v>
      </c>
      <c r="BE61" s="14">
        <f>BE60/BE57</f>
        <v>23.673582758725612</v>
      </c>
      <c r="BG61" s="9" t="s">
        <v>60</v>
      </c>
      <c r="BH61" s="30">
        <f>BH60/BH57</f>
        <v>80.150853125724367</v>
      </c>
    </row>
    <row r="62" spans="1:60" x14ac:dyDescent="0.25">
      <c r="B62" s="21" t="s">
        <v>48</v>
      </c>
      <c r="C62" s="4">
        <f t="shared" ref="C62:AD62" si="215">C33/C31</f>
        <v>0.25398580932772968</v>
      </c>
      <c r="D62" s="4">
        <f t="shared" si="215"/>
        <v>0.25806817721211139</v>
      </c>
      <c r="E62" s="4">
        <f t="shared" si="215"/>
        <v>0.25679701897238977</v>
      </c>
      <c r="F62" s="4">
        <f t="shared" si="215"/>
        <v>0.24677287971409073</v>
      </c>
      <c r="G62" s="4">
        <f t="shared" si="215"/>
        <v>0.25253076860379819</v>
      </c>
      <c r="H62" s="4">
        <f t="shared" si="215"/>
        <v>0.25351485612522262</v>
      </c>
      <c r="I62" s="4">
        <f t="shared" si="215"/>
        <v>0.25443976492065273</v>
      </c>
      <c r="J62" s="4">
        <f t="shared" si="215"/>
        <v>0.24414775961323698</v>
      </c>
      <c r="K62" s="4">
        <f t="shared" si="215"/>
        <v>0.24927173693766391</v>
      </c>
      <c r="L62" s="4">
        <f t="shared" si="215"/>
        <v>0.24892427345313975</v>
      </c>
      <c r="M62" s="4">
        <f t="shared" si="215"/>
        <v>0.25072856685235678</v>
      </c>
      <c r="N62" s="4">
        <f t="shared" si="215"/>
        <v>0.23944914626140848</v>
      </c>
      <c r="O62" s="4">
        <f t="shared" si="215"/>
        <v>0.24212981533478925</v>
      </c>
      <c r="P62" s="4">
        <f t="shared" si="215"/>
        <v>0.25448301897750869</v>
      </c>
      <c r="Q62" s="4">
        <f t="shared" si="215"/>
        <v>0.2551370371470143</v>
      </c>
      <c r="R62" s="4">
        <f t="shared" si="215"/>
        <v>0.24209785703483058</v>
      </c>
      <c r="S62" s="4">
        <f t="shared" si="215"/>
        <v>0.25332947726122479</v>
      </c>
      <c r="T62" s="4">
        <f t="shared" si="215"/>
        <v>0.25427514037774374</v>
      </c>
      <c r="U62" s="4">
        <f t="shared" si="215"/>
        <v>0.25263832058352609</v>
      </c>
      <c r="V62" s="4">
        <f t="shared" si="215"/>
        <v>0.24431710396347248</v>
      </c>
      <c r="W62" s="4">
        <f t="shared" si="215"/>
        <v>0.24526555955046656</v>
      </c>
      <c r="X62" s="4">
        <f t="shared" si="215"/>
        <v>0.24219051544233575</v>
      </c>
      <c r="Y62" s="4">
        <f t="shared" si="215"/>
        <v>0.24343478630744766</v>
      </c>
      <c r="Z62" s="4">
        <f t="shared" si="215"/>
        <v>0.23544938066907248</v>
      </c>
      <c r="AA62" s="4">
        <f t="shared" si="215"/>
        <v>0.24305158863040952</v>
      </c>
      <c r="AB62" s="4">
        <f t="shared" si="215"/>
        <v>0.24612700455355374</v>
      </c>
      <c r="AC62" s="4">
        <f t="shared" si="215"/>
        <v>0.24639312454914056</v>
      </c>
      <c r="AD62" s="4">
        <f t="shared" si="215"/>
        <v>0.23971093731976839</v>
      </c>
      <c r="AE62" s="4">
        <f t="shared" ref="AE62:AH62" si="216">AE33/AE31</f>
        <v>0.25011798360664128</v>
      </c>
      <c r="AF62" s="4">
        <f t="shared" si="216"/>
        <v>0.25295732603061194</v>
      </c>
      <c r="AG62" s="4">
        <f t="shared" si="216"/>
        <v>0.25337522506086363</v>
      </c>
      <c r="AH62" s="4">
        <f t="shared" si="216"/>
        <v>0.24755506205243852</v>
      </c>
      <c r="AI62" s="4"/>
      <c r="AJ62" s="4"/>
      <c r="AK62" s="4"/>
      <c r="AO62" s="4">
        <f t="shared" ref="AO62:AY62" si="217">AO33/AO31</f>
        <v>0.25371994811559273</v>
      </c>
      <c r="AP62" s="4">
        <f t="shared" si="217"/>
        <v>0.25097734275522204</v>
      </c>
      <c r="AQ62" s="4">
        <f t="shared" si="217"/>
        <v>0.35699829882090689</v>
      </c>
      <c r="AR62" s="4">
        <f t="shared" si="217"/>
        <v>0.24829786587165184</v>
      </c>
      <c r="AS62" s="4">
        <f t="shared" si="217"/>
        <v>0.25098733487675334</v>
      </c>
      <c r="AT62" s="4">
        <f t="shared" si="217"/>
        <v>0.24140463839525986</v>
      </c>
      <c r="AU62" s="4">
        <f t="shared" si="217"/>
        <v>0.24375390549662487</v>
      </c>
      <c r="AV62" s="4">
        <f t="shared" si="217"/>
        <v>0.22826710462673694</v>
      </c>
      <c r="AW62" s="4">
        <f t="shared" si="217"/>
        <v>0.22826710462673691</v>
      </c>
      <c r="AX62" s="4">
        <f t="shared" si="217"/>
        <v>0.22826710462673691</v>
      </c>
      <c r="AY62" s="4">
        <f t="shared" si="217"/>
        <v>0.22826710462673683</v>
      </c>
      <c r="AZ62" s="4">
        <f t="shared" ref="AZ62" si="218">AZ33/AZ31</f>
        <v>0.2282671046267368</v>
      </c>
      <c r="BD62" s="9" t="s">
        <v>61</v>
      </c>
      <c r="BE62" s="19">
        <f>Main!C4</f>
        <v>60.51</v>
      </c>
      <c r="BG62" s="29" t="s">
        <v>61</v>
      </c>
      <c r="BH62" s="8">
        <f>Main!C4</f>
        <v>60.51</v>
      </c>
    </row>
    <row r="63" spans="1:60" x14ac:dyDescent="0.25">
      <c r="B63" s="21" t="s">
        <v>49</v>
      </c>
      <c r="C63" s="4">
        <f t="shared" ref="C63:AD63" si="219">C36/C31</f>
        <v>4.4554286978271594E-2</v>
      </c>
      <c r="D63" s="4">
        <f t="shared" si="219"/>
        <v>4.8388796562765998E-2</v>
      </c>
      <c r="E63" s="4">
        <f t="shared" si="219"/>
        <v>3.8675423570576156E-2</v>
      </c>
      <c r="F63" s="4">
        <f t="shared" si="219"/>
        <v>3.2781230965677678E-2</v>
      </c>
      <c r="G63" s="4">
        <f t="shared" si="219"/>
        <v>4.2008313635993152E-2</v>
      </c>
      <c r="H63" s="4">
        <f t="shared" si="219"/>
        <v>4.4912050488955538E-2</v>
      </c>
      <c r="I63" s="4">
        <f t="shared" si="219"/>
        <v>3.9921853731964704E-2</v>
      </c>
      <c r="J63" s="4">
        <f t="shared" si="219"/>
        <v>4.3712579164655277E-2</v>
      </c>
      <c r="K63" s="4">
        <f t="shared" si="219"/>
        <v>3.9903167238248938E-2</v>
      </c>
      <c r="L63" s="4">
        <f t="shared" si="219"/>
        <v>4.2821970132768818E-2</v>
      </c>
      <c r="M63" s="4">
        <f t="shared" si="219"/>
        <v>3.6861966857044633E-2</v>
      </c>
      <c r="N63" s="4">
        <f t="shared" si="219"/>
        <v>3.7565909748642982E-2</v>
      </c>
      <c r="O63" s="4">
        <f t="shared" si="219"/>
        <v>3.8804950156735157E-2</v>
      </c>
      <c r="P63" s="4">
        <f t="shared" si="219"/>
        <v>4.3988035602793629E-2</v>
      </c>
      <c r="Q63" s="4">
        <f t="shared" si="219"/>
        <v>4.2892775484752205E-2</v>
      </c>
      <c r="R63" s="4">
        <f t="shared" si="219"/>
        <v>3.6079932140532227E-2</v>
      </c>
      <c r="S63" s="4">
        <f t="shared" si="219"/>
        <v>4.9953004121177064E-2</v>
      </c>
      <c r="T63" s="4">
        <f t="shared" si="219"/>
        <v>5.2138279167375644E-2</v>
      </c>
      <c r="U63" s="4">
        <f t="shared" si="219"/>
        <v>4.1216865326454369E-2</v>
      </c>
      <c r="V63" s="4">
        <f t="shared" si="219"/>
        <v>3.8509593055582811E-2</v>
      </c>
      <c r="W63" s="4">
        <f t="shared" si="219"/>
        <v>3.7564721090069156E-2</v>
      </c>
      <c r="X63" s="4">
        <f t="shared" si="219"/>
        <v>4.4838707567104327E-2</v>
      </c>
      <c r="Y63" s="4">
        <f t="shared" si="219"/>
        <v>1.7635934115552997E-2</v>
      </c>
      <c r="Z63" s="4">
        <f t="shared" si="219"/>
        <v>3.3898615039500632E-2</v>
      </c>
      <c r="AA63" s="4">
        <f t="shared" si="219"/>
        <v>4.0971497232454156E-2</v>
      </c>
      <c r="AB63" s="4">
        <f t="shared" si="219"/>
        <v>4.5263314195208869E-2</v>
      </c>
      <c r="AC63" s="4">
        <f t="shared" si="219"/>
        <v>3.8568692321086541E-2</v>
      </c>
      <c r="AD63" s="4">
        <f t="shared" si="219"/>
        <v>4.1836805315246729E-2</v>
      </c>
      <c r="AE63" s="4">
        <f t="shared" ref="AE63:AH63" si="220">AE36/AE31</f>
        <v>4.0594974608816468E-2</v>
      </c>
      <c r="AF63" s="4">
        <f t="shared" si="220"/>
        <v>5.39135225583907E-2</v>
      </c>
      <c r="AG63" s="4">
        <f t="shared" si="220"/>
        <v>4.7476267668399331E-2</v>
      </c>
      <c r="AH63" s="4">
        <f t="shared" si="220"/>
        <v>5.1722455369010566E-2</v>
      </c>
      <c r="AI63" s="4"/>
      <c r="AJ63" s="4"/>
      <c r="AK63" s="4"/>
      <c r="AO63" s="4">
        <f t="shared" ref="AO63:AY63" si="221">AO36/AO31</f>
        <v>4.084597965795464E-2</v>
      </c>
      <c r="AP63" s="4">
        <f t="shared" si="221"/>
        <v>4.268426628823592E-2</v>
      </c>
      <c r="AQ63" s="4">
        <f t="shared" si="221"/>
        <v>0.17972533453263201</v>
      </c>
      <c r="AR63" s="4">
        <f t="shared" si="221"/>
        <v>4.032542193432543E-2</v>
      </c>
      <c r="AS63" s="4">
        <f t="shared" si="221"/>
        <v>4.5293441861602016E-2</v>
      </c>
      <c r="AT63" s="4">
        <f t="shared" si="221"/>
        <v>3.3417908714208827E-2</v>
      </c>
      <c r="AU63" s="4">
        <f t="shared" si="221"/>
        <v>4.16771456123433E-2</v>
      </c>
      <c r="AV63" s="4">
        <f t="shared" si="221"/>
        <v>1.9793844211708902E-2</v>
      </c>
      <c r="AW63" s="4">
        <f t="shared" si="221"/>
        <v>2.183769970597383E-2</v>
      </c>
      <c r="AX63" s="4">
        <f t="shared" si="221"/>
        <v>2.3861517401275432E-2</v>
      </c>
      <c r="AY63" s="4">
        <f t="shared" si="221"/>
        <v>2.5865493746622996E-2</v>
      </c>
      <c r="AZ63" s="4">
        <f t="shared" ref="AZ63" si="222">AZ36/AZ31</f>
        <v>2.7849823265055456E-2</v>
      </c>
      <c r="BD63" s="9" t="s">
        <v>62</v>
      </c>
      <c r="BE63" s="10">
        <f>BE61/BE62-1</f>
        <v>-0.60876577823953704</v>
      </c>
      <c r="BG63" s="9" t="s">
        <v>62</v>
      </c>
      <c r="BH63" s="10">
        <f>BH61/BH62-1</f>
        <v>0.32458854942529114</v>
      </c>
    </row>
    <row r="64" spans="1:60" x14ac:dyDescent="0.25">
      <c r="B64" s="21" t="s">
        <v>28</v>
      </c>
      <c r="C64" s="4">
        <f>C42/C41</f>
        <v>0.32563115104835261</v>
      </c>
      <c r="D64" s="4">
        <f t="shared" ref="D64:R64" si="223">D42/D41</f>
        <v>0.32609639600521062</v>
      </c>
      <c r="E64" s="4">
        <f t="shared" si="223"/>
        <v>0.33865925668634944</v>
      </c>
      <c r="F64" s="4">
        <f t="shared" si="223"/>
        <v>0.20276653171390013</v>
      </c>
      <c r="G64" s="4">
        <f t="shared" si="223"/>
        <v>0.19347980155917788</v>
      </c>
      <c r="H64" s="4">
        <f t="shared" si="223"/>
        <v>2.8266331658291457</v>
      </c>
      <c r="I64" s="4">
        <f t="shared" si="223"/>
        <v>0.29464285714285715</v>
      </c>
      <c r="J64" s="4">
        <f t="shared" si="223"/>
        <v>0.32680084745762711</v>
      </c>
      <c r="K64" s="4">
        <f t="shared" si="223"/>
        <v>0.2425828970331588</v>
      </c>
      <c r="L64" s="4">
        <f t="shared" si="223"/>
        <v>0.25096682271524529</v>
      </c>
      <c r="M64" s="4">
        <f t="shared" si="223"/>
        <v>0.24056711639606676</v>
      </c>
      <c r="N64" s="4">
        <f t="shared" si="223"/>
        <v>0.2430812621188084</v>
      </c>
      <c r="O64" s="4">
        <f t="shared" si="223"/>
        <v>0.24499629355077834</v>
      </c>
      <c r="P64" s="4">
        <f t="shared" si="223"/>
        <v>0.25526254915567892</v>
      </c>
      <c r="Q64" s="4">
        <f t="shared" si="223"/>
        <v>0.2690091356289529</v>
      </c>
      <c r="R64" s="4">
        <f t="shared" si="223"/>
        <v>-2.3861720067453627</v>
      </c>
      <c r="S64" s="4">
        <f t="shared" ref="S64:V64" si="224">S42/S41</f>
        <v>0.26873048907388136</v>
      </c>
      <c r="T64" s="4">
        <f t="shared" si="224"/>
        <v>0.26321121053520175</v>
      </c>
      <c r="U64" s="4">
        <f t="shared" si="224"/>
        <v>0.1547964007930456</v>
      </c>
      <c r="V64" s="4">
        <f t="shared" si="224"/>
        <v>0.24027603513174403</v>
      </c>
      <c r="W64" s="4">
        <f t="shared" ref="W64:Z64" si="225">W42/W41</f>
        <v>0.27507755946225437</v>
      </c>
      <c r="X64" s="4">
        <f t="shared" si="225"/>
        <v>0.225316074653823</v>
      </c>
      <c r="Y64" s="4">
        <f t="shared" si="225"/>
        <v>-0.23480083857442349</v>
      </c>
      <c r="Z64" s="4">
        <f t="shared" si="225"/>
        <v>0.34745001123343067</v>
      </c>
      <c r="AA64" s="4">
        <f t="shared" ref="AA64:AD64" si="226">AA42/AA41</f>
        <v>0.29464285714285715</v>
      </c>
      <c r="AB64" s="4">
        <f t="shared" si="226"/>
        <v>0.24927752400484757</v>
      </c>
      <c r="AC64" s="4">
        <f t="shared" si="226"/>
        <v>0.29726775956284152</v>
      </c>
      <c r="AD64" s="4">
        <f t="shared" si="226"/>
        <v>0.24474594306996542</v>
      </c>
      <c r="AE64" s="4">
        <f t="shared" ref="AE64:AH64" si="227">AE42/AE41</f>
        <v>0.25</v>
      </c>
      <c r="AF64" s="4">
        <f t="shared" si="227"/>
        <v>0.25</v>
      </c>
      <c r="AG64" s="4">
        <f t="shared" si="227"/>
        <v>0.25</v>
      </c>
      <c r="AH64" s="4">
        <f t="shared" si="227"/>
        <v>0.25</v>
      </c>
      <c r="AI64" s="4"/>
      <c r="AJ64" s="4"/>
      <c r="AK64" s="4"/>
      <c r="AO64" s="4">
        <f>AO42/AO41</f>
        <v>0.30417245255570985</v>
      </c>
      <c r="AP64" s="4">
        <f>AP42/AP41</f>
        <v>0.37356020942408374</v>
      </c>
      <c r="AQ64" s="4">
        <f>AQ42/AQ41</f>
        <v>4.4745275117439275E-2</v>
      </c>
      <c r="AR64" s="4">
        <f>AR42/AR41</f>
        <v>0.33349542890488232</v>
      </c>
      <c r="AS64" s="4">
        <f t="shared" ref="AS64:AV64" si="228">AS42/AS41</f>
        <v>0.22533876622761301</v>
      </c>
      <c r="AT64" s="4">
        <f t="shared" si="228"/>
        <v>0.33638928067700985</v>
      </c>
      <c r="AU64" s="4">
        <f t="shared" si="228"/>
        <v>0.25530941047235445</v>
      </c>
      <c r="AV64" s="4">
        <f t="shared" si="228"/>
        <v>0.70745870302576885</v>
      </c>
      <c r="AW64" s="4">
        <f t="shared" ref="AW64:AX64" si="229">AW42/AW41</f>
        <v>0.25</v>
      </c>
      <c r="AX64" s="4">
        <f t="shared" si="229"/>
        <v>0.25</v>
      </c>
      <c r="AY64" s="4">
        <f t="shared" ref="AY64" si="230">AY42/AY41</f>
        <v>0.25</v>
      </c>
      <c r="AZ64" s="4">
        <f t="shared" ref="AZ64" si="231">AZ42/AZ41</f>
        <v>0.25</v>
      </c>
    </row>
    <row r="67" spans="1:45" s="7" customFormat="1" x14ac:dyDescent="0.25">
      <c r="A67" s="3"/>
      <c r="B67" s="3" t="s">
        <v>63</v>
      </c>
      <c r="C67" s="7">
        <f t="shared" ref="C67:V67" si="232">C68-C80-C85-C90</f>
        <v>-33102</v>
      </c>
      <c r="D67" s="7">
        <f t="shared" si="232"/>
        <v>-33753</v>
      </c>
      <c r="E67" s="7">
        <f t="shared" si="232"/>
        <v>-35551</v>
      </c>
      <c r="F67" s="7">
        <f t="shared" si="232"/>
        <v>-32284</v>
      </c>
      <c r="G67" s="7">
        <f t="shared" si="232"/>
        <v>-30930</v>
      </c>
      <c r="H67" s="7">
        <f t="shared" si="232"/>
        <v>-30652</v>
      </c>
      <c r="I67" s="7">
        <f t="shared" si="232"/>
        <v>-44487</v>
      </c>
      <c r="J67" s="7">
        <f t="shared" si="232"/>
        <v>-42899</v>
      </c>
      <c r="K67" s="7">
        <f t="shared" si="232"/>
        <v>-44462</v>
      </c>
      <c r="L67" s="7">
        <f t="shared" si="232"/>
        <v>-43198</v>
      </c>
      <c r="M67" s="7">
        <f t="shared" si="232"/>
        <v>-45325</v>
      </c>
      <c r="N67" s="7">
        <f t="shared" si="232"/>
        <v>-40186</v>
      </c>
      <c r="O67" s="7">
        <f t="shared" si="232"/>
        <v>-38107</v>
      </c>
      <c r="P67" s="7">
        <f t="shared" si="232"/>
        <v>-29963</v>
      </c>
      <c r="Q67" s="7">
        <f t="shared" si="232"/>
        <v>-31122</v>
      </c>
      <c r="R67" s="7">
        <f t="shared" si="232"/>
        <v>-26792</v>
      </c>
      <c r="S67" s="7">
        <f t="shared" si="232"/>
        <v>-21289</v>
      </c>
      <c r="T67" s="7">
        <f t="shared" si="232"/>
        <v>-19038</v>
      </c>
      <c r="U67" s="7">
        <f t="shared" si="232"/>
        <v>-22336</v>
      </c>
      <c r="V67" s="7">
        <f t="shared" si="232"/>
        <v>-23317</v>
      </c>
      <c r="W67" s="7">
        <f>W68-W80-W85-W90</f>
        <v>-35369</v>
      </c>
      <c r="X67" s="7">
        <f t="shared" ref="X67:Z67" si="233">X68-X80-X85-X90</f>
        <v>-31828</v>
      </c>
      <c r="Y67" s="7">
        <f t="shared" si="233"/>
        <v>0</v>
      </c>
      <c r="Z67" s="7">
        <f t="shared" si="233"/>
        <v>-30587</v>
      </c>
      <c r="AA67" s="7">
        <f t="shared" ref="AA67:AD67" si="234">AA68-AA80-AA85-AA90</f>
        <v>-33231</v>
      </c>
      <c r="AB67" s="7">
        <f t="shared" si="234"/>
        <v>0</v>
      </c>
      <c r="AC67" s="7">
        <f t="shared" si="234"/>
        <v>0</v>
      </c>
      <c r="AD67" s="7">
        <f t="shared" si="234"/>
        <v>0</v>
      </c>
      <c r="AO67" s="7">
        <f t="shared" ref="AO67:AS67" si="235">AO68-AO80-AO85-AO90</f>
        <v>-32284</v>
      </c>
      <c r="AP67" s="7">
        <f t="shared" si="235"/>
        <v>-42899</v>
      </c>
      <c r="AQ67" s="7">
        <f t="shared" si="235"/>
        <v>-40186</v>
      </c>
      <c r="AR67" s="7">
        <f t="shared" si="235"/>
        <v>-26792</v>
      </c>
      <c r="AS67" s="7">
        <f t="shared" si="235"/>
        <v>-23317</v>
      </c>
    </row>
    <row r="68" spans="1:45" x14ac:dyDescent="0.25">
      <c r="B68" s="17" t="s">
        <v>81</v>
      </c>
      <c r="C68" s="25">
        <v>6545</v>
      </c>
      <c r="D68" s="25">
        <v>6469</v>
      </c>
      <c r="E68" s="25">
        <v>7026</v>
      </c>
      <c r="F68" s="25">
        <v>6756</v>
      </c>
      <c r="G68" s="25">
        <v>7885</v>
      </c>
      <c r="H68" s="25">
        <v>15840</v>
      </c>
      <c r="I68" s="25">
        <v>9174</v>
      </c>
      <c r="J68" s="25">
        <v>7722</v>
      </c>
      <c r="K68" s="25">
        <v>9255</v>
      </c>
      <c r="L68" s="25">
        <v>9283</v>
      </c>
      <c r="M68" s="25">
        <v>8606</v>
      </c>
      <c r="N68" s="25">
        <v>9465</v>
      </c>
      <c r="O68" s="25">
        <v>14930</v>
      </c>
      <c r="P68" s="25">
        <v>16906</v>
      </c>
      <c r="Q68" s="25">
        <v>14325</v>
      </c>
      <c r="R68" s="25">
        <v>17741</v>
      </c>
      <c r="S68" s="25">
        <v>22846</v>
      </c>
      <c r="T68" s="25">
        <v>22831</v>
      </c>
      <c r="U68" s="25">
        <v>16111</v>
      </c>
      <c r="V68" s="25">
        <v>14760</v>
      </c>
      <c r="W68" s="25">
        <v>11817</v>
      </c>
      <c r="X68" s="2">
        <v>13923</v>
      </c>
      <c r="Z68" s="2">
        <v>8625</v>
      </c>
      <c r="AA68" s="2">
        <v>10575</v>
      </c>
      <c r="AO68" s="2">
        <f>F68</f>
        <v>6756</v>
      </c>
      <c r="AP68" s="2">
        <f>J68</f>
        <v>7722</v>
      </c>
      <c r="AQ68" s="2">
        <f>N68</f>
        <v>9465</v>
      </c>
      <c r="AR68" s="2">
        <f>R68</f>
        <v>17741</v>
      </c>
      <c r="AS68" s="2">
        <f>V68</f>
        <v>14760</v>
      </c>
    </row>
    <row r="69" spans="1:45" x14ac:dyDescent="0.25">
      <c r="B69" s="17" t="s">
        <v>82</v>
      </c>
      <c r="C69" s="25">
        <v>5252</v>
      </c>
      <c r="D69" s="25">
        <v>5395</v>
      </c>
      <c r="E69" s="25">
        <v>5865</v>
      </c>
      <c r="F69" s="25">
        <v>5614</v>
      </c>
      <c r="G69" s="25">
        <v>4568</v>
      </c>
      <c r="H69" s="25">
        <v>5002</v>
      </c>
      <c r="I69" s="25">
        <v>5785</v>
      </c>
      <c r="J69" s="25">
        <v>6283</v>
      </c>
      <c r="K69" s="25">
        <v>5342</v>
      </c>
      <c r="L69" s="25">
        <v>5382</v>
      </c>
      <c r="M69" s="25">
        <v>5612</v>
      </c>
      <c r="N69" s="25">
        <v>6284</v>
      </c>
      <c r="O69" s="25">
        <v>5029</v>
      </c>
      <c r="P69" s="25">
        <v>5111</v>
      </c>
      <c r="Q69" s="25">
        <v>5770</v>
      </c>
      <c r="R69" s="25">
        <v>6516</v>
      </c>
      <c r="S69" s="25">
        <v>5797</v>
      </c>
      <c r="T69" s="25">
        <v>6103</v>
      </c>
      <c r="U69" s="25">
        <v>7349</v>
      </c>
      <c r="V69" s="25">
        <v>8280</v>
      </c>
      <c r="W69" s="25">
        <v>7674</v>
      </c>
      <c r="X69" s="2">
        <v>7522</v>
      </c>
      <c r="Z69" s="2">
        <v>7933</v>
      </c>
      <c r="AA69" s="2">
        <v>7647</v>
      </c>
      <c r="AO69" s="2">
        <f>F69</f>
        <v>5614</v>
      </c>
      <c r="AP69" s="2">
        <f>J69</f>
        <v>6283</v>
      </c>
      <c r="AQ69" s="2">
        <f>N69</f>
        <v>6284</v>
      </c>
      <c r="AR69" s="2">
        <f>R69</f>
        <v>6516</v>
      </c>
      <c r="AS69" s="2">
        <f>V69</f>
        <v>8280</v>
      </c>
    </row>
    <row r="70" spans="1:45" x14ac:dyDescent="0.25">
      <c r="B70" s="17" t="s">
        <v>83</v>
      </c>
      <c r="C70" s="25">
        <v>43361</v>
      </c>
      <c r="D70" s="25">
        <v>43442</v>
      </c>
      <c r="E70" s="25">
        <v>50147</v>
      </c>
      <c r="F70" s="25">
        <v>43783</v>
      </c>
      <c r="G70" s="25">
        <v>43303</v>
      </c>
      <c r="H70" s="25">
        <v>41985</v>
      </c>
      <c r="I70" s="25">
        <v>50380</v>
      </c>
      <c r="J70" s="25">
        <v>44269</v>
      </c>
      <c r="K70" s="25">
        <v>44751</v>
      </c>
      <c r="L70" s="25">
        <v>44134</v>
      </c>
      <c r="M70" s="25">
        <v>51546</v>
      </c>
      <c r="N70" s="25">
        <v>44435</v>
      </c>
      <c r="O70" s="25">
        <v>41217</v>
      </c>
      <c r="P70" s="25">
        <v>41084</v>
      </c>
      <c r="Q70" s="25">
        <v>51842</v>
      </c>
      <c r="R70" s="25">
        <v>44949</v>
      </c>
      <c r="S70" s="25">
        <v>46383</v>
      </c>
      <c r="T70" s="25">
        <v>47754</v>
      </c>
      <c r="U70" s="25">
        <v>57484</v>
      </c>
      <c r="V70" s="25">
        <v>56511</v>
      </c>
      <c r="W70" s="25">
        <v>61229</v>
      </c>
      <c r="X70" s="2">
        <v>59921</v>
      </c>
      <c r="Z70" s="2">
        <v>56576</v>
      </c>
      <c r="AA70" s="2">
        <v>56932</v>
      </c>
      <c r="AO70" s="2">
        <f>F70</f>
        <v>43783</v>
      </c>
      <c r="AP70" s="2">
        <f>J70</f>
        <v>44269</v>
      </c>
      <c r="AQ70" s="2">
        <f>N70</f>
        <v>44435</v>
      </c>
      <c r="AR70" s="2">
        <f>R70</f>
        <v>44949</v>
      </c>
      <c r="AS70" s="2">
        <f>V70</f>
        <v>56511</v>
      </c>
    </row>
    <row r="71" spans="1:45" x14ac:dyDescent="0.25">
      <c r="B71" s="17" t="s">
        <v>84</v>
      </c>
      <c r="C71" s="25">
        <v>2178</v>
      </c>
      <c r="D71" s="25">
        <v>1457</v>
      </c>
      <c r="E71" s="25">
        <v>2330</v>
      </c>
      <c r="F71" s="25">
        <v>3511</v>
      </c>
      <c r="G71" s="25">
        <v>3486</v>
      </c>
      <c r="H71" s="25">
        <v>3543</v>
      </c>
      <c r="I71" s="25">
        <v>4107</v>
      </c>
      <c r="J71" s="25">
        <v>3623</v>
      </c>
      <c r="K71" s="25">
        <v>2391</v>
      </c>
      <c r="L71" s="25">
        <v>2572</v>
      </c>
      <c r="M71" s="25">
        <v>2148</v>
      </c>
      <c r="N71" s="25">
        <v>1622</v>
      </c>
      <c r="O71" s="25">
        <v>2152</v>
      </c>
      <c r="P71" s="25">
        <v>1895</v>
      </c>
      <c r="Q71" s="25">
        <v>1665</v>
      </c>
      <c r="R71" s="25">
        <v>20861</v>
      </c>
      <c r="S71" s="25">
        <v>1565</v>
      </c>
      <c r="T71" s="25">
        <v>1555</v>
      </c>
      <c r="U71" s="25">
        <v>2020</v>
      </c>
      <c r="V71" s="25">
        <v>1519</v>
      </c>
      <c r="W71" s="25">
        <v>2500</v>
      </c>
      <c r="X71" s="2">
        <v>2798</v>
      </c>
      <c r="Z71" s="2">
        <v>2521</v>
      </c>
      <c r="AA71" s="2">
        <v>3357</v>
      </c>
      <c r="AO71" s="2">
        <f>F71</f>
        <v>3511</v>
      </c>
      <c r="AP71" s="2">
        <f>J71</f>
        <v>3623</v>
      </c>
      <c r="AQ71" s="2">
        <f>N71</f>
        <v>1622</v>
      </c>
      <c r="AR71" s="2">
        <f>R71</f>
        <v>20861</v>
      </c>
      <c r="AS71" s="2">
        <f>V71</f>
        <v>1519</v>
      </c>
    </row>
    <row r="72" spans="1:45" s="7" customFormat="1" x14ac:dyDescent="0.25">
      <c r="A72" s="3"/>
      <c r="B72" s="3" t="s">
        <v>85</v>
      </c>
      <c r="C72" s="7">
        <f>SUM(C68:C71)</f>
        <v>57336</v>
      </c>
      <c r="D72" s="7">
        <f t="shared" ref="D72:V72" si="236">SUM(D68:D71)</f>
        <v>56763</v>
      </c>
      <c r="E72" s="7">
        <f t="shared" si="236"/>
        <v>65368</v>
      </c>
      <c r="F72" s="7">
        <f t="shared" si="236"/>
        <v>59664</v>
      </c>
      <c r="G72" s="7">
        <f t="shared" si="236"/>
        <v>59242</v>
      </c>
      <c r="H72" s="7">
        <f t="shared" si="236"/>
        <v>66370</v>
      </c>
      <c r="I72" s="7">
        <f t="shared" si="236"/>
        <v>69446</v>
      </c>
      <c r="J72" s="7">
        <f t="shared" si="236"/>
        <v>61897</v>
      </c>
      <c r="K72" s="7">
        <f t="shared" si="236"/>
        <v>61739</v>
      </c>
      <c r="L72" s="7">
        <f t="shared" si="236"/>
        <v>61371</v>
      </c>
      <c r="M72" s="7">
        <f t="shared" si="236"/>
        <v>67912</v>
      </c>
      <c r="N72" s="7">
        <f t="shared" si="236"/>
        <v>61806</v>
      </c>
      <c r="O72" s="7">
        <f t="shared" si="236"/>
        <v>63328</v>
      </c>
      <c r="P72" s="7">
        <f t="shared" si="236"/>
        <v>64996</v>
      </c>
      <c r="Q72" s="7">
        <f t="shared" si="236"/>
        <v>73602</v>
      </c>
      <c r="R72" s="7">
        <f t="shared" si="236"/>
        <v>90067</v>
      </c>
      <c r="S72" s="7">
        <f t="shared" si="236"/>
        <v>76591</v>
      </c>
      <c r="T72" s="7">
        <f t="shared" si="236"/>
        <v>78243</v>
      </c>
      <c r="U72" s="7">
        <f t="shared" si="236"/>
        <v>82964</v>
      </c>
      <c r="V72" s="7">
        <f t="shared" si="236"/>
        <v>81070</v>
      </c>
      <c r="W72" s="7">
        <f>SUM(W68:W71)</f>
        <v>83220</v>
      </c>
      <c r="X72" s="7">
        <f t="shared" ref="X72:Z72" si="237">SUM(X68:X71)</f>
        <v>84164</v>
      </c>
      <c r="Y72" s="7">
        <f t="shared" si="237"/>
        <v>0</v>
      </c>
      <c r="Z72" s="7">
        <f t="shared" si="237"/>
        <v>75655</v>
      </c>
      <c r="AA72" s="7">
        <f t="shared" ref="AA72:AD72" si="238">SUM(AA68:AA71)</f>
        <v>78511</v>
      </c>
      <c r="AB72" s="7">
        <f t="shared" si="238"/>
        <v>0</v>
      </c>
      <c r="AC72" s="7">
        <f t="shared" si="238"/>
        <v>0</v>
      </c>
      <c r="AD72" s="7">
        <f t="shared" si="238"/>
        <v>0</v>
      </c>
      <c r="AO72" s="7">
        <f t="shared" ref="AO72:AS72" si="239">SUM(AO68:AO71)</f>
        <v>59664</v>
      </c>
      <c r="AP72" s="7">
        <f t="shared" si="239"/>
        <v>61897</v>
      </c>
      <c r="AQ72" s="7">
        <f t="shared" si="239"/>
        <v>61806</v>
      </c>
      <c r="AR72" s="7">
        <f t="shared" si="239"/>
        <v>90067</v>
      </c>
      <c r="AS72" s="7">
        <f t="shared" si="239"/>
        <v>81070</v>
      </c>
    </row>
    <row r="73" spans="1:45" x14ac:dyDescent="0.25">
      <c r="B73" s="17" t="s">
        <v>86</v>
      </c>
      <c r="C73" s="25">
        <v>107450</v>
      </c>
      <c r="D73" s="25">
        <v>108170</v>
      </c>
      <c r="E73" s="25">
        <v>108155</v>
      </c>
      <c r="F73" s="25">
        <v>107675</v>
      </c>
      <c r="G73" s="25">
        <v>107622</v>
      </c>
      <c r="H73" s="25">
        <v>104019</v>
      </c>
      <c r="I73" s="25">
        <v>104358</v>
      </c>
      <c r="J73" s="25">
        <v>104317</v>
      </c>
      <c r="K73" s="25">
        <v>104604</v>
      </c>
      <c r="L73" s="25">
        <v>104674</v>
      </c>
      <c r="M73" s="25">
        <v>104326</v>
      </c>
      <c r="N73" s="25">
        <v>105208</v>
      </c>
      <c r="O73" s="25">
        <v>101872</v>
      </c>
      <c r="P73" s="25">
        <v>101182</v>
      </c>
      <c r="Q73" s="25">
        <v>102232</v>
      </c>
      <c r="R73" s="25">
        <v>92201</v>
      </c>
      <c r="S73" s="25">
        <v>90996</v>
      </c>
      <c r="T73" s="25">
        <v>91621</v>
      </c>
      <c r="U73" s="25">
        <v>92242</v>
      </c>
      <c r="V73" s="25">
        <v>94515</v>
      </c>
      <c r="W73" s="25">
        <v>94741</v>
      </c>
      <c r="X73" s="2">
        <v>96006</v>
      </c>
      <c r="Z73" s="2">
        <v>100760</v>
      </c>
      <c r="AA73" s="2">
        <v>102335</v>
      </c>
      <c r="AO73" s="2">
        <f t="shared" ref="AO73:AO78" si="240">F73</f>
        <v>107675</v>
      </c>
      <c r="AP73" s="2">
        <f t="shared" ref="AP73:AP78" si="241">J73</f>
        <v>104317</v>
      </c>
      <c r="AQ73" s="2">
        <f t="shared" ref="AQ73:AQ78" si="242">N73</f>
        <v>105208</v>
      </c>
      <c r="AR73" s="2">
        <f t="shared" ref="AR73:AR78" si="243">R73</f>
        <v>92201</v>
      </c>
      <c r="AS73" s="2">
        <f t="shared" ref="AS73:AS78" si="244">V73</f>
        <v>94515</v>
      </c>
    </row>
    <row r="74" spans="1:45" x14ac:dyDescent="0.25">
      <c r="B74" s="17" t="s">
        <v>87</v>
      </c>
      <c r="C74" s="25">
        <v>0</v>
      </c>
      <c r="D74" s="25">
        <v>0</v>
      </c>
      <c r="E74" s="25">
        <v>0</v>
      </c>
      <c r="F74" s="25">
        <v>0</v>
      </c>
      <c r="G74" s="25">
        <v>0</v>
      </c>
      <c r="H74" s="25">
        <v>0</v>
      </c>
      <c r="I74" s="25">
        <v>0</v>
      </c>
      <c r="J74" s="25">
        <v>0</v>
      </c>
      <c r="K74" s="25">
        <v>16833</v>
      </c>
      <c r="L74" s="25">
        <v>17239</v>
      </c>
      <c r="M74" s="25">
        <v>16944</v>
      </c>
      <c r="N74" s="25">
        <v>17424</v>
      </c>
      <c r="O74" s="25">
        <v>16895</v>
      </c>
      <c r="P74" s="25">
        <v>16869</v>
      </c>
      <c r="Q74" s="25">
        <v>17128</v>
      </c>
      <c r="R74" s="25">
        <v>13642</v>
      </c>
      <c r="S74" s="25">
        <v>13650</v>
      </c>
      <c r="T74" s="25">
        <v>13868</v>
      </c>
      <c r="U74" s="25">
        <v>13863</v>
      </c>
      <c r="V74" s="25">
        <v>13758</v>
      </c>
      <c r="W74" s="25">
        <v>13971</v>
      </c>
      <c r="X74" s="2">
        <v>13872</v>
      </c>
      <c r="Z74" s="2">
        <v>13555</v>
      </c>
      <c r="AA74" s="2">
        <v>13679</v>
      </c>
      <c r="AO74" s="2">
        <f t="shared" si="240"/>
        <v>0</v>
      </c>
      <c r="AP74" s="2">
        <f t="shared" si="241"/>
        <v>0</v>
      </c>
      <c r="AQ74" s="2">
        <f t="shared" si="242"/>
        <v>17424</v>
      </c>
      <c r="AR74" s="2">
        <f t="shared" si="243"/>
        <v>13642</v>
      </c>
      <c r="AS74" s="2">
        <f t="shared" si="244"/>
        <v>13758</v>
      </c>
    </row>
    <row r="75" spans="1:45" x14ac:dyDescent="0.25">
      <c r="B75" s="17" t="s">
        <v>88</v>
      </c>
      <c r="C75" s="25">
        <v>0</v>
      </c>
      <c r="D75" s="25">
        <v>0</v>
      </c>
      <c r="E75" s="25">
        <v>0</v>
      </c>
      <c r="F75" s="25">
        <v>0</v>
      </c>
      <c r="G75" s="25">
        <v>0</v>
      </c>
      <c r="H75" s="25">
        <v>0</v>
      </c>
      <c r="I75" s="25">
        <v>0</v>
      </c>
      <c r="J75" s="25">
        <v>0</v>
      </c>
      <c r="K75" s="25">
        <v>3804</v>
      </c>
      <c r="L75" s="25">
        <v>3949</v>
      </c>
      <c r="M75" s="25">
        <v>4155</v>
      </c>
      <c r="N75" s="25">
        <v>4417</v>
      </c>
      <c r="O75" s="25">
        <v>4611</v>
      </c>
      <c r="P75" s="25">
        <v>4843</v>
      </c>
      <c r="Q75" s="25">
        <v>4929</v>
      </c>
      <c r="R75" s="25">
        <v>4005</v>
      </c>
      <c r="S75" s="25">
        <v>3979</v>
      </c>
      <c r="T75" s="25">
        <v>4109</v>
      </c>
      <c r="U75" s="25">
        <v>4226</v>
      </c>
      <c r="V75" s="25">
        <v>4351</v>
      </c>
      <c r="W75" s="25">
        <v>4505</v>
      </c>
      <c r="X75" s="2">
        <v>4514</v>
      </c>
      <c r="Z75" s="2">
        <v>4919</v>
      </c>
      <c r="AA75" s="2">
        <v>5124</v>
      </c>
      <c r="AO75" s="2">
        <f t="shared" si="240"/>
        <v>0</v>
      </c>
      <c r="AP75" s="2">
        <f t="shared" si="241"/>
        <v>0</v>
      </c>
      <c r="AQ75" s="2">
        <f t="shared" si="242"/>
        <v>4417</v>
      </c>
      <c r="AR75" s="2">
        <f t="shared" si="243"/>
        <v>4005</v>
      </c>
      <c r="AS75" s="2">
        <f t="shared" si="244"/>
        <v>4351</v>
      </c>
    </row>
    <row r="76" spans="1:45" x14ac:dyDescent="0.25">
      <c r="B76" s="24" t="s">
        <v>109</v>
      </c>
      <c r="C76" s="25">
        <v>6719</v>
      </c>
      <c r="D76" s="25">
        <v>7183</v>
      </c>
      <c r="E76" s="25">
        <v>7144</v>
      </c>
      <c r="F76" s="25">
        <v>7143</v>
      </c>
      <c r="G76" s="25">
        <v>7178</v>
      </c>
      <c r="H76" s="25">
        <v>6998</v>
      </c>
      <c r="I76" s="25">
        <v>6991</v>
      </c>
      <c r="J76" s="25">
        <v>7078</v>
      </c>
      <c r="K76" s="25">
        <v>0</v>
      </c>
      <c r="L76" s="25">
        <v>0</v>
      </c>
      <c r="M76" s="25">
        <v>0</v>
      </c>
      <c r="N76" s="25">
        <v>0</v>
      </c>
      <c r="O76" s="25">
        <v>0</v>
      </c>
      <c r="P76" s="25">
        <v>0</v>
      </c>
      <c r="Q76" s="25">
        <v>0</v>
      </c>
      <c r="R76" s="25">
        <v>0</v>
      </c>
      <c r="S76" s="25">
        <v>0</v>
      </c>
      <c r="T76" s="25">
        <v>0</v>
      </c>
      <c r="U76" s="25">
        <v>0</v>
      </c>
      <c r="V76" s="25">
        <v>0</v>
      </c>
      <c r="W76" s="25">
        <v>0</v>
      </c>
      <c r="X76" s="2">
        <v>0</v>
      </c>
      <c r="Z76" s="2">
        <v>0</v>
      </c>
      <c r="AA76" s="2">
        <v>0</v>
      </c>
      <c r="AO76" s="2">
        <f t="shared" si="240"/>
        <v>7143</v>
      </c>
      <c r="AP76" s="2">
        <f t="shared" si="241"/>
        <v>7078</v>
      </c>
      <c r="AQ76" s="2">
        <f t="shared" si="242"/>
        <v>0</v>
      </c>
      <c r="AR76" s="2">
        <f t="shared" si="243"/>
        <v>0</v>
      </c>
      <c r="AS76" s="2">
        <f t="shared" si="244"/>
        <v>0</v>
      </c>
    </row>
    <row r="77" spans="1:45" x14ac:dyDescent="0.25">
      <c r="B77" s="17" t="s">
        <v>89</v>
      </c>
      <c r="C77" s="25">
        <v>17575</v>
      </c>
      <c r="D77" s="25">
        <v>18037</v>
      </c>
      <c r="E77" s="25">
        <v>18204</v>
      </c>
      <c r="F77" s="25">
        <v>18242</v>
      </c>
      <c r="G77" s="25">
        <v>18850</v>
      </c>
      <c r="H77" s="25">
        <v>17840</v>
      </c>
      <c r="I77" s="25">
        <v>31044</v>
      </c>
      <c r="J77" s="25">
        <v>31181</v>
      </c>
      <c r="K77" s="25">
        <v>31416</v>
      </c>
      <c r="L77" s="25">
        <v>31454</v>
      </c>
      <c r="M77" s="25">
        <v>30716</v>
      </c>
      <c r="N77" s="25">
        <v>31073</v>
      </c>
      <c r="O77" s="25">
        <v>29416</v>
      </c>
      <c r="P77" s="25">
        <v>29542</v>
      </c>
      <c r="Q77" s="25">
        <v>30236</v>
      </c>
      <c r="R77" s="25">
        <v>28983</v>
      </c>
      <c r="S77" s="25">
        <v>28872</v>
      </c>
      <c r="T77" s="25">
        <v>29159</v>
      </c>
      <c r="U77" s="25">
        <v>28923</v>
      </c>
      <c r="V77" s="25">
        <v>29014</v>
      </c>
      <c r="W77" s="25">
        <v>29438</v>
      </c>
      <c r="X77" s="2">
        <v>28664</v>
      </c>
      <c r="Z77" s="2">
        <v>28174</v>
      </c>
      <c r="AA77" s="2">
        <v>28306</v>
      </c>
      <c r="AO77" s="2">
        <f t="shared" si="240"/>
        <v>18242</v>
      </c>
      <c r="AP77" s="2">
        <f t="shared" si="241"/>
        <v>31181</v>
      </c>
      <c r="AQ77" s="2">
        <f t="shared" si="242"/>
        <v>31073</v>
      </c>
      <c r="AR77" s="2">
        <f t="shared" si="243"/>
        <v>28983</v>
      </c>
      <c r="AS77" s="2">
        <f t="shared" si="244"/>
        <v>29014</v>
      </c>
    </row>
    <row r="78" spans="1:45" x14ac:dyDescent="0.25">
      <c r="B78" s="17" t="s">
        <v>90</v>
      </c>
      <c r="C78" s="25">
        <v>10638</v>
      </c>
      <c r="D78" s="25">
        <v>11413</v>
      </c>
      <c r="E78" s="25">
        <v>10543</v>
      </c>
      <c r="F78" s="25">
        <v>11798</v>
      </c>
      <c r="G78" s="25">
        <v>12035</v>
      </c>
      <c r="H78" s="25">
        <v>10835</v>
      </c>
      <c r="I78" s="25">
        <v>14744</v>
      </c>
      <c r="J78" s="25">
        <v>14822</v>
      </c>
      <c r="K78" s="25">
        <v>16148</v>
      </c>
      <c r="L78" s="25">
        <v>16174</v>
      </c>
      <c r="M78" s="25">
        <v>15777</v>
      </c>
      <c r="N78" s="25">
        <v>16567</v>
      </c>
      <c r="O78" s="25">
        <v>16770</v>
      </c>
      <c r="P78" s="25">
        <v>19950</v>
      </c>
      <c r="Q78" s="25">
        <v>22736</v>
      </c>
      <c r="R78" s="25">
        <v>23598</v>
      </c>
      <c r="S78" s="25">
        <v>22493</v>
      </c>
      <c r="T78" s="25">
        <v>21552</v>
      </c>
      <c r="U78" s="25">
        <v>22633</v>
      </c>
      <c r="V78" s="25">
        <v>22152</v>
      </c>
      <c r="W78" s="25">
        <v>20267</v>
      </c>
      <c r="X78" s="2">
        <v>19979</v>
      </c>
      <c r="Z78" s="2">
        <v>20134</v>
      </c>
      <c r="AA78" s="2">
        <v>17098</v>
      </c>
      <c r="AO78" s="2">
        <f t="shared" si="240"/>
        <v>11798</v>
      </c>
      <c r="AP78" s="2">
        <f t="shared" si="241"/>
        <v>14822</v>
      </c>
      <c r="AQ78" s="2">
        <f t="shared" si="242"/>
        <v>16567</v>
      </c>
      <c r="AR78" s="2">
        <f t="shared" si="243"/>
        <v>23598</v>
      </c>
      <c r="AS78" s="2">
        <f t="shared" si="244"/>
        <v>22152</v>
      </c>
    </row>
    <row r="79" spans="1:45" s="7" customFormat="1" x14ac:dyDescent="0.25">
      <c r="A79" s="3"/>
      <c r="B79" s="3" t="s">
        <v>91</v>
      </c>
      <c r="C79" s="7">
        <f>SUM(C72:C78)</f>
        <v>199718</v>
      </c>
      <c r="D79" s="7">
        <f t="shared" ref="D79:U79" si="245">SUM(D72:D78)</f>
        <v>201566</v>
      </c>
      <c r="E79" s="7">
        <f t="shared" si="245"/>
        <v>209414</v>
      </c>
      <c r="F79" s="7">
        <f t="shared" si="245"/>
        <v>204522</v>
      </c>
      <c r="G79" s="7">
        <f t="shared" si="245"/>
        <v>204927</v>
      </c>
      <c r="H79" s="7">
        <f t="shared" si="245"/>
        <v>206062</v>
      </c>
      <c r="I79" s="7">
        <f t="shared" si="245"/>
        <v>226583</v>
      </c>
      <c r="J79" s="7">
        <f t="shared" si="245"/>
        <v>219295</v>
      </c>
      <c r="K79" s="7">
        <f t="shared" si="245"/>
        <v>234544</v>
      </c>
      <c r="L79" s="7">
        <f t="shared" si="245"/>
        <v>234861</v>
      </c>
      <c r="M79" s="7">
        <f t="shared" si="245"/>
        <v>239830</v>
      </c>
      <c r="N79" s="7">
        <f t="shared" si="245"/>
        <v>236495</v>
      </c>
      <c r="O79" s="7">
        <f t="shared" si="245"/>
        <v>232892</v>
      </c>
      <c r="P79" s="7">
        <f t="shared" si="245"/>
        <v>237382</v>
      </c>
      <c r="Q79" s="7">
        <f t="shared" si="245"/>
        <v>250863</v>
      </c>
      <c r="R79" s="7">
        <f t="shared" si="245"/>
        <v>252496</v>
      </c>
      <c r="S79" s="7">
        <f t="shared" si="245"/>
        <v>236581</v>
      </c>
      <c r="T79" s="7">
        <f t="shared" si="245"/>
        <v>238552</v>
      </c>
      <c r="U79" s="7">
        <f t="shared" si="245"/>
        <v>244851</v>
      </c>
      <c r="V79" s="7">
        <f>SUM(V72:V78)</f>
        <v>244860</v>
      </c>
      <c r="W79" s="7">
        <f>SUM(W72:W78)</f>
        <v>246142</v>
      </c>
      <c r="X79" s="7">
        <f t="shared" ref="X79:Z79" si="246">SUM(X72:X78)</f>
        <v>247199</v>
      </c>
      <c r="Y79" s="7">
        <f t="shared" si="246"/>
        <v>0</v>
      </c>
      <c r="Z79" s="7">
        <f t="shared" si="246"/>
        <v>243197</v>
      </c>
      <c r="AA79" s="7">
        <f t="shared" ref="AA79:AD79" si="247">SUM(AA72:AA78)</f>
        <v>245053</v>
      </c>
      <c r="AB79" s="7">
        <f t="shared" si="247"/>
        <v>0</v>
      </c>
      <c r="AC79" s="7">
        <f t="shared" si="247"/>
        <v>0</v>
      </c>
      <c r="AD79" s="7">
        <f t="shared" si="247"/>
        <v>0</v>
      </c>
      <c r="AO79" s="7">
        <f t="shared" ref="AO79:AS79" si="248">SUM(AO72:AO78)</f>
        <v>204522</v>
      </c>
      <c r="AP79" s="7">
        <f t="shared" si="248"/>
        <v>219295</v>
      </c>
      <c r="AQ79" s="7">
        <f t="shared" si="248"/>
        <v>236495</v>
      </c>
      <c r="AR79" s="7">
        <f t="shared" si="248"/>
        <v>252496</v>
      </c>
      <c r="AS79" s="7">
        <f t="shared" si="248"/>
        <v>244860</v>
      </c>
    </row>
    <row r="80" spans="1:45" x14ac:dyDescent="0.25">
      <c r="B80" s="17" t="s">
        <v>92</v>
      </c>
      <c r="C80" s="25">
        <v>2617</v>
      </c>
      <c r="D80" s="25">
        <v>3262</v>
      </c>
      <c r="E80" s="25">
        <v>5114</v>
      </c>
      <c r="F80" s="25">
        <v>5257</v>
      </c>
      <c r="G80" s="25">
        <v>7762</v>
      </c>
      <c r="H80" s="25">
        <v>444</v>
      </c>
      <c r="I80" s="25">
        <v>7795</v>
      </c>
      <c r="J80" s="25">
        <v>5225</v>
      </c>
      <c r="K80" s="25">
        <v>4828</v>
      </c>
      <c r="L80" s="25">
        <v>3681</v>
      </c>
      <c r="M80" s="25">
        <v>4926</v>
      </c>
      <c r="N80" s="25">
        <v>575</v>
      </c>
      <c r="O80" s="25">
        <v>4048</v>
      </c>
      <c r="P80" s="25">
        <v>357</v>
      </c>
      <c r="Q80" s="25">
        <v>240</v>
      </c>
      <c r="R80" s="25">
        <v>224</v>
      </c>
      <c r="S80" s="25">
        <v>362</v>
      </c>
      <c r="T80" s="25">
        <v>671</v>
      </c>
      <c r="U80" s="25">
        <v>447</v>
      </c>
      <c r="V80" s="25">
        <v>410</v>
      </c>
      <c r="W80" s="25">
        <v>11432</v>
      </c>
      <c r="X80" s="2">
        <v>10634</v>
      </c>
      <c r="Z80" s="2">
        <v>372</v>
      </c>
      <c r="AA80" s="2">
        <v>1711</v>
      </c>
      <c r="AO80" s="2">
        <f t="shared" ref="AO80:AO88" si="249">F80</f>
        <v>5257</v>
      </c>
      <c r="AP80" s="2">
        <f t="shared" ref="AP80:AP88" si="250">J80</f>
        <v>5225</v>
      </c>
      <c r="AQ80" s="2">
        <f t="shared" ref="AQ80:AQ88" si="251">N80</f>
        <v>575</v>
      </c>
      <c r="AR80" s="2">
        <f t="shared" ref="AR80:AR88" si="252">R80</f>
        <v>224</v>
      </c>
      <c r="AS80" s="2">
        <f t="shared" ref="AS80:AS88" si="253">V80</f>
        <v>410</v>
      </c>
    </row>
    <row r="81" spans="1:45" x14ac:dyDescent="0.25">
      <c r="B81" s="17" t="s">
        <v>93</v>
      </c>
      <c r="C81" s="25">
        <v>41367</v>
      </c>
      <c r="D81" s="25">
        <v>42389</v>
      </c>
      <c r="E81" s="25">
        <v>47587</v>
      </c>
      <c r="F81" s="25">
        <v>46092</v>
      </c>
      <c r="G81" s="25">
        <v>44612</v>
      </c>
      <c r="H81" s="25">
        <v>43128</v>
      </c>
      <c r="I81" s="25">
        <v>49729</v>
      </c>
      <c r="J81" s="25">
        <v>47060</v>
      </c>
      <c r="K81" s="25">
        <v>45110</v>
      </c>
      <c r="L81" s="25">
        <v>45871</v>
      </c>
      <c r="M81" s="25">
        <v>49750</v>
      </c>
      <c r="N81" s="25">
        <v>46973</v>
      </c>
      <c r="O81" s="25">
        <v>44096</v>
      </c>
      <c r="P81" s="25">
        <v>46326</v>
      </c>
      <c r="Q81" s="25">
        <v>54152</v>
      </c>
      <c r="R81" s="25">
        <v>49141</v>
      </c>
      <c r="S81" s="25">
        <v>48151</v>
      </c>
      <c r="T81" s="25">
        <v>49601</v>
      </c>
      <c r="U81" s="25">
        <v>57156</v>
      </c>
      <c r="V81" s="25">
        <v>55261</v>
      </c>
      <c r="W81" s="25">
        <v>52926</v>
      </c>
      <c r="X81" s="2">
        <v>54191</v>
      </c>
      <c r="Z81" s="2">
        <v>53742</v>
      </c>
      <c r="AA81" s="2">
        <v>54268</v>
      </c>
      <c r="AO81" s="2">
        <f t="shared" si="249"/>
        <v>46092</v>
      </c>
      <c r="AP81" s="2">
        <f t="shared" si="250"/>
        <v>47060</v>
      </c>
      <c r="AQ81" s="2">
        <f t="shared" si="251"/>
        <v>46973</v>
      </c>
      <c r="AR81" s="2">
        <f t="shared" si="252"/>
        <v>49141</v>
      </c>
      <c r="AS81" s="2">
        <f t="shared" si="253"/>
        <v>55261</v>
      </c>
    </row>
    <row r="82" spans="1:45" x14ac:dyDescent="0.25">
      <c r="B82" s="17" t="s">
        <v>64</v>
      </c>
      <c r="C82" s="25">
        <v>4628</v>
      </c>
      <c r="D82" s="25">
        <v>3057</v>
      </c>
      <c r="E82" s="25">
        <v>1530</v>
      </c>
      <c r="F82" s="25">
        <v>0</v>
      </c>
      <c r="G82" s="25">
        <v>4607</v>
      </c>
      <c r="H82" s="25">
        <v>3057</v>
      </c>
      <c r="I82" s="25">
        <v>1516</v>
      </c>
      <c r="J82" s="25">
        <v>0</v>
      </c>
      <c r="K82" s="25">
        <v>4551</v>
      </c>
      <c r="L82" s="25">
        <v>3023</v>
      </c>
      <c r="M82" s="25">
        <v>1507</v>
      </c>
      <c r="N82" s="25">
        <v>0</v>
      </c>
      <c r="O82" s="25">
        <v>4588</v>
      </c>
      <c r="P82" s="25">
        <v>3060</v>
      </c>
      <c r="Q82" s="25">
        <v>1529</v>
      </c>
      <c r="R82" s="25">
        <v>0</v>
      </c>
      <c r="S82" s="25">
        <v>4651</v>
      </c>
      <c r="T82" s="25">
        <v>3109</v>
      </c>
      <c r="U82" s="25">
        <v>1528</v>
      </c>
      <c r="V82" s="25">
        <v>0</v>
      </c>
      <c r="W82" s="25">
        <v>4631</v>
      </c>
      <c r="X82" s="2">
        <v>3049</v>
      </c>
      <c r="Z82" s="2">
        <v>0</v>
      </c>
      <c r="AA82" s="2">
        <v>4602</v>
      </c>
      <c r="AO82" s="2">
        <f t="shared" si="249"/>
        <v>0</v>
      </c>
      <c r="AP82" s="2">
        <f t="shared" si="250"/>
        <v>0</v>
      </c>
      <c r="AQ82" s="2">
        <f t="shared" si="251"/>
        <v>0</v>
      </c>
      <c r="AR82" s="2">
        <f t="shared" si="252"/>
        <v>0</v>
      </c>
      <c r="AS82" s="2">
        <f t="shared" si="253"/>
        <v>0</v>
      </c>
    </row>
    <row r="83" spans="1:45" x14ac:dyDescent="0.25">
      <c r="B83" s="17" t="s">
        <v>94</v>
      </c>
      <c r="C83" s="25">
        <v>19708</v>
      </c>
      <c r="D83" s="25">
        <v>19686</v>
      </c>
      <c r="E83" s="25">
        <v>21757</v>
      </c>
      <c r="F83" s="25">
        <v>22122</v>
      </c>
      <c r="G83" s="25">
        <v>20782</v>
      </c>
      <c r="H83" s="25">
        <v>22846</v>
      </c>
      <c r="I83" s="25">
        <v>22795</v>
      </c>
      <c r="J83" s="25">
        <v>22159</v>
      </c>
      <c r="K83" s="25">
        <v>21023</v>
      </c>
      <c r="L83" s="25">
        <v>20691</v>
      </c>
      <c r="M83" s="25">
        <v>20973</v>
      </c>
      <c r="N83" s="25">
        <v>22296</v>
      </c>
      <c r="O83" s="25">
        <v>20377</v>
      </c>
      <c r="P83" s="25">
        <v>23768</v>
      </c>
      <c r="Q83" s="25">
        <v>24995</v>
      </c>
      <c r="R83" s="25">
        <v>37966</v>
      </c>
      <c r="S83" s="25">
        <v>21371</v>
      </c>
      <c r="T83" s="25">
        <v>23915</v>
      </c>
      <c r="U83" s="25">
        <v>24474</v>
      </c>
      <c r="V83" s="25">
        <v>26060</v>
      </c>
      <c r="W83" s="25">
        <v>21061</v>
      </c>
      <c r="X83" s="2">
        <v>23843</v>
      </c>
      <c r="Z83" s="2">
        <v>31126</v>
      </c>
      <c r="AA83" s="2">
        <v>27527</v>
      </c>
      <c r="AO83" s="2">
        <f t="shared" si="249"/>
        <v>22122</v>
      </c>
      <c r="AP83" s="2">
        <f t="shared" si="250"/>
        <v>22159</v>
      </c>
      <c r="AQ83" s="2">
        <f t="shared" si="251"/>
        <v>22296</v>
      </c>
      <c r="AR83" s="2">
        <f t="shared" si="252"/>
        <v>37966</v>
      </c>
      <c r="AS83" s="2">
        <f t="shared" si="253"/>
        <v>26060</v>
      </c>
    </row>
    <row r="84" spans="1:45" x14ac:dyDescent="0.25">
      <c r="B84" s="17" t="s">
        <v>95</v>
      </c>
      <c r="C84" s="25">
        <v>2018</v>
      </c>
      <c r="D84" s="25">
        <v>505</v>
      </c>
      <c r="E84" s="25">
        <v>540</v>
      </c>
      <c r="F84" s="25">
        <v>645</v>
      </c>
      <c r="G84" s="25">
        <v>718</v>
      </c>
      <c r="H84" s="25">
        <v>424</v>
      </c>
      <c r="I84" s="25">
        <v>616</v>
      </c>
      <c r="J84" s="25">
        <v>428</v>
      </c>
      <c r="K84" s="25">
        <v>729</v>
      </c>
      <c r="L84" s="25">
        <v>387</v>
      </c>
      <c r="M84" s="25">
        <v>327</v>
      </c>
      <c r="N84" s="25">
        <v>280</v>
      </c>
      <c r="O84" s="25">
        <v>1303</v>
      </c>
      <c r="P84" s="25">
        <v>610</v>
      </c>
      <c r="Q84" s="25">
        <v>548</v>
      </c>
      <c r="R84" s="25">
        <v>242</v>
      </c>
      <c r="S84" s="25">
        <v>851</v>
      </c>
      <c r="T84" s="25">
        <v>267</v>
      </c>
      <c r="U84" s="25">
        <v>446</v>
      </c>
      <c r="V84" s="25">
        <v>851</v>
      </c>
      <c r="W84" s="25">
        <v>904</v>
      </c>
      <c r="X84" s="2">
        <v>868</v>
      </c>
      <c r="Z84" s="2">
        <v>727</v>
      </c>
      <c r="AA84" s="2">
        <v>1325</v>
      </c>
      <c r="AO84" s="2">
        <f t="shared" si="249"/>
        <v>645</v>
      </c>
      <c r="AP84" s="2">
        <f t="shared" si="250"/>
        <v>428</v>
      </c>
      <c r="AQ84" s="2">
        <f t="shared" si="251"/>
        <v>280</v>
      </c>
      <c r="AR84" s="2">
        <f t="shared" si="252"/>
        <v>242</v>
      </c>
      <c r="AS84" s="2">
        <f t="shared" si="253"/>
        <v>851</v>
      </c>
    </row>
    <row r="85" spans="1:45" x14ac:dyDescent="0.25">
      <c r="B85" s="17" t="s">
        <v>96</v>
      </c>
      <c r="C85" s="25">
        <v>3256</v>
      </c>
      <c r="D85" s="25">
        <v>3254</v>
      </c>
      <c r="E85" s="25">
        <v>3257</v>
      </c>
      <c r="F85" s="25">
        <v>3738</v>
      </c>
      <c r="G85" s="25">
        <v>1576</v>
      </c>
      <c r="H85" s="25">
        <v>1090</v>
      </c>
      <c r="I85" s="25">
        <v>2591</v>
      </c>
      <c r="J85" s="25">
        <v>1876</v>
      </c>
      <c r="K85" s="25">
        <v>1464</v>
      </c>
      <c r="L85" s="25">
        <v>4396</v>
      </c>
      <c r="M85" s="25">
        <v>4093</v>
      </c>
      <c r="N85" s="25">
        <v>5362</v>
      </c>
      <c r="O85" s="25">
        <v>5983</v>
      </c>
      <c r="P85" s="25">
        <v>5553</v>
      </c>
      <c r="Q85" s="25">
        <v>4358</v>
      </c>
      <c r="R85" s="25">
        <v>3115</v>
      </c>
      <c r="S85" s="25">
        <v>3500</v>
      </c>
      <c r="T85" s="25">
        <v>1617</v>
      </c>
      <c r="U85" s="25">
        <v>1575</v>
      </c>
      <c r="V85" s="25">
        <v>2803</v>
      </c>
      <c r="W85" s="25">
        <v>3580</v>
      </c>
      <c r="X85" s="2">
        <v>5316</v>
      </c>
      <c r="Z85" s="2">
        <v>4191</v>
      </c>
      <c r="AA85" s="2">
        <v>3975</v>
      </c>
      <c r="AO85" s="2">
        <f t="shared" si="249"/>
        <v>3738</v>
      </c>
      <c r="AP85" s="2">
        <f t="shared" si="250"/>
        <v>1876</v>
      </c>
      <c r="AQ85" s="2">
        <f t="shared" si="251"/>
        <v>5362</v>
      </c>
      <c r="AR85" s="2">
        <f t="shared" si="252"/>
        <v>3115</v>
      </c>
      <c r="AS85" s="2">
        <f t="shared" si="253"/>
        <v>2803</v>
      </c>
    </row>
    <row r="86" spans="1:45" x14ac:dyDescent="0.25">
      <c r="B86" s="17" t="s">
        <v>97</v>
      </c>
      <c r="C86" s="25">
        <v>0</v>
      </c>
      <c r="D86" s="25">
        <v>0</v>
      </c>
      <c r="E86" s="25">
        <v>0</v>
      </c>
      <c r="F86" s="25">
        <v>0</v>
      </c>
      <c r="G86" s="25">
        <v>0</v>
      </c>
      <c r="H86" s="25">
        <v>0</v>
      </c>
      <c r="I86" s="25">
        <v>0</v>
      </c>
      <c r="J86" s="25">
        <v>0</v>
      </c>
      <c r="K86" s="25">
        <v>1748</v>
      </c>
      <c r="L86" s="25">
        <v>1795</v>
      </c>
      <c r="M86" s="25">
        <v>1740</v>
      </c>
      <c r="N86" s="25">
        <v>1793</v>
      </c>
      <c r="O86" s="25">
        <v>1729</v>
      </c>
      <c r="P86" s="25">
        <v>1734</v>
      </c>
      <c r="Q86" s="25">
        <v>1725</v>
      </c>
      <c r="R86" s="25">
        <v>1466</v>
      </c>
      <c r="S86" s="25">
        <v>1448</v>
      </c>
      <c r="T86" s="25">
        <v>1441</v>
      </c>
      <c r="U86" s="25">
        <v>1486</v>
      </c>
      <c r="V86" s="25">
        <v>1483</v>
      </c>
      <c r="W86" s="25">
        <v>1485</v>
      </c>
      <c r="X86" s="2">
        <v>1464</v>
      </c>
      <c r="Z86" s="2">
        <v>1473</v>
      </c>
      <c r="AA86" s="2">
        <v>1490</v>
      </c>
      <c r="AO86" s="2">
        <f t="shared" si="249"/>
        <v>0</v>
      </c>
      <c r="AP86" s="2">
        <f t="shared" si="250"/>
        <v>0</v>
      </c>
      <c r="AQ86" s="2">
        <f t="shared" si="251"/>
        <v>1793</v>
      </c>
      <c r="AR86" s="2">
        <f t="shared" si="252"/>
        <v>1466</v>
      </c>
      <c r="AS86" s="2">
        <f t="shared" si="253"/>
        <v>1483</v>
      </c>
    </row>
    <row r="87" spans="1:45" x14ac:dyDescent="0.25">
      <c r="B87" s="17" t="s">
        <v>98</v>
      </c>
      <c r="C87" s="25">
        <v>0</v>
      </c>
      <c r="D87" s="25">
        <v>0</v>
      </c>
      <c r="E87" s="25">
        <v>0</v>
      </c>
      <c r="F87" s="25">
        <v>0</v>
      </c>
      <c r="G87" s="25">
        <v>0</v>
      </c>
      <c r="H87" s="25">
        <v>0</v>
      </c>
      <c r="I87" s="25">
        <v>0</v>
      </c>
      <c r="J87" s="25">
        <v>0</v>
      </c>
      <c r="K87" s="25">
        <v>435</v>
      </c>
      <c r="L87" s="25">
        <v>439</v>
      </c>
      <c r="M87" s="25">
        <v>468</v>
      </c>
      <c r="N87" s="25">
        <v>511</v>
      </c>
      <c r="O87" s="25">
        <v>523</v>
      </c>
      <c r="P87" s="25">
        <v>549</v>
      </c>
      <c r="Q87" s="25">
        <v>574</v>
      </c>
      <c r="R87" s="25">
        <v>491</v>
      </c>
      <c r="S87" s="25">
        <v>507</v>
      </c>
      <c r="T87" s="25">
        <v>501</v>
      </c>
      <c r="U87" s="25">
        <v>508</v>
      </c>
      <c r="V87" s="25">
        <v>511</v>
      </c>
      <c r="W87" s="25">
        <v>511</v>
      </c>
      <c r="X87" s="2">
        <v>534</v>
      </c>
      <c r="Z87" s="2">
        <v>567</v>
      </c>
      <c r="AA87" s="2">
        <v>607</v>
      </c>
      <c r="AO87" s="2">
        <f t="shared" si="249"/>
        <v>0</v>
      </c>
      <c r="AP87" s="2">
        <f t="shared" si="250"/>
        <v>0</v>
      </c>
      <c r="AQ87" s="2">
        <f t="shared" si="251"/>
        <v>511</v>
      </c>
      <c r="AR87" s="2">
        <f t="shared" si="252"/>
        <v>491</v>
      </c>
      <c r="AS87" s="2">
        <f t="shared" si="253"/>
        <v>511</v>
      </c>
    </row>
    <row r="88" spans="1:45" x14ac:dyDescent="0.25">
      <c r="B88" s="24" t="s">
        <v>110</v>
      </c>
      <c r="C88" s="25">
        <v>599</v>
      </c>
      <c r="D88" s="25">
        <v>658</v>
      </c>
      <c r="E88" s="25">
        <v>650</v>
      </c>
      <c r="F88" s="25">
        <v>667</v>
      </c>
      <c r="G88" s="25">
        <v>700</v>
      </c>
      <c r="H88" s="25">
        <v>694</v>
      </c>
      <c r="I88" s="25">
        <v>709</v>
      </c>
      <c r="J88" s="25">
        <v>729</v>
      </c>
      <c r="K88" s="25">
        <v>0</v>
      </c>
      <c r="L88" s="25">
        <v>0</v>
      </c>
      <c r="M88" s="25">
        <v>0</v>
      </c>
      <c r="N88" s="25">
        <v>0</v>
      </c>
      <c r="O88" s="25">
        <v>0</v>
      </c>
      <c r="P88" s="25">
        <v>0</v>
      </c>
      <c r="Q88" s="25">
        <v>0</v>
      </c>
      <c r="R88" s="25">
        <v>0</v>
      </c>
      <c r="S88" s="25">
        <v>0</v>
      </c>
      <c r="T88" s="25">
        <v>0</v>
      </c>
      <c r="U88" s="25">
        <v>0</v>
      </c>
      <c r="V88" s="25">
        <v>0</v>
      </c>
      <c r="W88" s="25">
        <v>0</v>
      </c>
      <c r="X88" s="2">
        <v>0</v>
      </c>
      <c r="Z88" s="2">
        <v>0</v>
      </c>
      <c r="AA88" s="2">
        <v>0</v>
      </c>
      <c r="AO88" s="2">
        <f t="shared" si="249"/>
        <v>667</v>
      </c>
      <c r="AP88" s="2">
        <f t="shared" si="250"/>
        <v>729</v>
      </c>
      <c r="AQ88" s="2">
        <f t="shared" si="251"/>
        <v>0</v>
      </c>
      <c r="AR88" s="2">
        <f t="shared" si="252"/>
        <v>0</v>
      </c>
      <c r="AS88" s="2">
        <f t="shared" si="253"/>
        <v>0</v>
      </c>
    </row>
    <row r="89" spans="1:45" s="7" customFormat="1" x14ac:dyDescent="0.25">
      <c r="A89" s="3"/>
      <c r="B89" s="3" t="s">
        <v>99</v>
      </c>
      <c r="C89" s="7">
        <f>SUM(C80:C88)</f>
        <v>74193</v>
      </c>
      <c r="D89" s="7">
        <f t="shared" ref="D89:Z89" si="254">SUM(D80:D88)</f>
        <v>72811</v>
      </c>
      <c r="E89" s="7">
        <f t="shared" si="254"/>
        <v>80435</v>
      </c>
      <c r="F89" s="7">
        <f t="shared" si="254"/>
        <v>78521</v>
      </c>
      <c r="G89" s="7">
        <f t="shared" si="254"/>
        <v>80757</v>
      </c>
      <c r="H89" s="7">
        <f t="shared" si="254"/>
        <v>71683</v>
      </c>
      <c r="I89" s="7">
        <f t="shared" si="254"/>
        <v>85751</v>
      </c>
      <c r="J89" s="7">
        <f t="shared" si="254"/>
        <v>77477</v>
      </c>
      <c r="K89" s="7">
        <f t="shared" si="254"/>
        <v>79888</v>
      </c>
      <c r="L89" s="7">
        <f t="shared" si="254"/>
        <v>80283</v>
      </c>
      <c r="M89" s="7">
        <f t="shared" si="254"/>
        <v>83784</v>
      </c>
      <c r="N89" s="7">
        <f t="shared" si="254"/>
        <v>77790</v>
      </c>
      <c r="O89" s="7">
        <f t="shared" si="254"/>
        <v>82647</v>
      </c>
      <c r="P89" s="7">
        <f t="shared" si="254"/>
        <v>81957</v>
      </c>
      <c r="Q89" s="7">
        <f t="shared" si="254"/>
        <v>88121</v>
      </c>
      <c r="R89" s="7">
        <f t="shared" si="254"/>
        <v>92645</v>
      </c>
      <c r="S89" s="7">
        <f t="shared" si="254"/>
        <v>80841</v>
      </c>
      <c r="T89" s="7">
        <f t="shared" si="254"/>
        <v>81122</v>
      </c>
      <c r="U89" s="7">
        <f t="shared" si="254"/>
        <v>87620</v>
      </c>
      <c r="V89" s="7">
        <f t="shared" si="254"/>
        <v>87379</v>
      </c>
      <c r="W89" s="7">
        <f t="shared" si="254"/>
        <v>96530</v>
      </c>
      <c r="X89" s="7">
        <f t="shared" si="254"/>
        <v>99899</v>
      </c>
      <c r="Y89" s="7">
        <f t="shared" si="254"/>
        <v>0</v>
      </c>
      <c r="Z89" s="7">
        <f t="shared" si="254"/>
        <v>92198</v>
      </c>
      <c r="AA89" s="7">
        <f t="shared" ref="AA89:AD89" si="255">SUM(AA80:AA88)</f>
        <v>95505</v>
      </c>
      <c r="AB89" s="7">
        <f t="shared" si="255"/>
        <v>0</v>
      </c>
      <c r="AC89" s="7">
        <f t="shared" si="255"/>
        <v>0</v>
      </c>
      <c r="AD89" s="7">
        <f t="shared" si="255"/>
        <v>0</v>
      </c>
      <c r="AO89" s="7">
        <f t="shared" ref="AO89:AS89" si="256">SUM(AO80:AO88)</f>
        <v>78521</v>
      </c>
      <c r="AP89" s="7">
        <f t="shared" si="256"/>
        <v>77477</v>
      </c>
      <c r="AQ89" s="7">
        <f t="shared" si="256"/>
        <v>77790</v>
      </c>
      <c r="AR89" s="7">
        <f t="shared" si="256"/>
        <v>92645</v>
      </c>
      <c r="AS89" s="7">
        <f t="shared" si="256"/>
        <v>87379</v>
      </c>
    </row>
    <row r="90" spans="1:45" x14ac:dyDescent="0.25">
      <c r="B90" s="17" t="s">
        <v>100</v>
      </c>
      <c r="C90" s="25">
        <v>33774</v>
      </c>
      <c r="D90" s="25">
        <v>33706</v>
      </c>
      <c r="E90" s="25">
        <v>34206</v>
      </c>
      <c r="F90" s="25">
        <v>30045</v>
      </c>
      <c r="G90" s="25">
        <v>29477</v>
      </c>
      <c r="H90" s="25">
        <v>44958</v>
      </c>
      <c r="I90" s="25">
        <v>43275</v>
      </c>
      <c r="J90" s="25">
        <v>43520</v>
      </c>
      <c r="K90" s="25">
        <v>47425</v>
      </c>
      <c r="L90" s="25">
        <v>44404</v>
      </c>
      <c r="M90" s="25">
        <v>44912</v>
      </c>
      <c r="N90" s="25">
        <v>43714</v>
      </c>
      <c r="O90" s="25">
        <v>43006</v>
      </c>
      <c r="P90" s="25">
        <v>40959</v>
      </c>
      <c r="Q90" s="25">
        <v>40849</v>
      </c>
      <c r="R90" s="25">
        <v>41194</v>
      </c>
      <c r="S90" s="25">
        <v>40273</v>
      </c>
      <c r="T90" s="25">
        <v>39581</v>
      </c>
      <c r="U90" s="25">
        <v>36425</v>
      </c>
      <c r="V90" s="25">
        <v>34864</v>
      </c>
      <c r="W90" s="25">
        <v>32174</v>
      </c>
      <c r="X90" s="2">
        <v>29801</v>
      </c>
      <c r="Z90" s="2">
        <v>34649</v>
      </c>
      <c r="AA90" s="2">
        <v>38120</v>
      </c>
      <c r="AO90" s="2">
        <f t="shared" ref="AO90:AO96" si="257">F90</f>
        <v>30045</v>
      </c>
      <c r="AP90" s="2">
        <f t="shared" ref="AP90:AP96" si="258">J90</f>
        <v>43520</v>
      </c>
      <c r="AQ90" s="2">
        <f t="shared" ref="AQ90:AQ96" si="259">N90</f>
        <v>43714</v>
      </c>
      <c r="AR90" s="2">
        <f t="shared" ref="AR90:AR96" si="260">R90</f>
        <v>41194</v>
      </c>
      <c r="AS90" s="2">
        <f t="shared" ref="AS90:AS96" si="261">V90</f>
        <v>34864</v>
      </c>
    </row>
    <row r="91" spans="1:45" x14ac:dyDescent="0.25">
      <c r="B91" s="17" t="s">
        <v>101</v>
      </c>
      <c r="C91" s="25">
        <v>0</v>
      </c>
      <c r="D91" s="25">
        <v>0</v>
      </c>
      <c r="E91" s="25">
        <v>0</v>
      </c>
      <c r="F91" s="25">
        <v>0</v>
      </c>
      <c r="G91" s="25">
        <v>0</v>
      </c>
      <c r="H91" s="25">
        <v>0</v>
      </c>
      <c r="I91" s="25">
        <v>0</v>
      </c>
      <c r="J91" s="25">
        <v>0</v>
      </c>
      <c r="K91" s="25">
        <v>15719</v>
      </c>
      <c r="L91" s="25">
        <v>16079</v>
      </c>
      <c r="M91" s="25">
        <v>15741</v>
      </c>
      <c r="N91" s="25">
        <v>16171</v>
      </c>
      <c r="O91" s="25">
        <v>15669</v>
      </c>
      <c r="P91" s="25">
        <v>15669</v>
      </c>
      <c r="Q91" s="25">
        <v>15982</v>
      </c>
      <c r="R91" s="25">
        <v>12909</v>
      </c>
      <c r="S91" s="25">
        <v>12930</v>
      </c>
      <c r="T91" s="25">
        <v>13116</v>
      </c>
      <c r="U91" s="25">
        <v>13095</v>
      </c>
      <c r="V91" s="25">
        <v>13009</v>
      </c>
      <c r="W91" s="25">
        <v>13226</v>
      </c>
      <c r="X91" s="2">
        <v>13140</v>
      </c>
      <c r="Z91" s="2">
        <v>12828</v>
      </c>
      <c r="AA91" s="2">
        <v>12925</v>
      </c>
      <c r="AO91" s="2">
        <f t="shared" si="257"/>
        <v>0</v>
      </c>
      <c r="AP91" s="2">
        <f t="shared" si="258"/>
        <v>0</v>
      </c>
      <c r="AQ91" s="2">
        <f t="shared" si="259"/>
        <v>16171</v>
      </c>
      <c r="AR91" s="2">
        <f t="shared" si="260"/>
        <v>12909</v>
      </c>
      <c r="AS91" s="2">
        <f t="shared" si="261"/>
        <v>13009</v>
      </c>
    </row>
    <row r="92" spans="1:45" x14ac:dyDescent="0.25">
      <c r="B92" s="17" t="s">
        <v>102</v>
      </c>
      <c r="C92" s="25">
        <v>0</v>
      </c>
      <c r="D92" s="25">
        <v>0</v>
      </c>
      <c r="E92" s="25">
        <v>0</v>
      </c>
      <c r="F92" s="25">
        <v>0</v>
      </c>
      <c r="G92" s="25">
        <v>0</v>
      </c>
      <c r="H92" s="25">
        <v>0</v>
      </c>
      <c r="I92" s="25">
        <v>0</v>
      </c>
      <c r="J92" s="25">
        <v>0</v>
      </c>
      <c r="K92" s="25">
        <v>3810</v>
      </c>
      <c r="L92" s="25">
        <v>3915</v>
      </c>
      <c r="M92" s="25">
        <v>4068</v>
      </c>
      <c r="N92" s="25">
        <v>4307</v>
      </c>
      <c r="O92" s="25">
        <v>4474</v>
      </c>
      <c r="P92" s="25">
        <v>4673</v>
      </c>
      <c r="Q92" s="25">
        <v>4750</v>
      </c>
      <c r="R92" s="25">
        <v>3847</v>
      </c>
      <c r="S92" s="25">
        <v>3802</v>
      </c>
      <c r="T92" s="25">
        <v>3952</v>
      </c>
      <c r="U92" s="25">
        <v>4061</v>
      </c>
      <c r="V92" s="25">
        <v>4243</v>
      </c>
      <c r="W92" s="25">
        <v>4409</v>
      </c>
      <c r="X92" s="2">
        <v>4420</v>
      </c>
      <c r="Z92" s="2">
        <v>4843</v>
      </c>
      <c r="AA92" s="2">
        <v>5039</v>
      </c>
      <c r="AO92" s="2">
        <f t="shared" si="257"/>
        <v>0</v>
      </c>
      <c r="AP92" s="2">
        <f t="shared" si="258"/>
        <v>0</v>
      </c>
      <c r="AQ92" s="2">
        <f t="shared" si="259"/>
        <v>4307</v>
      </c>
      <c r="AR92" s="2">
        <f t="shared" si="260"/>
        <v>3847</v>
      </c>
      <c r="AS92" s="2">
        <f t="shared" si="261"/>
        <v>4243</v>
      </c>
    </row>
    <row r="93" spans="1:45" x14ac:dyDescent="0.25">
      <c r="B93" s="24" t="s">
        <v>111</v>
      </c>
      <c r="C93" s="25">
        <v>6251</v>
      </c>
      <c r="D93" s="25">
        <v>6763</v>
      </c>
      <c r="E93" s="25">
        <v>6700</v>
      </c>
      <c r="F93" s="25">
        <v>6780</v>
      </c>
      <c r="G93" s="25">
        <v>6828</v>
      </c>
      <c r="H93" s="25">
        <v>6610</v>
      </c>
      <c r="I93" s="25">
        <v>6621</v>
      </c>
      <c r="J93" s="25">
        <v>6683</v>
      </c>
      <c r="K93" s="25">
        <v>0</v>
      </c>
      <c r="L93" s="25">
        <v>0</v>
      </c>
      <c r="M93" s="25">
        <v>0</v>
      </c>
      <c r="N93" s="25">
        <v>0</v>
      </c>
      <c r="O93" s="25">
        <v>0</v>
      </c>
      <c r="P93" s="25">
        <v>0</v>
      </c>
      <c r="Q93" s="25">
        <v>0</v>
      </c>
      <c r="R93" s="25">
        <v>0</v>
      </c>
      <c r="S93" s="25">
        <v>0</v>
      </c>
      <c r="T93" s="25">
        <v>0</v>
      </c>
      <c r="U93" s="25">
        <v>0</v>
      </c>
      <c r="V93" s="25">
        <v>0</v>
      </c>
      <c r="W93" s="25">
        <v>0</v>
      </c>
      <c r="X93" s="2">
        <v>0</v>
      </c>
      <c r="Z93" s="2">
        <v>0</v>
      </c>
      <c r="AA93" s="2">
        <v>0</v>
      </c>
      <c r="AO93" s="2">
        <f t="shared" si="257"/>
        <v>6780</v>
      </c>
      <c r="AP93" s="2">
        <f t="shared" si="258"/>
        <v>6683</v>
      </c>
      <c r="AQ93" s="2">
        <f t="shared" si="259"/>
        <v>0</v>
      </c>
      <c r="AR93" s="2">
        <f t="shared" si="260"/>
        <v>0</v>
      </c>
      <c r="AS93" s="2">
        <f t="shared" si="261"/>
        <v>0</v>
      </c>
    </row>
    <row r="94" spans="1:45" x14ac:dyDescent="0.25">
      <c r="B94" s="17" t="s">
        <v>103</v>
      </c>
      <c r="C94" s="25">
        <v>9386</v>
      </c>
      <c r="D94" s="25">
        <v>9240</v>
      </c>
      <c r="E94" s="25">
        <v>9167</v>
      </c>
      <c r="F94" s="25">
        <v>8354</v>
      </c>
      <c r="G94" s="25">
        <v>9541</v>
      </c>
      <c r="H94" s="25">
        <v>8999</v>
      </c>
      <c r="I94" s="25">
        <v>11467</v>
      </c>
      <c r="J94" s="25">
        <v>11981</v>
      </c>
      <c r="K94" s="25">
        <v>12792</v>
      </c>
      <c r="L94" s="25">
        <v>13049</v>
      </c>
      <c r="M94" s="25">
        <v>13018</v>
      </c>
      <c r="N94" s="25">
        <v>12961</v>
      </c>
      <c r="O94" s="25">
        <v>12986</v>
      </c>
      <c r="P94" s="25">
        <v>12927</v>
      </c>
      <c r="Q94" s="25">
        <v>13657</v>
      </c>
      <c r="R94" s="25">
        <v>14370</v>
      </c>
      <c r="S94" s="25">
        <v>14143</v>
      </c>
      <c r="T94" s="25">
        <v>13654</v>
      </c>
      <c r="U94" s="25">
        <v>12893</v>
      </c>
      <c r="V94" s="25">
        <v>13474</v>
      </c>
      <c r="W94" s="25">
        <v>13943</v>
      </c>
      <c r="X94" s="2">
        <v>14092</v>
      </c>
      <c r="Z94" s="74">
        <v>14688</v>
      </c>
      <c r="AA94" s="2">
        <v>13999</v>
      </c>
      <c r="AO94" s="2">
        <f t="shared" si="257"/>
        <v>8354</v>
      </c>
      <c r="AP94" s="2">
        <f t="shared" si="258"/>
        <v>11981</v>
      </c>
      <c r="AQ94" s="2">
        <f t="shared" si="259"/>
        <v>12961</v>
      </c>
      <c r="AR94" s="2">
        <f t="shared" si="260"/>
        <v>14370</v>
      </c>
      <c r="AS94" s="2">
        <f t="shared" si="261"/>
        <v>13474</v>
      </c>
    </row>
    <row r="95" spans="1:45" x14ac:dyDescent="0.25">
      <c r="B95" s="17" t="s">
        <v>104</v>
      </c>
      <c r="C95" s="25">
        <v>0</v>
      </c>
      <c r="D95" s="25">
        <v>0</v>
      </c>
      <c r="E95" s="25">
        <v>0</v>
      </c>
      <c r="F95" s="25">
        <v>0</v>
      </c>
      <c r="G95" s="25">
        <v>0</v>
      </c>
      <c r="H95" s="25">
        <v>0</v>
      </c>
      <c r="I95" s="25">
        <v>0</v>
      </c>
      <c r="J95" s="25">
        <v>0</v>
      </c>
      <c r="K95" s="25">
        <v>0</v>
      </c>
      <c r="L95" s="25">
        <v>0</v>
      </c>
      <c r="M95" s="25">
        <v>0</v>
      </c>
      <c r="N95" s="25">
        <v>0</v>
      </c>
      <c r="O95" s="25">
        <v>0</v>
      </c>
      <c r="P95" s="25">
        <v>0</v>
      </c>
      <c r="Q95" s="25">
        <v>0</v>
      </c>
      <c r="R95" s="25">
        <v>0</v>
      </c>
      <c r="S95" s="25">
        <v>0</v>
      </c>
      <c r="T95" s="25">
        <v>0</v>
      </c>
      <c r="U95" s="25">
        <v>0</v>
      </c>
      <c r="V95" s="25">
        <v>0</v>
      </c>
      <c r="W95" s="25">
        <v>0</v>
      </c>
      <c r="X95" s="2">
        <v>0</v>
      </c>
      <c r="Z95" s="2">
        <v>0</v>
      </c>
      <c r="AA95" s="2">
        <v>0</v>
      </c>
      <c r="AO95" s="2">
        <f t="shared" si="257"/>
        <v>0</v>
      </c>
      <c r="AP95" s="2">
        <f t="shared" si="258"/>
        <v>0</v>
      </c>
      <c r="AQ95" s="2">
        <f t="shared" si="259"/>
        <v>0</v>
      </c>
      <c r="AR95" s="2">
        <f t="shared" si="260"/>
        <v>0</v>
      </c>
      <c r="AS95" s="2">
        <f t="shared" si="261"/>
        <v>0</v>
      </c>
    </row>
    <row r="96" spans="1:45" x14ac:dyDescent="0.25">
      <c r="B96" s="17" t="s">
        <v>105</v>
      </c>
      <c r="C96" s="25">
        <v>0</v>
      </c>
      <c r="D96" s="25">
        <v>0</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260</v>
      </c>
      <c r="X96" s="2">
        <v>260</v>
      </c>
      <c r="Z96" s="2">
        <v>237</v>
      </c>
      <c r="AA96" s="2">
        <v>234</v>
      </c>
      <c r="AO96" s="2">
        <f t="shared" si="257"/>
        <v>0</v>
      </c>
      <c r="AP96" s="2">
        <f t="shared" si="258"/>
        <v>0</v>
      </c>
      <c r="AQ96" s="2">
        <f t="shared" si="259"/>
        <v>0</v>
      </c>
      <c r="AR96" s="2">
        <f t="shared" si="260"/>
        <v>0</v>
      </c>
      <c r="AS96" s="2">
        <f t="shared" si="261"/>
        <v>0</v>
      </c>
    </row>
    <row r="97" spans="1:45" s="7" customFormat="1" x14ac:dyDescent="0.25">
      <c r="A97" s="3"/>
      <c r="B97" s="3" t="s">
        <v>106</v>
      </c>
      <c r="C97" s="7">
        <f t="shared" ref="C97:V97" si="262">SUM(C89:C96)</f>
        <v>123604</v>
      </c>
      <c r="D97" s="7">
        <f t="shared" si="262"/>
        <v>122520</v>
      </c>
      <c r="E97" s="7">
        <f t="shared" si="262"/>
        <v>130508</v>
      </c>
      <c r="F97" s="7">
        <f t="shared" si="262"/>
        <v>123700</v>
      </c>
      <c r="G97" s="7">
        <f t="shared" si="262"/>
        <v>126603</v>
      </c>
      <c r="H97" s="7">
        <f t="shared" si="262"/>
        <v>132250</v>
      </c>
      <c r="I97" s="7">
        <f t="shared" si="262"/>
        <v>147114</v>
      </c>
      <c r="J97" s="7">
        <f t="shared" si="262"/>
        <v>139661</v>
      </c>
      <c r="K97" s="7">
        <f t="shared" si="262"/>
        <v>159634</v>
      </c>
      <c r="L97" s="7">
        <f t="shared" si="262"/>
        <v>157730</v>
      </c>
      <c r="M97" s="7">
        <f t="shared" si="262"/>
        <v>161523</v>
      </c>
      <c r="N97" s="7">
        <f t="shared" si="262"/>
        <v>154943</v>
      </c>
      <c r="O97" s="7">
        <f t="shared" si="262"/>
        <v>158782</v>
      </c>
      <c r="P97" s="7">
        <f t="shared" si="262"/>
        <v>156185</v>
      </c>
      <c r="Q97" s="7">
        <f t="shared" si="262"/>
        <v>163359</v>
      </c>
      <c r="R97" s="7">
        <f t="shared" si="262"/>
        <v>164965</v>
      </c>
      <c r="S97" s="7">
        <f t="shared" si="262"/>
        <v>151989</v>
      </c>
      <c r="T97" s="7">
        <f t="shared" si="262"/>
        <v>151425</v>
      </c>
      <c r="U97" s="7">
        <f t="shared" si="262"/>
        <v>154094</v>
      </c>
      <c r="V97" s="7">
        <f t="shared" si="262"/>
        <v>152969</v>
      </c>
      <c r="W97" s="7">
        <f>SUM(W89:W96)</f>
        <v>160542</v>
      </c>
      <c r="X97" s="7">
        <f t="shared" ref="X97:Y97" si="263">SUM(X89:X96)</f>
        <v>161612</v>
      </c>
      <c r="Y97" s="7">
        <f t="shared" si="263"/>
        <v>0</v>
      </c>
      <c r="Z97" s="7">
        <f>SUM(Z89:Z96)</f>
        <v>159443</v>
      </c>
      <c r="AA97" s="7">
        <f>SUM(AA89:AA96)</f>
        <v>165822</v>
      </c>
      <c r="AB97" s="7">
        <f t="shared" ref="AB97:AD97" si="264">SUM(AB89:AB96)</f>
        <v>0</v>
      </c>
      <c r="AC97" s="7">
        <f t="shared" si="264"/>
        <v>0</v>
      </c>
      <c r="AD97" s="7">
        <f t="shared" si="264"/>
        <v>0</v>
      </c>
      <c r="AO97" s="7">
        <f t="shared" ref="AO97:AS97" si="265">SUM(AO89:AO96)</f>
        <v>123700</v>
      </c>
      <c r="AP97" s="7">
        <f t="shared" si="265"/>
        <v>139661</v>
      </c>
      <c r="AQ97" s="7">
        <f t="shared" si="265"/>
        <v>154943</v>
      </c>
      <c r="AR97" s="7">
        <f t="shared" si="265"/>
        <v>164965</v>
      </c>
      <c r="AS97" s="7">
        <f t="shared" si="265"/>
        <v>152969</v>
      </c>
    </row>
    <row r="98" spans="1:45" x14ac:dyDescent="0.25">
      <c r="B98" s="17" t="s">
        <v>107</v>
      </c>
      <c r="C98" s="25">
        <v>76114</v>
      </c>
      <c r="D98" s="25">
        <v>79046</v>
      </c>
      <c r="E98" s="25">
        <v>78906</v>
      </c>
      <c r="F98" s="25">
        <v>80822</v>
      </c>
      <c r="G98" s="25">
        <v>78324</v>
      </c>
      <c r="H98" s="25">
        <v>73812</v>
      </c>
      <c r="I98" s="25">
        <v>79469</v>
      </c>
      <c r="J98" s="25">
        <v>79634</v>
      </c>
      <c r="K98" s="25">
        <v>74910</v>
      </c>
      <c r="L98" s="25">
        <v>77131</v>
      </c>
      <c r="M98" s="25">
        <v>78307</v>
      </c>
      <c r="N98" s="25">
        <v>81552</v>
      </c>
      <c r="O98" s="25">
        <v>74110</v>
      </c>
      <c r="P98" s="25">
        <v>81197</v>
      </c>
      <c r="Q98" s="25">
        <v>87504</v>
      </c>
      <c r="R98" s="25">
        <v>87531</v>
      </c>
      <c r="S98" s="25">
        <v>84592</v>
      </c>
      <c r="T98" s="25">
        <v>87127</v>
      </c>
      <c r="U98" s="25">
        <v>90757</v>
      </c>
      <c r="V98" s="25">
        <v>91891</v>
      </c>
      <c r="W98" s="25">
        <v>85600</v>
      </c>
      <c r="X98" s="2">
        <v>85587</v>
      </c>
      <c r="Z98" s="2">
        <v>83754</v>
      </c>
      <c r="AA98" s="2">
        <v>79231</v>
      </c>
      <c r="AO98" s="2">
        <f>F98</f>
        <v>80822</v>
      </c>
      <c r="AP98" s="2">
        <f>J98</f>
        <v>79634</v>
      </c>
      <c r="AQ98" s="2">
        <f>N98</f>
        <v>81552</v>
      </c>
      <c r="AR98" s="2">
        <f>R98</f>
        <v>87531</v>
      </c>
      <c r="AS98" s="2">
        <f>V98</f>
        <v>91891</v>
      </c>
    </row>
    <row r="99" spans="1:45" s="7" customFormat="1" x14ac:dyDescent="0.25">
      <c r="A99" s="3"/>
      <c r="B99" s="3" t="s">
        <v>108</v>
      </c>
      <c r="C99" s="7">
        <f t="shared" ref="C99:V99" si="266">C97+C98</f>
        <v>199718</v>
      </c>
      <c r="D99" s="7">
        <f t="shared" si="266"/>
        <v>201566</v>
      </c>
      <c r="E99" s="7">
        <f t="shared" si="266"/>
        <v>209414</v>
      </c>
      <c r="F99" s="7">
        <f t="shared" si="266"/>
        <v>204522</v>
      </c>
      <c r="G99" s="7">
        <f t="shared" si="266"/>
        <v>204927</v>
      </c>
      <c r="H99" s="7">
        <f t="shared" si="266"/>
        <v>206062</v>
      </c>
      <c r="I99" s="7">
        <f t="shared" si="266"/>
        <v>226583</v>
      </c>
      <c r="J99" s="7">
        <f t="shared" si="266"/>
        <v>219295</v>
      </c>
      <c r="K99" s="7">
        <f t="shared" si="266"/>
        <v>234544</v>
      </c>
      <c r="L99" s="7">
        <f t="shared" si="266"/>
        <v>234861</v>
      </c>
      <c r="M99" s="7">
        <f t="shared" si="266"/>
        <v>239830</v>
      </c>
      <c r="N99" s="7">
        <f t="shared" si="266"/>
        <v>236495</v>
      </c>
      <c r="O99" s="7">
        <f t="shared" si="266"/>
        <v>232892</v>
      </c>
      <c r="P99" s="7">
        <f t="shared" si="266"/>
        <v>237382</v>
      </c>
      <c r="Q99" s="7">
        <f t="shared" si="266"/>
        <v>250863</v>
      </c>
      <c r="R99" s="7">
        <f t="shared" si="266"/>
        <v>252496</v>
      </c>
      <c r="S99" s="7">
        <f t="shared" si="266"/>
        <v>236581</v>
      </c>
      <c r="T99" s="7">
        <f t="shared" si="266"/>
        <v>238552</v>
      </c>
      <c r="U99" s="7">
        <f t="shared" si="266"/>
        <v>244851</v>
      </c>
      <c r="V99" s="7">
        <f t="shared" si="266"/>
        <v>244860</v>
      </c>
      <c r="W99" s="7">
        <f>W97+W98</f>
        <v>246142</v>
      </c>
      <c r="X99" s="7">
        <f t="shared" ref="X99:Y99" si="267">X97+X98</f>
        <v>247199</v>
      </c>
      <c r="Y99" s="7">
        <f t="shared" si="267"/>
        <v>0</v>
      </c>
      <c r="Z99" s="7">
        <f>Z97+Z98</f>
        <v>243197</v>
      </c>
      <c r="AA99" s="7">
        <f>AA97+AA98</f>
        <v>245053</v>
      </c>
      <c r="AB99" s="7">
        <f t="shared" ref="AB99:AD99" si="268">AB97+AB98</f>
        <v>0</v>
      </c>
      <c r="AC99" s="7">
        <f t="shared" si="268"/>
        <v>0</v>
      </c>
      <c r="AD99" s="7">
        <f t="shared" si="268"/>
        <v>0</v>
      </c>
      <c r="AO99" s="7">
        <f t="shared" ref="AO99:AS99" si="269">AO97+AO98</f>
        <v>204522</v>
      </c>
      <c r="AP99" s="7">
        <f t="shared" si="269"/>
        <v>219295</v>
      </c>
      <c r="AQ99" s="7">
        <f t="shared" si="269"/>
        <v>236495</v>
      </c>
      <c r="AR99" s="7">
        <f t="shared" si="269"/>
        <v>252496</v>
      </c>
      <c r="AS99" s="7">
        <f t="shared" si="269"/>
        <v>244860</v>
      </c>
    </row>
    <row r="102" spans="1:45" x14ac:dyDescent="0.25">
      <c r="B102" s="24" t="s">
        <v>112</v>
      </c>
      <c r="C102" s="25">
        <f>C44</f>
        <v>3039</v>
      </c>
      <c r="D102" s="25">
        <f t="shared" ref="D102:Z102" si="270">D44</f>
        <v>2899</v>
      </c>
      <c r="E102" s="25">
        <f t="shared" si="270"/>
        <v>1749</v>
      </c>
      <c r="F102" s="25">
        <f t="shared" si="270"/>
        <v>2175</v>
      </c>
      <c r="G102" s="25">
        <f t="shared" si="270"/>
        <v>2134</v>
      </c>
      <c r="H102" s="25">
        <f t="shared" si="270"/>
        <v>-861</v>
      </c>
      <c r="I102" s="25">
        <f t="shared" si="270"/>
        <v>1710</v>
      </c>
      <c r="J102" s="25">
        <f t="shared" si="270"/>
        <v>3687</v>
      </c>
      <c r="K102" s="25">
        <f t="shared" si="270"/>
        <v>3842</v>
      </c>
      <c r="L102" s="25">
        <f t="shared" si="270"/>
        <v>3610</v>
      </c>
      <c r="M102" s="25">
        <f t="shared" si="270"/>
        <v>3288</v>
      </c>
      <c r="N102" s="25">
        <f t="shared" si="270"/>
        <v>4141</v>
      </c>
      <c r="O102" s="25">
        <f t="shared" si="270"/>
        <v>3990</v>
      </c>
      <c r="P102" s="25">
        <f t="shared" si="270"/>
        <v>6476</v>
      </c>
      <c r="Q102" s="25">
        <f t="shared" si="270"/>
        <v>5135</v>
      </c>
      <c r="R102" s="25">
        <f t="shared" si="270"/>
        <v>-2091</v>
      </c>
      <c r="S102" s="25">
        <f t="shared" si="270"/>
        <v>2730</v>
      </c>
      <c r="T102" s="25">
        <f t="shared" si="270"/>
        <v>4276</v>
      </c>
      <c r="U102" s="25">
        <f t="shared" si="270"/>
        <v>5515</v>
      </c>
      <c r="V102" s="25">
        <f t="shared" si="270"/>
        <v>3562</v>
      </c>
      <c r="W102" s="25">
        <f t="shared" si="270"/>
        <v>2054</v>
      </c>
      <c r="X102" s="2">
        <f t="shared" si="270"/>
        <v>5149</v>
      </c>
      <c r="Y102" s="2">
        <f t="shared" si="270"/>
        <v>-1798</v>
      </c>
      <c r="Z102" s="2">
        <f t="shared" si="270"/>
        <v>6275</v>
      </c>
      <c r="AA102" s="2">
        <f>AA44</f>
        <v>1673</v>
      </c>
      <c r="AO102" s="2">
        <f t="shared" ref="AO102:AR102" si="271">AO44</f>
        <v>9862</v>
      </c>
      <c r="AP102" s="2">
        <f t="shared" si="271"/>
        <v>6670</v>
      </c>
      <c r="AQ102" s="2">
        <f t="shared" si="271"/>
        <v>104609</v>
      </c>
      <c r="AR102" s="2">
        <f t="shared" si="271"/>
        <v>13510</v>
      </c>
      <c r="AS102" s="2">
        <f>AS44</f>
        <v>16083</v>
      </c>
    </row>
    <row r="103" spans="1:45" ht="14.4" x14ac:dyDescent="0.3">
      <c r="B103" s="24" t="s">
        <v>113</v>
      </c>
      <c r="C103"/>
      <c r="D103"/>
      <c r="E103"/>
      <c r="F103"/>
      <c r="G103"/>
      <c r="H103"/>
      <c r="I103"/>
      <c r="J103"/>
      <c r="K103"/>
      <c r="L103"/>
      <c r="M103"/>
      <c r="N103"/>
      <c r="O103"/>
      <c r="P103"/>
      <c r="Q103"/>
      <c r="R103"/>
      <c r="S103" s="25">
        <v>2811</v>
      </c>
      <c r="T103"/>
      <c r="U103"/>
      <c r="V103"/>
      <c r="W103" s="25">
        <v>2103</v>
      </c>
      <c r="AA103" s="2">
        <v>1896</v>
      </c>
      <c r="AO103" s="2">
        <v>10523</v>
      </c>
      <c r="AP103" s="2">
        <v>7179</v>
      </c>
      <c r="AQ103" s="2">
        <v>15201</v>
      </c>
      <c r="AR103" s="2">
        <v>13706</v>
      </c>
      <c r="AS103" s="2">
        <v>13940</v>
      </c>
    </row>
    <row r="104" spans="1:45" ht="14.4" x14ac:dyDescent="0.3">
      <c r="B104" s="24" t="s">
        <v>114</v>
      </c>
      <c r="C104"/>
      <c r="D104"/>
      <c r="E104"/>
      <c r="F104"/>
      <c r="G104"/>
      <c r="H104"/>
      <c r="I104"/>
      <c r="J104"/>
      <c r="K104"/>
      <c r="L104"/>
      <c r="M104"/>
      <c r="N104"/>
      <c r="O104"/>
      <c r="P104"/>
      <c r="Q104"/>
      <c r="R104"/>
      <c r="S104" s="25">
        <v>2661</v>
      </c>
      <c r="T104"/>
      <c r="U104"/>
      <c r="V104"/>
      <c r="W104" s="25">
        <v>2680</v>
      </c>
      <c r="AA104" s="2">
        <v>2845</v>
      </c>
      <c r="AO104" s="2">
        <v>10529</v>
      </c>
      <c r="AP104" s="2">
        <v>10678</v>
      </c>
      <c r="AQ104" s="2">
        <v>10987</v>
      </c>
      <c r="AR104" s="2">
        <v>11152</v>
      </c>
      <c r="AS104" s="2">
        <v>10658</v>
      </c>
    </row>
    <row r="105" spans="1:45" ht="14.4" x14ac:dyDescent="0.3">
      <c r="B105" s="24" t="s">
        <v>115</v>
      </c>
      <c r="C105"/>
      <c r="D105"/>
      <c r="E105"/>
      <c r="F105"/>
      <c r="G105"/>
      <c r="H105"/>
      <c r="I105"/>
      <c r="J105"/>
      <c r="K105"/>
      <c r="L105"/>
      <c r="M105"/>
      <c r="N105"/>
      <c r="O105"/>
      <c r="P105"/>
      <c r="Q105"/>
      <c r="R105"/>
      <c r="S105" s="25">
        <v>2077</v>
      </c>
      <c r="T105"/>
      <c r="U105"/>
      <c r="V105"/>
      <c r="W105" s="25">
        <v>1989</v>
      </c>
      <c r="AA105" s="2">
        <v>3062</v>
      </c>
      <c r="AO105" s="2">
        <v>0</v>
      </c>
      <c r="AP105" s="2">
        <v>3516</v>
      </c>
      <c r="AQ105" s="2">
        <v>-1886</v>
      </c>
      <c r="AR105" s="2">
        <v>-8589</v>
      </c>
      <c r="AS105" s="2">
        <v>2440</v>
      </c>
    </row>
    <row r="106" spans="1:45" ht="14.4" x14ac:dyDescent="0.3">
      <c r="B106" s="24" t="s">
        <v>116</v>
      </c>
      <c r="C106"/>
      <c r="D106"/>
      <c r="E106"/>
      <c r="F106"/>
      <c r="G106"/>
      <c r="H106"/>
      <c r="I106"/>
      <c r="J106"/>
      <c r="K106"/>
      <c r="L106"/>
      <c r="M106"/>
      <c r="N106"/>
      <c r="O106"/>
      <c r="P106"/>
      <c r="Q106"/>
      <c r="R106"/>
      <c r="S106" s="25">
        <v>433</v>
      </c>
      <c r="T106"/>
      <c r="U106"/>
      <c r="V106"/>
      <c r="W106" s="25">
        <v>0</v>
      </c>
      <c r="AA106" s="2">
        <v>0</v>
      </c>
      <c r="AO106" s="2">
        <v>0</v>
      </c>
      <c r="AP106" s="2">
        <v>4850</v>
      </c>
      <c r="AQ106" s="2">
        <v>15</v>
      </c>
      <c r="AR106" s="2">
        <v>8401</v>
      </c>
      <c r="AS106" s="2">
        <v>433</v>
      </c>
    </row>
    <row r="107" spans="1:45" ht="14.4" x14ac:dyDescent="0.3">
      <c r="B107" s="27" t="s">
        <v>136</v>
      </c>
      <c r="C107"/>
      <c r="D107"/>
      <c r="E107"/>
      <c r="F107"/>
      <c r="G107"/>
      <c r="H107"/>
      <c r="I107"/>
      <c r="J107"/>
      <c r="K107"/>
      <c r="L107"/>
      <c r="M107"/>
      <c r="N107"/>
      <c r="O107"/>
      <c r="P107"/>
      <c r="Q107"/>
      <c r="R107"/>
      <c r="S107" s="25">
        <v>0</v>
      </c>
      <c r="T107"/>
      <c r="U107"/>
      <c r="V107"/>
      <c r="W107" s="25">
        <v>0</v>
      </c>
      <c r="AA107" s="2">
        <v>0</v>
      </c>
      <c r="AO107" s="2">
        <v>0</v>
      </c>
      <c r="AP107" s="2">
        <v>0</v>
      </c>
      <c r="AQ107" s="2">
        <v>-1036</v>
      </c>
      <c r="AR107" s="2">
        <v>0</v>
      </c>
      <c r="AS107" s="2">
        <v>0</v>
      </c>
    </row>
    <row r="108" spans="1:45" ht="14.4" x14ac:dyDescent="0.3">
      <c r="B108" s="24" t="s">
        <v>117</v>
      </c>
      <c r="C108"/>
      <c r="D108"/>
      <c r="E108"/>
      <c r="F108"/>
      <c r="G108"/>
      <c r="H108"/>
      <c r="I108"/>
      <c r="J108"/>
      <c r="K108"/>
      <c r="L108"/>
      <c r="M108"/>
      <c r="N108"/>
      <c r="O108"/>
      <c r="P108"/>
      <c r="Q108"/>
      <c r="R108"/>
      <c r="S108" s="25">
        <v>-155</v>
      </c>
      <c r="T108"/>
      <c r="U108"/>
      <c r="V108"/>
      <c r="W108" s="25">
        <v>-69</v>
      </c>
      <c r="AA108" s="2">
        <v>-725</v>
      </c>
      <c r="AO108" s="2">
        <v>-304</v>
      </c>
      <c r="AP108" s="2">
        <v>-499</v>
      </c>
      <c r="AQ108" s="2">
        <v>320</v>
      </c>
      <c r="AR108" s="2">
        <v>1911</v>
      </c>
      <c r="AS108" s="2">
        <v>-755</v>
      </c>
    </row>
    <row r="109" spans="1:45" ht="14.4" x14ac:dyDescent="0.3">
      <c r="B109" s="27" t="s">
        <v>69</v>
      </c>
      <c r="C109"/>
      <c r="D109"/>
      <c r="E109"/>
      <c r="F109"/>
      <c r="G109"/>
      <c r="H109"/>
      <c r="I109"/>
      <c r="J109"/>
      <c r="K109"/>
      <c r="L109"/>
      <c r="M109"/>
      <c r="N109"/>
      <c r="O109"/>
      <c r="P109"/>
      <c r="Q109"/>
      <c r="R109"/>
      <c r="S109" s="25">
        <v>0</v>
      </c>
      <c r="T109"/>
      <c r="U109"/>
      <c r="V109"/>
      <c r="W109" s="25">
        <v>0</v>
      </c>
      <c r="AA109" s="2">
        <v>0</v>
      </c>
      <c r="AO109" s="2">
        <v>3136</v>
      </c>
      <c r="AP109" s="2">
        <v>0</v>
      </c>
      <c r="AQ109" s="2">
        <v>0</v>
      </c>
      <c r="AR109" s="2">
        <v>0</v>
      </c>
      <c r="AS109" s="2">
        <v>2410</v>
      </c>
    </row>
    <row r="110" spans="1:45" ht="14.4" x14ac:dyDescent="0.3">
      <c r="B110" s="24" t="s">
        <v>118</v>
      </c>
      <c r="C110"/>
      <c r="D110"/>
      <c r="E110"/>
      <c r="F110"/>
      <c r="G110"/>
      <c r="H110"/>
      <c r="I110"/>
      <c r="J110"/>
      <c r="K110"/>
      <c r="L110"/>
      <c r="M110"/>
      <c r="N110"/>
      <c r="O110"/>
      <c r="P110"/>
      <c r="Q110"/>
      <c r="R110"/>
      <c r="S110" s="25">
        <v>270</v>
      </c>
      <c r="T110"/>
      <c r="U110"/>
      <c r="V110"/>
      <c r="W110" s="25">
        <v>-59</v>
      </c>
      <c r="AA110" s="2">
        <v>249</v>
      </c>
      <c r="AO110" s="2">
        <v>1210</v>
      </c>
      <c r="AP110" s="2">
        <v>1734</v>
      </c>
      <c r="AQ110" s="2">
        <v>1981</v>
      </c>
      <c r="AR110" s="2">
        <v>1521</v>
      </c>
      <c r="AS110" s="2">
        <v>1652</v>
      </c>
    </row>
    <row r="111" spans="1:45" ht="14.4" x14ac:dyDescent="0.3">
      <c r="B111" s="24" t="s">
        <v>82</v>
      </c>
      <c r="C111"/>
      <c r="D111"/>
      <c r="E111"/>
      <c r="F111"/>
      <c r="G111"/>
      <c r="H111"/>
      <c r="I111"/>
      <c r="J111"/>
      <c r="K111"/>
      <c r="L111"/>
      <c r="M111"/>
      <c r="N111"/>
      <c r="O111"/>
      <c r="P111"/>
      <c r="Q111"/>
      <c r="R111"/>
      <c r="S111" s="25">
        <v>828</v>
      </c>
      <c r="T111"/>
      <c r="U111"/>
      <c r="V111"/>
      <c r="W111" s="25">
        <v>837</v>
      </c>
      <c r="AA111" s="2">
        <v>376</v>
      </c>
      <c r="AO111" s="2">
        <v>-1074</v>
      </c>
      <c r="AP111" s="2">
        <v>-368</v>
      </c>
      <c r="AQ111" s="2">
        <v>154</v>
      </c>
      <c r="AR111" s="2">
        <v>-1086</v>
      </c>
      <c r="AS111" s="2">
        <v>-1796</v>
      </c>
    </row>
    <row r="112" spans="1:45" ht="14.4" x14ac:dyDescent="0.3">
      <c r="B112" s="24" t="s">
        <v>83</v>
      </c>
      <c r="C112"/>
      <c r="D112"/>
      <c r="E112"/>
      <c r="F112"/>
      <c r="G112"/>
      <c r="H112"/>
      <c r="I112"/>
      <c r="J112"/>
      <c r="K112"/>
      <c r="L112"/>
      <c r="M112"/>
      <c r="N112"/>
      <c r="O112"/>
      <c r="P112"/>
      <c r="Q112"/>
      <c r="R112"/>
      <c r="S112" s="25">
        <v>-1487</v>
      </c>
      <c r="T112"/>
      <c r="U112"/>
      <c r="V112"/>
      <c r="W112" s="25">
        <v>-4699</v>
      </c>
      <c r="AA112" s="2">
        <v>-154</v>
      </c>
      <c r="AO112" s="2">
        <v>-140</v>
      </c>
      <c r="AP112" s="2">
        <v>-1311</v>
      </c>
      <c r="AQ112" s="2">
        <v>-300</v>
      </c>
      <c r="AR112" s="2">
        <v>-2395</v>
      </c>
      <c r="AS112" s="2">
        <v>-11764</v>
      </c>
    </row>
    <row r="113" spans="2:45" ht="14.4" x14ac:dyDescent="0.3">
      <c r="B113" s="24" t="s">
        <v>93</v>
      </c>
      <c r="C113"/>
      <c r="D113"/>
      <c r="E113"/>
      <c r="F113"/>
      <c r="G113"/>
      <c r="H113"/>
      <c r="I113"/>
      <c r="J113"/>
      <c r="K113"/>
      <c r="L113"/>
      <c r="M113"/>
      <c r="N113"/>
      <c r="O113"/>
      <c r="P113"/>
      <c r="Q113"/>
      <c r="R113"/>
      <c r="S113" s="25">
        <v>-1004</v>
      </c>
      <c r="T113"/>
      <c r="U113"/>
      <c r="V113"/>
      <c r="W113" s="25">
        <v>-1640</v>
      </c>
      <c r="AA113" s="2">
        <v>971</v>
      </c>
      <c r="AO113" s="2">
        <v>4086</v>
      </c>
      <c r="AP113" s="2">
        <v>1831</v>
      </c>
      <c r="AQ113" s="2">
        <v>-274</v>
      </c>
      <c r="AR113" s="2">
        <v>6966</v>
      </c>
      <c r="AS113" s="2">
        <v>5520</v>
      </c>
    </row>
    <row r="114" spans="2:45" ht="14.4" x14ac:dyDescent="0.3">
      <c r="B114" s="24" t="s">
        <v>94</v>
      </c>
      <c r="C114"/>
      <c r="D114"/>
      <c r="E114"/>
      <c r="F114"/>
      <c r="G114"/>
      <c r="H114"/>
      <c r="I114"/>
      <c r="J114"/>
      <c r="K114"/>
      <c r="L114"/>
      <c r="M114"/>
      <c r="N114"/>
      <c r="O114"/>
      <c r="P114"/>
      <c r="Q114"/>
      <c r="R114"/>
      <c r="S114" s="25">
        <v>-4004</v>
      </c>
      <c r="T114"/>
      <c r="U114"/>
      <c r="V114"/>
      <c r="W114" s="25">
        <v>-4949</v>
      </c>
      <c r="AA114" s="2">
        <v>-4447</v>
      </c>
      <c r="AO114" s="2">
        <v>928</v>
      </c>
      <c r="AP114" s="2">
        <v>183</v>
      </c>
      <c r="AQ114" s="2">
        <v>186</v>
      </c>
      <c r="AR114" s="2">
        <v>4623</v>
      </c>
      <c r="AS114" s="2">
        <v>1404</v>
      </c>
    </row>
    <row r="115" spans="2:45" ht="14.4" x14ac:dyDescent="0.3">
      <c r="B115" s="24" t="s">
        <v>95</v>
      </c>
      <c r="C115"/>
      <c r="D115"/>
      <c r="E115"/>
      <c r="F115"/>
      <c r="G115"/>
      <c r="H115"/>
      <c r="I115"/>
      <c r="J115"/>
      <c r="K115"/>
      <c r="L115"/>
      <c r="M115"/>
      <c r="N115"/>
      <c r="O115"/>
      <c r="P115"/>
      <c r="Q115"/>
      <c r="R115"/>
      <c r="S115" s="25">
        <v>428</v>
      </c>
      <c r="T115"/>
      <c r="U115"/>
      <c r="V115"/>
      <c r="W115" s="25">
        <v>49</v>
      </c>
      <c r="AA115" s="2">
        <v>560</v>
      </c>
      <c r="AO115" s="2">
        <v>-557</v>
      </c>
      <c r="AP115" s="2">
        <v>-40</v>
      </c>
      <c r="AQ115" s="2">
        <v>-93</v>
      </c>
      <c r="AR115" s="2">
        <v>-136</v>
      </c>
      <c r="AS115" s="2">
        <v>39</v>
      </c>
    </row>
    <row r="116" spans="2:45" x14ac:dyDescent="0.25">
      <c r="B116" s="3" t="s">
        <v>119</v>
      </c>
      <c r="C116" s="7">
        <f t="shared" ref="C116:Z116" si="272">SUM(C103:C115)</f>
        <v>0</v>
      </c>
      <c r="D116" s="7">
        <f t="shared" si="272"/>
        <v>0</v>
      </c>
      <c r="E116" s="7">
        <f t="shared" si="272"/>
        <v>0</v>
      </c>
      <c r="F116" s="7">
        <f t="shared" si="272"/>
        <v>0</v>
      </c>
      <c r="G116" s="7">
        <f t="shared" si="272"/>
        <v>0</v>
      </c>
      <c r="H116" s="7">
        <f t="shared" si="272"/>
        <v>0</v>
      </c>
      <c r="I116" s="7">
        <f t="shared" si="272"/>
        <v>0</v>
      </c>
      <c r="J116" s="7">
        <f t="shared" si="272"/>
        <v>0</v>
      </c>
      <c r="K116" s="7">
        <f t="shared" si="272"/>
        <v>0</v>
      </c>
      <c r="L116" s="7">
        <f t="shared" si="272"/>
        <v>0</v>
      </c>
      <c r="M116" s="7">
        <f t="shared" si="272"/>
        <v>0</v>
      </c>
      <c r="N116" s="7">
        <f t="shared" si="272"/>
        <v>0</v>
      </c>
      <c r="O116" s="7">
        <f t="shared" si="272"/>
        <v>0</v>
      </c>
      <c r="P116" s="7">
        <f t="shared" si="272"/>
        <v>0</v>
      </c>
      <c r="Q116" s="7">
        <f t="shared" si="272"/>
        <v>0</v>
      </c>
      <c r="R116" s="7">
        <f t="shared" si="272"/>
        <v>0</v>
      </c>
      <c r="S116" s="7">
        <f t="shared" si="272"/>
        <v>2858</v>
      </c>
      <c r="T116" s="7">
        <f t="shared" si="272"/>
        <v>0</v>
      </c>
      <c r="U116" s="7">
        <f t="shared" si="272"/>
        <v>0</v>
      </c>
      <c r="V116" s="7">
        <f t="shared" si="272"/>
        <v>0</v>
      </c>
      <c r="W116" s="7">
        <f t="shared" si="272"/>
        <v>-3758</v>
      </c>
      <c r="X116" s="7">
        <f t="shared" si="272"/>
        <v>0</v>
      </c>
      <c r="Y116" s="7">
        <f t="shared" si="272"/>
        <v>0</v>
      </c>
      <c r="Z116" s="7">
        <f t="shared" si="272"/>
        <v>0</v>
      </c>
      <c r="AA116" s="7">
        <f>SUM(AA103:AA115)</f>
        <v>4633</v>
      </c>
      <c r="AO116" s="7">
        <f>SUM(AO103:AO115)</f>
        <v>28337</v>
      </c>
      <c r="AP116" s="7">
        <f t="shared" ref="AP116:AS116" si="273">SUM(AP103:AP115)</f>
        <v>27753</v>
      </c>
      <c r="AQ116" s="7">
        <f t="shared" si="273"/>
        <v>25255</v>
      </c>
      <c r="AR116" s="7">
        <f t="shared" si="273"/>
        <v>36074</v>
      </c>
      <c r="AS116" s="7">
        <f t="shared" si="273"/>
        <v>24181</v>
      </c>
    </row>
    <row r="117" spans="2:45" ht="14.4" x14ac:dyDescent="0.3">
      <c r="B117" s="24" t="s">
        <v>120</v>
      </c>
      <c r="C117"/>
      <c r="D117"/>
      <c r="E117"/>
      <c r="F117"/>
      <c r="G117"/>
      <c r="H117"/>
      <c r="I117"/>
      <c r="J117"/>
      <c r="K117"/>
      <c r="L117"/>
      <c r="M117"/>
      <c r="N117"/>
      <c r="O117"/>
      <c r="P117"/>
      <c r="Q117"/>
      <c r="R117"/>
      <c r="S117" s="25">
        <v>-2214</v>
      </c>
      <c r="T117"/>
      <c r="U117"/>
      <c r="V117"/>
      <c r="W117" s="25">
        <v>-3539</v>
      </c>
      <c r="AA117" s="2">
        <v>-4429</v>
      </c>
      <c r="AO117" s="2">
        <v>-10051</v>
      </c>
      <c r="AP117" s="2">
        <v>-10344</v>
      </c>
      <c r="AQ117" s="2">
        <v>-10705</v>
      </c>
      <c r="AR117" s="2">
        <v>-10264</v>
      </c>
      <c r="AS117" s="2">
        <v>-13106</v>
      </c>
    </row>
    <row r="118" spans="2:45" ht="14.4" x14ac:dyDescent="0.3">
      <c r="B118" s="24" t="s">
        <v>121</v>
      </c>
      <c r="C118"/>
      <c r="D118"/>
      <c r="E118"/>
      <c r="F118"/>
      <c r="G118"/>
      <c r="H118"/>
      <c r="I118"/>
      <c r="J118"/>
      <c r="K118"/>
      <c r="L118"/>
      <c r="M118"/>
      <c r="N118"/>
      <c r="O118"/>
      <c r="P118"/>
      <c r="Q118"/>
      <c r="R118"/>
      <c r="S118" s="25">
        <v>72</v>
      </c>
      <c r="T118"/>
      <c r="U118"/>
      <c r="V118"/>
      <c r="W118" s="25">
        <v>35</v>
      </c>
      <c r="AA118" s="2">
        <v>47</v>
      </c>
      <c r="AO118" s="2">
        <v>378</v>
      </c>
      <c r="AP118" s="2">
        <v>519</v>
      </c>
      <c r="AQ118" s="2">
        <v>321</v>
      </c>
      <c r="AR118" s="2">
        <v>215</v>
      </c>
      <c r="AS118" s="2">
        <v>394</v>
      </c>
    </row>
    <row r="119" spans="2:45" ht="14.4" x14ac:dyDescent="0.3">
      <c r="B119" s="24" t="s">
        <v>122</v>
      </c>
      <c r="C119"/>
      <c r="D119"/>
      <c r="E119"/>
      <c r="F119"/>
      <c r="G119"/>
      <c r="H119"/>
      <c r="I119"/>
      <c r="J119"/>
      <c r="K119"/>
      <c r="L119"/>
      <c r="M119"/>
      <c r="N119"/>
      <c r="O119"/>
      <c r="P119"/>
      <c r="Q119"/>
      <c r="R119"/>
      <c r="S119" s="25">
        <v>7935</v>
      </c>
      <c r="T119"/>
      <c r="U119"/>
      <c r="V119"/>
      <c r="W119" s="25">
        <v>0</v>
      </c>
      <c r="AA119" s="2">
        <v>48</v>
      </c>
      <c r="AO119" s="2">
        <v>1046</v>
      </c>
      <c r="AP119" s="2">
        <v>876</v>
      </c>
      <c r="AQ119" s="2">
        <v>833</v>
      </c>
      <c r="AR119" s="2">
        <v>56</v>
      </c>
      <c r="AS119" s="2">
        <v>7935</v>
      </c>
    </row>
    <row r="120" spans="2:45" ht="14.4" x14ac:dyDescent="0.3">
      <c r="B120" s="24" t="s">
        <v>123</v>
      </c>
      <c r="C120"/>
      <c r="D120"/>
      <c r="E120"/>
      <c r="F120"/>
      <c r="G120"/>
      <c r="H120"/>
      <c r="I120"/>
      <c r="J120"/>
      <c r="K120"/>
      <c r="L120"/>
      <c r="M120"/>
      <c r="N120"/>
      <c r="O120"/>
      <c r="P120"/>
      <c r="Q120"/>
      <c r="R120"/>
      <c r="S120" s="25">
        <v>0</v>
      </c>
      <c r="T120"/>
      <c r="U120"/>
      <c r="V120"/>
      <c r="W120" s="25">
        <v>-598</v>
      </c>
      <c r="AA120" s="2">
        <v>0</v>
      </c>
      <c r="AO120" s="2">
        <v>-375</v>
      </c>
      <c r="AP120" s="2">
        <v>-14656</v>
      </c>
      <c r="AQ120" s="2">
        <v>-56</v>
      </c>
      <c r="AR120" s="2">
        <v>-180</v>
      </c>
      <c r="AS120" s="2">
        <v>-359</v>
      </c>
    </row>
    <row r="121" spans="2:45" ht="14.4" x14ac:dyDescent="0.3">
      <c r="B121" s="24" t="s">
        <v>124</v>
      </c>
      <c r="C121"/>
      <c r="D121"/>
      <c r="E121"/>
      <c r="F121"/>
      <c r="G121"/>
      <c r="H121"/>
      <c r="I121"/>
      <c r="J121"/>
      <c r="K121"/>
      <c r="L121"/>
      <c r="M121"/>
      <c r="N121"/>
      <c r="O121"/>
      <c r="P121"/>
      <c r="Q121"/>
      <c r="R121"/>
      <c r="S121" s="25">
        <v>57</v>
      </c>
      <c r="T121"/>
      <c r="U121"/>
      <c r="V121"/>
      <c r="W121" s="25">
        <v>-456</v>
      </c>
      <c r="AA121" s="2">
        <v>-526</v>
      </c>
      <c r="AO121" s="2">
        <v>-77</v>
      </c>
      <c r="AP121" s="2">
        <v>-431</v>
      </c>
      <c r="AQ121" s="2">
        <v>479</v>
      </c>
      <c r="AR121" s="2">
        <v>102</v>
      </c>
      <c r="AS121" s="2">
        <v>-879</v>
      </c>
    </row>
    <row r="122" spans="2:45" x14ac:dyDescent="0.25">
      <c r="B122" s="3" t="s">
        <v>125</v>
      </c>
      <c r="C122" s="7">
        <f t="shared" ref="C122:V122" si="274">SUM(C117:C121)</f>
        <v>0</v>
      </c>
      <c r="D122" s="7">
        <f t="shared" si="274"/>
        <v>0</v>
      </c>
      <c r="E122" s="7">
        <f t="shared" si="274"/>
        <v>0</v>
      </c>
      <c r="F122" s="7">
        <f t="shared" si="274"/>
        <v>0</v>
      </c>
      <c r="G122" s="7">
        <f t="shared" si="274"/>
        <v>0</v>
      </c>
      <c r="H122" s="7">
        <f t="shared" si="274"/>
        <v>0</v>
      </c>
      <c r="I122" s="7">
        <f t="shared" si="274"/>
        <v>0</v>
      </c>
      <c r="J122" s="7">
        <f t="shared" si="274"/>
        <v>0</v>
      </c>
      <c r="K122" s="7">
        <f t="shared" si="274"/>
        <v>0</v>
      </c>
      <c r="L122" s="7">
        <f t="shared" si="274"/>
        <v>0</v>
      </c>
      <c r="M122" s="7">
        <f t="shared" si="274"/>
        <v>0</v>
      </c>
      <c r="N122" s="7">
        <f t="shared" si="274"/>
        <v>0</v>
      </c>
      <c r="O122" s="7">
        <f t="shared" si="274"/>
        <v>0</v>
      </c>
      <c r="P122" s="7">
        <f t="shared" si="274"/>
        <v>0</v>
      </c>
      <c r="Q122" s="7">
        <f t="shared" si="274"/>
        <v>0</v>
      </c>
      <c r="R122" s="7">
        <f t="shared" si="274"/>
        <v>0</v>
      </c>
      <c r="S122" s="7">
        <f>SUM(S117:S121)</f>
        <v>5850</v>
      </c>
      <c r="T122" s="7">
        <f t="shared" si="274"/>
        <v>0</v>
      </c>
      <c r="U122" s="7">
        <f t="shared" si="274"/>
        <v>0</v>
      </c>
      <c r="V122" s="7">
        <f t="shared" si="274"/>
        <v>0</v>
      </c>
      <c r="W122" s="7">
        <f>SUM(W117:W121)</f>
        <v>-4558</v>
      </c>
      <c r="X122" s="7">
        <f t="shared" ref="X122:AA122" si="275">SUM(X117:X121)</f>
        <v>0</v>
      </c>
      <c r="Y122" s="7">
        <f t="shared" si="275"/>
        <v>0</v>
      </c>
      <c r="Z122" s="7">
        <f t="shared" si="275"/>
        <v>0</v>
      </c>
      <c r="AA122" s="7">
        <f t="shared" si="275"/>
        <v>-4860</v>
      </c>
      <c r="AO122" s="7">
        <f t="shared" ref="AO122:AS122" si="276">SUM(AO117:AO121)</f>
        <v>-9079</v>
      </c>
      <c r="AP122" s="7">
        <f t="shared" si="276"/>
        <v>-24036</v>
      </c>
      <c r="AQ122" s="7">
        <f t="shared" si="276"/>
        <v>-9128</v>
      </c>
      <c r="AR122" s="7">
        <f t="shared" si="276"/>
        <v>-10071</v>
      </c>
      <c r="AS122" s="7">
        <f t="shared" si="276"/>
        <v>-6015</v>
      </c>
    </row>
    <row r="123" spans="2:45" ht="14.4" x14ac:dyDescent="0.3">
      <c r="B123" s="24" t="s">
        <v>126</v>
      </c>
      <c r="C123"/>
      <c r="D123"/>
      <c r="E123"/>
      <c r="F123"/>
      <c r="G123"/>
      <c r="H123"/>
      <c r="I123"/>
      <c r="J123"/>
      <c r="K123"/>
      <c r="L123"/>
      <c r="M123"/>
      <c r="N123"/>
      <c r="O123"/>
      <c r="P123"/>
      <c r="Q123"/>
      <c r="R123"/>
      <c r="S123" s="25">
        <v>138</v>
      </c>
      <c r="T123"/>
      <c r="U123"/>
      <c r="V123"/>
      <c r="W123" s="25">
        <v>10995</v>
      </c>
      <c r="AA123" s="2">
        <v>1343</v>
      </c>
      <c r="AO123" s="2">
        <v>4148</v>
      </c>
      <c r="AP123" s="2">
        <v>-53</v>
      </c>
      <c r="AQ123" s="2">
        <v>-4656</v>
      </c>
      <c r="AR123" s="2">
        <v>-324</v>
      </c>
      <c r="AS123" s="2">
        <v>193</v>
      </c>
    </row>
    <row r="124" spans="2:45" ht="14.4" x14ac:dyDescent="0.3">
      <c r="B124" s="27" t="s">
        <v>137</v>
      </c>
      <c r="C124"/>
      <c r="D124"/>
      <c r="E124"/>
      <c r="F124"/>
      <c r="G124"/>
      <c r="H124"/>
      <c r="I124"/>
      <c r="J124"/>
      <c r="K124"/>
      <c r="L124"/>
      <c r="M124"/>
      <c r="N124"/>
      <c r="O124"/>
      <c r="P124"/>
      <c r="Q124"/>
      <c r="R124"/>
      <c r="S124" s="25">
        <v>0</v>
      </c>
      <c r="T124"/>
      <c r="U124"/>
      <c r="V124"/>
      <c r="W124" s="25">
        <v>0</v>
      </c>
      <c r="AA124" s="2">
        <v>4967</v>
      </c>
      <c r="AO124" s="2">
        <v>7476</v>
      </c>
      <c r="AP124" s="2">
        <v>15872</v>
      </c>
      <c r="AQ124" s="2">
        <v>5492</v>
      </c>
      <c r="AR124" s="2">
        <v>0</v>
      </c>
      <c r="AS124" s="2">
        <v>6945</v>
      </c>
    </row>
    <row r="125" spans="2:45" ht="14.4" x14ac:dyDescent="0.3">
      <c r="B125" s="24" t="s">
        <v>127</v>
      </c>
      <c r="C125"/>
      <c r="D125"/>
      <c r="E125"/>
      <c r="F125"/>
      <c r="G125"/>
      <c r="H125"/>
      <c r="I125"/>
      <c r="J125"/>
      <c r="K125"/>
      <c r="L125"/>
      <c r="M125"/>
      <c r="N125"/>
      <c r="O125"/>
      <c r="P125"/>
      <c r="Q125"/>
      <c r="R125"/>
      <c r="S125" s="25">
        <v>-510</v>
      </c>
      <c r="T125"/>
      <c r="U125"/>
      <c r="V125"/>
      <c r="W125" s="25">
        <v>-926</v>
      </c>
      <c r="AA125" s="2">
        <v>-1784</v>
      </c>
      <c r="AO125" s="2">
        <v>-13061</v>
      </c>
      <c r="AP125" s="2">
        <v>-3784</v>
      </c>
      <c r="AQ125" s="2">
        <v>-1907</v>
      </c>
      <c r="AR125" s="2">
        <v>-5382</v>
      </c>
      <c r="AS125" s="2">
        <v>-13010</v>
      </c>
    </row>
    <row r="126" spans="2:45" ht="14.4" x14ac:dyDescent="0.3">
      <c r="B126" s="27" t="s">
        <v>138</v>
      </c>
      <c r="C126"/>
      <c r="D126"/>
      <c r="E126"/>
      <c r="F126"/>
      <c r="G126"/>
      <c r="H126"/>
      <c r="I126"/>
      <c r="J126"/>
      <c r="K126"/>
      <c r="L126"/>
      <c r="M126"/>
      <c r="N126"/>
      <c r="O126"/>
      <c r="P126"/>
      <c r="Q126"/>
      <c r="R126"/>
      <c r="S126" s="25">
        <v>0</v>
      </c>
      <c r="T126"/>
      <c r="U126"/>
      <c r="V126"/>
      <c r="W126" s="25">
        <v>0</v>
      </c>
      <c r="AA126" s="2">
        <v>0</v>
      </c>
      <c r="AO126" s="2">
        <v>-3059</v>
      </c>
      <c r="AP126" s="2">
        <v>0</v>
      </c>
      <c r="AQ126" s="2">
        <v>0</v>
      </c>
      <c r="AR126" s="2">
        <v>0</v>
      </c>
      <c r="AS126" s="2">
        <v>-2317</v>
      </c>
    </row>
    <row r="127" spans="2:45" ht="14.4" x14ac:dyDescent="0.3">
      <c r="B127" s="24" t="s">
        <v>64</v>
      </c>
      <c r="C127"/>
      <c r="D127"/>
      <c r="E127"/>
      <c r="F127"/>
      <c r="G127"/>
      <c r="H127"/>
      <c r="I127"/>
      <c r="J127"/>
      <c r="K127"/>
      <c r="L127"/>
      <c r="M127"/>
      <c r="N127"/>
      <c r="O127"/>
      <c r="P127"/>
      <c r="Q127"/>
      <c r="R127"/>
      <c r="S127" s="25">
        <v>-1549</v>
      </c>
      <c r="T127"/>
      <c r="U127"/>
      <c r="V127"/>
      <c r="W127" s="25">
        <v>-1543</v>
      </c>
      <c r="AA127" s="2">
        <v>-1538</v>
      </c>
      <c r="AO127" s="2">
        <v>-6124</v>
      </c>
      <c r="AP127" s="2">
        <v>-6102</v>
      </c>
      <c r="AQ127" s="2">
        <v>-6048</v>
      </c>
      <c r="AR127" s="2">
        <v>-6116</v>
      </c>
      <c r="AS127" s="2">
        <v>-6152</v>
      </c>
    </row>
    <row r="128" spans="2:45" ht="14.4" x14ac:dyDescent="0.3">
      <c r="B128" s="24" t="s">
        <v>128</v>
      </c>
      <c r="C128"/>
      <c r="D128"/>
      <c r="E128"/>
      <c r="F128"/>
      <c r="G128"/>
      <c r="H128"/>
      <c r="I128"/>
      <c r="J128"/>
      <c r="K128"/>
      <c r="L128"/>
      <c r="M128"/>
      <c r="N128"/>
      <c r="O128"/>
      <c r="P128"/>
      <c r="Q128"/>
      <c r="R128"/>
      <c r="S128" s="25">
        <v>-2809</v>
      </c>
      <c r="T128"/>
      <c r="U128"/>
      <c r="V128"/>
      <c r="W128" s="25">
        <v>-2408</v>
      </c>
      <c r="AA128" s="2">
        <v>-686</v>
      </c>
      <c r="AO128" s="2">
        <v>-8296</v>
      </c>
      <c r="AP128" s="2">
        <v>-7410</v>
      </c>
      <c r="AQ128" s="2">
        <v>-5717</v>
      </c>
      <c r="AR128" s="2">
        <v>-2625</v>
      </c>
      <c r="AS128" s="2">
        <v>-9787</v>
      </c>
    </row>
    <row r="129" spans="2:442" ht="14.4" x14ac:dyDescent="0.3">
      <c r="B129" s="27" t="s">
        <v>139</v>
      </c>
      <c r="C129"/>
      <c r="D129"/>
      <c r="E129"/>
      <c r="F129"/>
      <c r="G129"/>
      <c r="H129"/>
      <c r="I129"/>
      <c r="J129"/>
      <c r="K129"/>
      <c r="L129"/>
      <c r="M129"/>
      <c r="N129"/>
      <c r="O129"/>
      <c r="P129"/>
      <c r="Q129"/>
      <c r="R129"/>
      <c r="S129" s="25">
        <v>0</v>
      </c>
      <c r="T129"/>
      <c r="U129"/>
      <c r="V129"/>
      <c r="W129" s="25">
        <v>0</v>
      </c>
      <c r="AA129" s="2">
        <v>0</v>
      </c>
      <c r="AO129" s="2">
        <v>-690</v>
      </c>
      <c r="AP129" s="2">
        <v>-431</v>
      </c>
      <c r="AQ129" s="2">
        <v>-555</v>
      </c>
      <c r="AR129" s="2">
        <v>-434</v>
      </c>
      <c r="AS129" s="2">
        <v>-424</v>
      </c>
    </row>
    <row r="130" spans="2:442" ht="14.4" x14ac:dyDescent="0.3">
      <c r="B130" s="24" t="s">
        <v>129</v>
      </c>
      <c r="C130"/>
      <c r="D130"/>
      <c r="E130"/>
      <c r="F130"/>
      <c r="G130"/>
      <c r="H130"/>
      <c r="I130"/>
      <c r="J130"/>
      <c r="K130"/>
      <c r="L130"/>
      <c r="M130"/>
      <c r="N130"/>
      <c r="O130"/>
      <c r="P130"/>
      <c r="Q130"/>
      <c r="R130"/>
      <c r="S130" s="25">
        <v>75</v>
      </c>
      <c r="T130"/>
      <c r="U130"/>
      <c r="V130"/>
      <c r="W130" s="25">
        <v>35</v>
      </c>
      <c r="AA130" s="2">
        <v>483</v>
      </c>
      <c r="AO130" s="2">
        <v>-8</v>
      </c>
      <c r="AP130" s="2">
        <v>0</v>
      </c>
      <c r="AQ130" s="2">
        <v>52</v>
      </c>
      <c r="AR130" s="2">
        <v>140</v>
      </c>
      <c r="AS130" s="2">
        <v>3239</v>
      </c>
    </row>
    <row r="131" spans="2:442" ht="14.4" x14ac:dyDescent="0.3">
      <c r="B131" s="24" t="s">
        <v>130</v>
      </c>
      <c r="C131"/>
      <c r="D131"/>
      <c r="E131"/>
      <c r="F131"/>
      <c r="G131"/>
      <c r="H131"/>
      <c r="I131"/>
      <c r="J131"/>
      <c r="K131"/>
      <c r="L131"/>
      <c r="M131"/>
      <c r="N131"/>
      <c r="O131"/>
      <c r="P131"/>
      <c r="Q131"/>
      <c r="R131"/>
      <c r="S131" s="25">
        <v>-744</v>
      </c>
      <c r="T131"/>
      <c r="U131"/>
      <c r="V131"/>
      <c r="W131" s="25">
        <v>-838</v>
      </c>
      <c r="AA131" s="2">
        <v>-845</v>
      </c>
      <c r="AO131" s="2">
        <v>-261</v>
      </c>
      <c r="AP131" s="2">
        <v>-629</v>
      </c>
      <c r="AQ131" s="2">
        <v>-960</v>
      </c>
      <c r="AR131" s="2">
        <v>-1376</v>
      </c>
      <c r="AS131" s="2">
        <v>-1515</v>
      </c>
    </row>
    <row r="132" spans="2:442" x14ac:dyDescent="0.25">
      <c r="B132" s="3" t="s">
        <v>131</v>
      </c>
      <c r="C132" s="7">
        <f t="shared" ref="C132:AA132" si="277">SUM(C123:C131)</f>
        <v>0</v>
      </c>
      <c r="D132" s="7">
        <f t="shared" si="277"/>
        <v>0</v>
      </c>
      <c r="E132" s="7">
        <f t="shared" si="277"/>
        <v>0</v>
      </c>
      <c r="F132" s="7">
        <f t="shared" si="277"/>
        <v>0</v>
      </c>
      <c r="G132" s="7">
        <f t="shared" si="277"/>
        <v>0</v>
      </c>
      <c r="H132" s="7">
        <f t="shared" si="277"/>
        <v>0</v>
      </c>
      <c r="I132" s="7">
        <f t="shared" si="277"/>
        <v>0</v>
      </c>
      <c r="J132" s="7">
        <f t="shared" si="277"/>
        <v>0</v>
      </c>
      <c r="K132" s="7">
        <f t="shared" si="277"/>
        <v>0</v>
      </c>
      <c r="L132" s="7">
        <f t="shared" si="277"/>
        <v>0</v>
      </c>
      <c r="M132" s="7">
        <f t="shared" si="277"/>
        <v>0</v>
      </c>
      <c r="N132" s="7">
        <f t="shared" si="277"/>
        <v>0</v>
      </c>
      <c r="O132" s="7">
        <f t="shared" si="277"/>
        <v>0</v>
      </c>
      <c r="P132" s="7">
        <f t="shared" si="277"/>
        <v>0</v>
      </c>
      <c r="Q132" s="7">
        <f t="shared" si="277"/>
        <v>0</v>
      </c>
      <c r="R132" s="7">
        <f t="shared" si="277"/>
        <v>0</v>
      </c>
      <c r="S132" s="7">
        <f t="shared" si="277"/>
        <v>-5399</v>
      </c>
      <c r="T132" s="7">
        <f t="shared" si="277"/>
        <v>0</v>
      </c>
      <c r="U132" s="7">
        <f t="shared" si="277"/>
        <v>0</v>
      </c>
      <c r="V132" s="7">
        <f t="shared" si="277"/>
        <v>0</v>
      </c>
      <c r="W132" s="7">
        <f t="shared" si="277"/>
        <v>5315</v>
      </c>
      <c r="X132" s="7">
        <f t="shared" si="277"/>
        <v>0</v>
      </c>
      <c r="Y132" s="7">
        <f t="shared" si="277"/>
        <v>0</v>
      </c>
      <c r="Z132" s="7">
        <f t="shared" si="277"/>
        <v>0</v>
      </c>
      <c r="AA132" s="7">
        <f t="shared" si="277"/>
        <v>1940</v>
      </c>
      <c r="AO132" s="7">
        <f t="shared" ref="AO132:AR132" si="278">SUM(AO123:AO131)</f>
        <v>-19875</v>
      </c>
      <c r="AP132" s="7">
        <f t="shared" si="278"/>
        <v>-2537</v>
      </c>
      <c r="AQ132" s="7">
        <f t="shared" si="278"/>
        <v>-14299</v>
      </c>
      <c r="AR132" s="7">
        <f t="shared" si="278"/>
        <v>-16117</v>
      </c>
      <c r="AS132" s="7">
        <f>SUM(AS123:AS131)</f>
        <v>-22828</v>
      </c>
    </row>
    <row r="133" spans="2:442" x14ac:dyDescent="0.25">
      <c r="B133" s="24" t="s">
        <v>132</v>
      </c>
      <c r="C133" s="25">
        <f t="shared" ref="C133:V133" si="279">C116+C122+C132</f>
        <v>0</v>
      </c>
      <c r="D133" s="25">
        <f t="shared" si="279"/>
        <v>0</v>
      </c>
      <c r="E133" s="25">
        <f t="shared" si="279"/>
        <v>0</v>
      </c>
      <c r="F133" s="25">
        <f t="shared" si="279"/>
        <v>0</v>
      </c>
      <c r="G133" s="25">
        <f t="shared" si="279"/>
        <v>0</v>
      </c>
      <c r="H133" s="25">
        <f t="shared" si="279"/>
        <v>0</v>
      </c>
      <c r="I133" s="25">
        <f t="shared" si="279"/>
        <v>0</v>
      </c>
      <c r="J133" s="25">
        <f t="shared" si="279"/>
        <v>0</v>
      </c>
      <c r="K133" s="25">
        <f t="shared" si="279"/>
        <v>0</v>
      </c>
      <c r="L133" s="25">
        <f t="shared" si="279"/>
        <v>0</v>
      </c>
      <c r="M133" s="25">
        <f t="shared" si="279"/>
        <v>0</v>
      </c>
      <c r="N133" s="25">
        <f t="shared" si="279"/>
        <v>0</v>
      </c>
      <c r="O133" s="25">
        <f t="shared" si="279"/>
        <v>0</v>
      </c>
      <c r="P133" s="25">
        <f t="shared" si="279"/>
        <v>0</v>
      </c>
      <c r="Q133" s="25">
        <f t="shared" si="279"/>
        <v>0</v>
      </c>
      <c r="R133" s="25">
        <f t="shared" si="279"/>
        <v>0</v>
      </c>
      <c r="S133" s="25">
        <f>S116+S122+S132</f>
        <v>3309</v>
      </c>
      <c r="T133" s="25">
        <f t="shared" si="279"/>
        <v>0</v>
      </c>
      <c r="U133" s="25">
        <f t="shared" si="279"/>
        <v>0</v>
      </c>
      <c r="V133" s="25">
        <f t="shared" si="279"/>
        <v>0</v>
      </c>
      <c r="W133" s="25">
        <f>W116+W122+W132</f>
        <v>-3001</v>
      </c>
      <c r="X133" s="25">
        <f t="shared" ref="X133:AA133" si="280">X116+X122+X132</f>
        <v>0</v>
      </c>
      <c r="Y133" s="25">
        <f t="shared" si="280"/>
        <v>0</v>
      </c>
      <c r="Z133" s="25">
        <f t="shared" si="280"/>
        <v>0</v>
      </c>
      <c r="AA133" s="25">
        <f t="shared" si="280"/>
        <v>1713</v>
      </c>
      <c r="AO133" s="25">
        <f t="shared" ref="AO133:AS133" si="281">AO116+AO122+AO132</f>
        <v>-617</v>
      </c>
      <c r="AP133" s="25">
        <f t="shared" si="281"/>
        <v>1180</v>
      </c>
      <c r="AQ133" s="25">
        <f t="shared" si="281"/>
        <v>1828</v>
      </c>
      <c r="AR133" s="25">
        <f t="shared" si="281"/>
        <v>9886</v>
      </c>
      <c r="AS133" s="25">
        <f t="shared" si="281"/>
        <v>-4662</v>
      </c>
    </row>
    <row r="134" spans="2:442" x14ac:dyDescent="0.25">
      <c r="B134" s="24" t="s">
        <v>133</v>
      </c>
      <c r="C134" s="25">
        <f t="shared" ref="C134:V134" si="282">C116-C117</f>
        <v>0</v>
      </c>
      <c r="D134" s="25">
        <f t="shared" si="282"/>
        <v>0</v>
      </c>
      <c r="E134" s="25">
        <f t="shared" si="282"/>
        <v>0</v>
      </c>
      <c r="F134" s="25">
        <f t="shared" si="282"/>
        <v>0</v>
      </c>
      <c r="G134" s="25">
        <f t="shared" si="282"/>
        <v>0</v>
      </c>
      <c r="H134" s="25">
        <f t="shared" si="282"/>
        <v>0</v>
      </c>
      <c r="I134" s="25">
        <f t="shared" si="282"/>
        <v>0</v>
      </c>
      <c r="J134" s="25">
        <f t="shared" si="282"/>
        <v>0</v>
      </c>
      <c r="K134" s="25">
        <f t="shared" si="282"/>
        <v>0</v>
      </c>
      <c r="L134" s="25">
        <f t="shared" si="282"/>
        <v>0</v>
      </c>
      <c r="M134" s="25">
        <f t="shared" si="282"/>
        <v>0</v>
      </c>
      <c r="N134" s="25">
        <f t="shared" si="282"/>
        <v>0</v>
      </c>
      <c r="O134" s="25">
        <f t="shared" si="282"/>
        <v>0</v>
      </c>
      <c r="P134" s="25">
        <f t="shared" si="282"/>
        <v>0</v>
      </c>
      <c r="Q134" s="25">
        <f t="shared" si="282"/>
        <v>0</v>
      </c>
      <c r="R134" s="25">
        <f t="shared" si="282"/>
        <v>0</v>
      </c>
      <c r="S134" s="25">
        <f>S116-S117</f>
        <v>5072</v>
      </c>
      <c r="T134" s="25">
        <f t="shared" si="282"/>
        <v>0</v>
      </c>
      <c r="U134" s="25">
        <f t="shared" si="282"/>
        <v>0</v>
      </c>
      <c r="V134" s="25">
        <f t="shared" si="282"/>
        <v>0</v>
      </c>
      <c r="W134" s="25">
        <f>W116-W117</f>
        <v>-219</v>
      </c>
      <c r="X134" s="25">
        <f t="shared" ref="X134:AA134" si="283">X116-X117</f>
        <v>0</v>
      </c>
      <c r="Y134" s="25">
        <f t="shared" si="283"/>
        <v>0</v>
      </c>
      <c r="Z134" s="25">
        <f t="shared" si="283"/>
        <v>0</v>
      </c>
      <c r="AA134" s="25">
        <f t="shared" si="283"/>
        <v>9062</v>
      </c>
      <c r="AO134" s="25">
        <f t="shared" ref="AO134:AS134" si="284">AO116-AO117</f>
        <v>38388</v>
      </c>
      <c r="AP134" s="25">
        <f t="shared" si="284"/>
        <v>38097</v>
      </c>
      <c r="AQ134" s="25">
        <f t="shared" si="284"/>
        <v>35960</v>
      </c>
      <c r="AR134" s="25">
        <f t="shared" si="284"/>
        <v>46338</v>
      </c>
      <c r="AS134" s="25">
        <f t="shared" si="284"/>
        <v>37287</v>
      </c>
      <c r="AT134" s="2">
        <f t="shared" ref="AT134:DE134" si="285">AS134*(1+$BH$55)</f>
        <v>36914.129999999997</v>
      </c>
      <c r="AU134" s="2">
        <f t="shared" si="285"/>
        <v>36544.988699999994</v>
      </c>
      <c r="AV134" s="2">
        <f t="shared" si="285"/>
        <v>36179.538812999992</v>
      </c>
      <c r="AW134" s="2">
        <f t="shared" si="285"/>
        <v>35817.743424869994</v>
      </c>
      <c r="AX134" s="2">
        <f t="shared" si="285"/>
        <v>35459.565990621297</v>
      </c>
      <c r="AY134" s="2">
        <f t="shared" si="285"/>
        <v>35104.970330715085</v>
      </c>
      <c r="AZ134" s="2">
        <f t="shared" si="285"/>
        <v>34753.920627407933</v>
      </c>
      <c r="BA134" s="2">
        <f t="shared" si="285"/>
        <v>34406.381421133854</v>
      </c>
      <c r="BB134" s="2">
        <f t="shared" si="285"/>
        <v>34062.317606922516</v>
      </c>
      <c r="BC134" s="2">
        <f t="shared" si="285"/>
        <v>33721.694430853291</v>
      </c>
      <c r="BD134" s="2">
        <f t="shared" si="285"/>
        <v>33384.477486544754</v>
      </c>
      <c r="BE134" s="2">
        <f t="shared" si="285"/>
        <v>33050.632711679304</v>
      </c>
      <c r="BF134" s="2">
        <f t="shared" si="285"/>
        <v>32720.126384562511</v>
      </c>
      <c r="BG134" s="2">
        <f t="shared" si="285"/>
        <v>32392.925120716885</v>
      </c>
      <c r="BH134" s="2">
        <f t="shared" si="285"/>
        <v>32068.995869509716</v>
      </c>
      <c r="BI134" s="2">
        <f t="shared" si="285"/>
        <v>31748.305910814619</v>
      </c>
      <c r="BJ134" s="2">
        <f t="shared" si="285"/>
        <v>31430.822851706471</v>
      </c>
      <c r="BK134" s="2">
        <f t="shared" si="285"/>
        <v>31116.514623189407</v>
      </c>
      <c r="BL134" s="2">
        <f t="shared" si="285"/>
        <v>30805.349476957512</v>
      </c>
      <c r="BM134" s="2">
        <f t="shared" si="285"/>
        <v>30497.295982187938</v>
      </c>
      <c r="BN134" s="2">
        <f t="shared" si="285"/>
        <v>30192.323022366058</v>
      </c>
      <c r="BO134" s="2">
        <f t="shared" si="285"/>
        <v>29890.399792142398</v>
      </c>
      <c r="BP134" s="2">
        <f t="shared" si="285"/>
        <v>29591.495794220973</v>
      </c>
      <c r="BQ134" s="2">
        <f t="shared" si="285"/>
        <v>29295.580836278765</v>
      </c>
      <c r="BR134" s="2">
        <f t="shared" si="285"/>
        <v>29002.625027915976</v>
      </c>
      <c r="BS134" s="2">
        <f t="shared" si="285"/>
        <v>28712.598777636817</v>
      </c>
      <c r="BT134" s="2">
        <f t="shared" si="285"/>
        <v>28425.472789860447</v>
      </c>
      <c r="BU134" s="2">
        <f t="shared" si="285"/>
        <v>28141.218061961841</v>
      </c>
      <c r="BV134" s="2">
        <f t="shared" si="285"/>
        <v>27859.805881342221</v>
      </c>
      <c r="BW134" s="2">
        <f t="shared" si="285"/>
        <v>27581.207822528799</v>
      </c>
      <c r="BX134" s="2">
        <f t="shared" si="285"/>
        <v>27305.395744303511</v>
      </c>
      <c r="BY134" s="2">
        <f t="shared" si="285"/>
        <v>27032.341786860474</v>
      </c>
      <c r="BZ134" s="2">
        <f t="shared" si="285"/>
        <v>26762.01836899187</v>
      </c>
      <c r="CA134" s="2">
        <f t="shared" si="285"/>
        <v>26494.39818530195</v>
      </c>
      <c r="CB134" s="2">
        <f t="shared" si="285"/>
        <v>26229.454203448931</v>
      </c>
      <c r="CC134" s="2">
        <f t="shared" si="285"/>
        <v>25967.15966141444</v>
      </c>
      <c r="CD134" s="2">
        <f t="shared" si="285"/>
        <v>25707.488064800295</v>
      </c>
      <c r="CE134" s="2">
        <f t="shared" si="285"/>
        <v>25450.41318415229</v>
      </c>
      <c r="CF134" s="2">
        <f t="shared" si="285"/>
        <v>25195.909052310766</v>
      </c>
      <c r="CG134" s="2">
        <f t="shared" si="285"/>
        <v>24943.949961787657</v>
      </c>
      <c r="CH134" s="2">
        <f t="shared" si="285"/>
        <v>24694.510462169779</v>
      </c>
      <c r="CI134" s="2">
        <f t="shared" si="285"/>
        <v>24447.565357548083</v>
      </c>
      <c r="CJ134" s="2">
        <f t="shared" si="285"/>
        <v>24203.089703972601</v>
      </c>
      <c r="CK134" s="2">
        <f t="shared" si="285"/>
        <v>23961.058806932873</v>
      </c>
      <c r="CL134" s="2">
        <f t="shared" si="285"/>
        <v>23721.448218863545</v>
      </c>
      <c r="CM134" s="2">
        <f t="shared" si="285"/>
        <v>23484.233736674909</v>
      </c>
      <c r="CN134" s="2">
        <f t="shared" si="285"/>
        <v>23249.391399308159</v>
      </c>
      <c r="CO134" s="2">
        <f t="shared" si="285"/>
        <v>23016.897485315076</v>
      </c>
      <c r="CP134" s="2">
        <f t="shared" si="285"/>
        <v>22786.728510461926</v>
      </c>
      <c r="CQ134" s="2">
        <f t="shared" si="285"/>
        <v>22558.861225357305</v>
      </c>
      <c r="CR134" s="2">
        <f t="shared" si="285"/>
        <v>22333.272613103731</v>
      </c>
      <c r="CS134" s="2">
        <f t="shared" si="285"/>
        <v>22109.939886972694</v>
      </c>
      <c r="CT134" s="2">
        <f t="shared" si="285"/>
        <v>21888.840488102967</v>
      </c>
      <c r="CU134" s="2">
        <f t="shared" si="285"/>
        <v>21669.952083221939</v>
      </c>
      <c r="CV134" s="2">
        <f t="shared" si="285"/>
        <v>21453.25256238972</v>
      </c>
      <c r="CW134" s="2">
        <f t="shared" si="285"/>
        <v>21238.720036765822</v>
      </c>
      <c r="CX134" s="2">
        <f t="shared" si="285"/>
        <v>21026.332836398164</v>
      </c>
      <c r="CY134" s="2">
        <f t="shared" si="285"/>
        <v>20816.069508034183</v>
      </c>
      <c r="CZ134" s="2">
        <f t="shared" si="285"/>
        <v>20607.90881295384</v>
      </c>
      <c r="DA134" s="2">
        <f t="shared" si="285"/>
        <v>20401.8297248243</v>
      </c>
      <c r="DB134" s="2">
        <f t="shared" si="285"/>
        <v>20197.811427576056</v>
      </c>
      <c r="DC134" s="2">
        <f t="shared" si="285"/>
        <v>19995.833313300296</v>
      </c>
      <c r="DD134" s="2">
        <f t="shared" si="285"/>
        <v>19795.874980167293</v>
      </c>
      <c r="DE134" s="2">
        <f t="shared" si="285"/>
        <v>19597.916230365619</v>
      </c>
      <c r="DF134" s="2">
        <f t="shared" ref="DF134:FQ134" si="286">DE134*(1+$BH$55)</f>
        <v>19401.937068061961</v>
      </c>
      <c r="DG134" s="2">
        <f t="shared" si="286"/>
        <v>19207.917697381341</v>
      </c>
      <c r="DH134" s="2">
        <f t="shared" si="286"/>
        <v>19015.838520407528</v>
      </c>
      <c r="DI134" s="2">
        <f t="shared" si="286"/>
        <v>18825.680135203453</v>
      </c>
      <c r="DJ134" s="2">
        <f t="shared" si="286"/>
        <v>18637.423333851417</v>
      </c>
      <c r="DK134" s="2">
        <f t="shared" si="286"/>
        <v>18451.049100512904</v>
      </c>
      <c r="DL134" s="2">
        <f t="shared" si="286"/>
        <v>18266.538609507774</v>
      </c>
      <c r="DM134" s="2">
        <f t="shared" si="286"/>
        <v>18083.873223412695</v>
      </c>
      <c r="DN134" s="2">
        <f t="shared" si="286"/>
        <v>17903.034491178569</v>
      </c>
      <c r="DO134" s="2">
        <f t="shared" si="286"/>
        <v>17724.004146266783</v>
      </c>
      <c r="DP134" s="2">
        <f t="shared" si="286"/>
        <v>17546.764104804115</v>
      </c>
      <c r="DQ134" s="2">
        <f t="shared" si="286"/>
        <v>17371.296463756073</v>
      </c>
      <c r="DR134" s="2">
        <f t="shared" si="286"/>
        <v>17197.583499118511</v>
      </c>
      <c r="DS134" s="2">
        <f t="shared" si="286"/>
        <v>17025.607664127325</v>
      </c>
      <c r="DT134" s="2">
        <f t="shared" si="286"/>
        <v>16855.351587486053</v>
      </c>
      <c r="DU134" s="2">
        <f t="shared" si="286"/>
        <v>16686.798071611192</v>
      </c>
      <c r="DV134" s="2">
        <f t="shared" si="286"/>
        <v>16519.930090895079</v>
      </c>
      <c r="DW134" s="2">
        <f t="shared" si="286"/>
        <v>16354.730789986128</v>
      </c>
      <c r="DX134" s="2">
        <f t="shared" si="286"/>
        <v>16191.183482086266</v>
      </c>
      <c r="DY134" s="2">
        <f t="shared" si="286"/>
        <v>16029.271647265403</v>
      </c>
      <c r="DZ134" s="2">
        <f t="shared" si="286"/>
        <v>15868.978930792749</v>
      </c>
      <c r="EA134" s="2">
        <f t="shared" si="286"/>
        <v>15710.289141484822</v>
      </c>
      <c r="EB134" s="2">
        <f t="shared" si="286"/>
        <v>15553.186250069974</v>
      </c>
      <c r="EC134" s="2">
        <f t="shared" si="286"/>
        <v>15397.654387569273</v>
      </c>
      <c r="ED134" s="2">
        <f t="shared" si="286"/>
        <v>15243.67784369358</v>
      </c>
      <c r="EE134" s="2">
        <f t="shared" si="286"/>
        <v>15091.241065256645</v>
      </c>
      <c r="EF134" s="2">
        <f t="shared" si="286"/>
        <v>14940.328654604078</v>
      </c>
      <c r="EG134" s="2">
        <f t="shared" si="286"/>
        <v>14790.925368058037</v>
      </c>
      <c r="EH134" s="2">
        <f t="shared" si="286"/>
        <v>14643.016114377457</v>
      </c>
      <c r="EI134" s="2">
        <f t="shared" si="286"/>
        <v>14496.585953233682</v>
      </c>
      <c r="EJ134" s="2">
        <f t="shared" si="286"/>
        <v>14351.620093701345</v>
      </c>
      <c r="EK134" s="2">
        <f t="shared" si="286"/>
        <v>14208.103892764331</v>
      </c>
      <c r="EL134" s="2">
        <f t="shared" si="286"/>
        <v>14066.022853836688</v>
      </c>
      <c r="EM134" s="2">
        <f t="shared" si="286"/>
        <v>13925.362625298321</v>
      </c>
      <c r="EN134" s="2">
        <f t="shared" si="286"/>
        <v>13786.108999045338</v>
      </c>
      <c r="EO134" s="2">
        <f t="shared" si="286"/>
        <v>13648.247909054884</v>
      </c>
      <c r="EP134" s="2">
        <f t="shared" si="286"/>
        <v>13511.765429964335</v>
      </c>
      <c r="EQ134" s="2">
        <f t="shared" si="286"/>
        <v>13376.647775664691</v>
      </c>
      <c r="ER134" s="2">
        <f t="shared" si="286"/>
        <v>13242.881297908043</v>
      </c>
      <c r="ES134" s="2">
        <f t="shared" si="286"/>
        <v>13110.452484928963</v>
      </c>
      <c r="ET134" s="2">
        <f t="shared" si="286"/>
        <v>12979.347960079673</v>
      </c>
      <c r="EU134" s="2">
        <f t="shared" si="286"/>
        <v>12849.554480478875</v>
      </c>
      <c r="EV134" s="2">
        <f t="shared" si="286"/>
        <v>12721.058935674086</v>
      </c>
      <c r="EW134" s="2">
        <f t="shared" si="286"/>
        <v>12593.848346317345</v>
      </c>
      <c r="EX134" s="2">
        <f t="shared" si="286"/>
        <v>12467.909862854172</v>
      </c>
      <c r="EY134" s="2">
        <f t="shared" si="286"/>
        <v>12343.230764225631</v>
      </c>
      <c r="EZ134" s="2">
        <f t="shared" si="286"/>
        <v>12219.798456583374</v>
      </c>
      <c r="FA134" s="2">
        <f t="shared" si="286"/>
        <v>12097.600472017541</v>
      </c>
      <c r="FB134" s="2">
        <f t="shared" si="286"/>
        <v>11976.624467297364</v>
      </c>
      <c r="FC134" s="2">
        <f t="shared" si="286"/>
        <v>11856.858222624391</v>
      </c>
      <c r="FD134" s="2">
        <f t="shared" si="286"/>
        <v>11738.289640398147</v>
      </c>
      <c r="FE134" s="2">
        <f t="shared" si="286"/>
        <v>11620.906743994165</v>
      </c>
      <c r="FF134" s="2">
        <f t="shared" si="286"/>
        <v>11504.697676554222</v>
      </c>
      <c r="FG134" s="2">
        <f t="shared" si="286"/>
        <v>11389.650699788679</v>
      </c>
      <c r="FH134" s="2">
        <f t="shared" si="286"/>
        <v>11275.754192790791</v>
      </c>
      <c r="FI134" s="2">
        <f t="shared" si="286"/>
        <v>11162.996650862884</v>
      </c>
      <c r="FJ134" s="2">
        <f t="shared" si="286"/>
        <v>11051.366684354256</v>
      </c>
      <c r="FK134" s="2">
        <f t="shared" si="286"/>
        <v>10940.853017510713</v>
      </c>
      <c r="FL134" s="2">
        <f t="shared" si="286"/>
        <v>10831.444487335606</v>
      </c>
      <c r="FM134" s="2">
        <f t="shared" si="286"/>
        <v>10723.13004246225</v>
      </c>
      <c r="FN134" s="2">
        <f t="shared" si="286"/>
        <v>10615.898742037627</v>
      </c>
      <c r="FO134" s="2">
        <f t="shared" si="286"/>
        <v>10509.739754617251</v>
      </c>
      <c r="FP134" s="2">
        <f t="shared" si="286"/>
        <v>10404.642357071078</v>
      </c>
      <c r="FQ134" s="2">
        <f t="shared" si="286"/>
        <v>10300.595933500366</v>
      </c>
      <c r="FR134" s="2">
        <f t="shared" ref="FR134:IC134" si="287">FQ134*(1+$BH$55)</f>
        <v>10197.589974165363</v>
      </c>
      <c r="FS134" s="2">
        <f t="shared" si="287"/>
        <v>10095.614074423709</v>
      </c>
      <c r="FT134" s="2">
        <f t="shared" si="287"/>
        <v>9994.6579336794712</v>
      </c>
      <c r="FU134" s="2">
        <f t="shared" si="287"/>
        <v>9894.7113543426767</v>
      </c>
      <c r="FV134" s="2">
        <f t="shared" si="287"/>
        <v>9795.7642407992498</v>
      </c>
      <c r="FW134" s="2">
        <f t="shared" si="287"/>
        <v>9697.8065983912566</v>
      </c>
      <c r="FX134" s="2">
        <f t="shared" si="287"/>
        <v>9600.828532407344</v>
      </c>
      <c r="FY134" s="2">
        <f t="shared" si="287"/>
        <v>9504.8202470832712</v>
      </c>
      <c r="FZ134" s="2">
        <f t="shared" si="287"/>
        <v>9409.7720446124385</v>
      </c>
      <c r="GA134" s="2">
        <f t="shared" si="287"/>
        <v>9315.6743241663135</v>
      </c>
      <c r="GB134" s="2">
        <f t="shared" si="287"/>
        <v>9222.5175809246502</v>
      </c>
      <c r="GC134" s="2">
        <f t="shared" si="287"/>
        <v>9130.2924051154041</v>
      </c>
      <c r="GD134" s="2">
        <f t="shared" si="287"/>
        <v>9038.9894810642509</v>
      </c>
      <c r="GE134" s="2">
        <f t="shared" si="287"/>
        <v>8948.5995862536074</v>
      </c>
      <c r="GF134" s="2">
        <f t="shared" si="287"/>
        <v>8859.1135903910708</v>
      </c>
      <c r="GG134" s="2">
        <f t="shared" si="287"/>
        <v>8770.5224544871598</v>
      </c>
      <c r="GH134" s="2">
        <f t="shared" si="287"/>
        <v>8682.8172299422877</v>
      </c>
      <c r="GI134" s="2">
        <f t="shared" si="287"/>
        <v>8595.9890576428643</v>
      </c>
      <c r="GJ134" s="2">
        <f t="shared" si="287"/>
        <v>8510.0291670664355</v>
      </c>
      <c r="GK134" s="2">
        <f t="shared" si="287"/>
        <v>8424.9288753957717</v>
      </c>
      <c r="GL134" s="2">
        <f t="shared" si="287"/>
        <v>8340.6795866418142</v>
      </c>
      <c r="GM134" s="2">
        <f t="shared" si="287"/>
        <v>8257.2727907753961</v>
      </c>
      <c r="GN134" s="2">
        <f t="shared" si="287"/>
        <v>8174.7000628676424</v>
      </c>
      <c r="GO134" s="2">
        <f t="shared" si="287"/>
        <v>8092.9530622389657</v>
      </c>
      <c r="GP134" s="2">
        <f t="shared" si="287"/>
        <v>8012.0235316165763</v>
      </c>
      <c r="GQ134" s="2">
        <f t="shared" si="287"/>
        <v>7931.9032963004101</v>
      </c>
      <c r="GR134" s="2">
        <f t="shared" si="287"/>
        <v>7852.5842633374059</v>
      </c>
      <c r="GS134" s="2">
        <f t="shared" si="287"/>
        <v>7774.058420704032</v>
      </c>
      <c r="GT134" s="2">
        <f t="shared" si="287"/>
        <v>7696.3178364969917</v>
      </c>
      <c r="GU134" s="2">
        <f t="shared" si="287"/>
        <v>7619.3546581320215</v>
      </c>
      <c r="GV134" s="2">
        <f t="shared" si="287"/>
        <v>7543.1611115507012</v>
      </c>
      <c r="GW134" s="2">
        <f t="shared" si="287"/>
        <v>7467.7295004351945</v>
      </c>
      <c r="GX134" s="2">
        <f t="shared" si="287"/>
        <v>7393.0522054308422</v>
      </c>
      <c r="GY134" s="2">
        <f t="shared" si="287"/>
        <v>7319.1216833765338</v>
      </c>
      <c r="GZ134" s="2">
        <f t="shared" si="287"/>
        <v>7245.930466542768</v>
      </c>
      <c r="HA134" s="2">
        <f t="shared" si="287"/>
        <v>7173.4711618773399</v>
      </c>
      <c r="HB134" s="2">
        <f t="shared" si="287"/>
        <v>7101.736450258566</v>
      </c>
      <c r="HC134" s="2">
        <f t="shared" si="287"/>
        <v>7030.7190857559799</v>
      </c>
      <c r="HD134" s="2">
        <f t="shared" si="287"/>
        <v>6960.4118948984196</v>
      </c>
      <c r="HE134" s="2">
        <f t="shared" si="287"/>
        <v>6890.8077759494354</v>
      </c>
      <c r="HF134" s="2">
        <f t="shared" si="287"/>
        <v>6821.8996981899409</v>
      </c>
      <c r="HG134" s="2">
        <f t="shared" si="287"/>
        <v>6753.6807012080417</v>
      </c>
      <c r="HH134" s="2">
        <f t="shared" si="287"/>
        <v>6686.1438941959614</v>
      </c>
      <c r="HI134" s="2">
        <f t="shared" si="287"/>
        <v>6619.2824552540014</v>
      </c>
      <c r="HJ134" s="2">
        <f t="shared" si="287"/>
        <v>6553.0896307014609</v>
      </c>
      <c r="HK134" s="2">
        <f t="shared" si="287"/>
        <v>6487.5587343944462</v>
      </c>
      <c r="HL134" s="2">
        <f t="shared" si="287"/>
        <v>6422.6831470505012</v>
      </c>
      <c r="HM134" s="2">
        <f t="shared" si="287"/>
        <v>6358.456315579996</v>
      </c>
      <c r="HN134" s="2">
        <f t="shared" si="287"/>
        <v>6294.8717524241956</v>
      </c>
      <c r="HO134" s="2">
        <f t="shared" si="287"/>
        <v>6231.9230348999536</v>
      </c>
      <c r="HP134" s="2">
        <f t="shared" si="287"/>
        <v>6169.603804550954</v>
      </c>
      <c r="HQ134" s="2">
        <f t="shared" si="287"/>
        <v>6107.9077665054447</v>
      </c>
      <c r="HR134" s="2">
        <f t="shared" si="287"/>
        <v>6046.82868884039</v>
      </c>
      <c r="HS134" s="2">
        <f t="shared" si="287"/>
        <v>5986.3604019519862</v>
      </c>
      <c r="HT134" s="2">
        <f t="shared" si="287"/>
        <v>5926.4967979324665</v>
      </c>
      <c r="HU134" s="2">
        <f t="shared" si="287"/>
        <v>5867.2318299531416</v>
      </c>
      <c r="HV134" s="2">
        <f t="shared" si="287"/>
        <v>5808.5595116536106</v>
      </c>
      <c r="HW134" s="2">
        <f t="shared" si="287"/>
        <v>5750.4739165370747</v>
      </c>
      <c r="HX134" s="2">
        <f t="shared" si="287"/>
        <v>5692.9691773717041</v>
      </c>
      <c r="HY134" s="2">
        <f t="shared" si="287"/>
        <v>5636.0394855979866</v>
      </c>
      <c r="HZ134" s="2">
        <f t="shared" si="287"/>
        <v>5579.6790907420063</v>
      </c>
      <c r="IA134" s="2">
        <f t="shared" si="287"/>
        <v>5523.8822998345859</v>
      </c>
      <c r="IB134" s="2">
        <f t="shared" si="287"/>
        <v>5468.6434768362396</v>
      </c>
      <c r="IC134" s="2">
        <f t="shared" si="287"/>
        <v>5413.9570420678774</v>
      </c>
      <c r="ID134" s="2">
        <f t="shared" ref="ID134:KO134" si="288">IC134*(1+$BH$55)</f>
        <v>5359.8174716471985</v>
      </c>
      <c r="IE134" s="2">
        <f t="shared" si="288"/>
        <v>5306.2192969307262</v>
      </c>
      <c r="IF134" s="2">
        <f t="shared" si="288"/>
        <v>5253.1571039614191</v>
      </c>
      <c r="IG134" s="2">
        <f t="shared" si="288"/>
        <v>5200.6255329218047</v>
      </c>
      <c r="IH134" s="2">
        <f t="shared" si="288"/>
        <v>5148.6192775925865</v>
      </c>
      <c r="II134" s="2">
        <f t="shared" si="288"/>
        <v>5097.1330848166608</v>
      </c>
      <c r="IJ134" s="2">
        <f t="shared" si="288"/>
        <v>5046.1617539684939</v>
      </c>
      <c r="IK134" s="2">
        <f t="shared" si="288"/>
        <v>4995.7001364288089</v>
      </c>
      <c r="IL134" s="2">
        <f t="shared" si="288"/>
        <v>4945.7431350645211</v>
      </c>
      <c r="IM134" s="2">
        <f t="shared" si="288"/>
        <v>4896.2857037138756</v>
      </c>
      <c r="IN134" s="2">
        <f t="shared" si="288"/>
        <v>4847.3228466767368</v>
      </c>
      <c r="IO134" s="2">
        <f t="shared" si="288"/>
        <v>4798.8496182099698</v>
      </c>
      <c r="IP134" s="2">
        <f t="shared" si="288"/>
        <v>4750.8611220278699</v>
      </c>
      <c r="IQ134" s="2">
        <f t="shared" si="288"/>
        <v>4703.352510807591</v>
      </c>
      <c r="IR134" s="2">
        <f t="shared" si="288"/>
        <v>4656.318985699515</v>
      </c>
      <c r="IS134" s="2">
        <f t="shared" si="288"/>
        <v>4609.7557958425195</v>
      </c>
      <c r="IT134" s="2">
        <f t="shared" si="288"/>
        <v>4563.658237884094</v>
      </c>
      <c r="IU134" s="2">
        <f t="shared" si="288"/>
        <v>4518.021655505253</v>
      </c>
      <c r="IV134" s="2">
        <f t="shared" si="288"/>
        <v>4472.8414389502004</v>
      </c>
      <c r="IW134" s="2">
        <f t="shared" si="288"/>
        <v>4428.1130245606982</v>
      </c>
      <c r="IX134" s="2">
        <f t="shared" si="288"/>
        <v>4383.8318943150916</v>
      </c>
      <c r="IY134" s="2">
        <f t="shared" si="288"/>
        <v>4339.993575371941</v>
      </c>
      <c r="IZ134" s="2">
        <f t="shared" si="288"/>
        <v>4296.5936396182215</v>
      </c>
      <c r="JA134" s="2">
        <f t="shared" si="288"/>
        <v>4253.6277032220396</v>
      </c>
      <c r="JB134" s="2">
        <f t="shared" si="288"/>
        <v>4211.0914261898188</v>
      </c>
      <c r="JC134" s="2">
        <f t="shared" si="288"/>
        <v>4168.9805119279208</v>
      </c>
      <c r="JD134" s="2">
        <f t="shared" si="288"/>
        <v>4127.2907068086415</v>
      </c>
      <c r="JE134" s="2">
        <f t="shared" si="288"/>
        <v>4086.0177997405549</v>
      </c>
      <c r="JF134" s="2">
        <f t="shared" si="288"/>
        <v>4045.1576217431493</v>
      </c>
      <c r="JG134" s="2">
        <f t="shared" si="288"/>
        <v>4004.7060455257179</v>
      </c>
      <c r="JH134" s="2">
        <f t="shared" si="288"/>
        <v>3964.6589850704609</v>
      </c>
      <c r="JI134" s="2">
        <f t="shared" si="288"/>
        <v>3925.0123952197564</v>
      </c>
      <c r="JJ134" s="2">
        <f t="shared" si="288"/>
        <v>3885.7622712675588</v>
      </c>
      <c r="JK134" s="2">
        <f t="shared" si="288"/>
        <v>3846.9046485548834</v>
      </c>
      <c r="JL134" s="2">
        <f t="shared" si="288"/>
        <v>3808.4356020693344</v>
      </c>
      <c r="JM134" s="2">
        <f t="shared" si="288"/>
        <v>3770.3512460486409</v>
      </c>
      <c r="JN134" s="2">
        <f t="shared" si="288"/>
        <v>3732.6477335881546</v>
      </c>
      <c r="JO134" s="2">
        <f t="shared" si="288"/>
        <v>3695.3212562522731</v>
      </c>
      <c r="JP134" s="2">
        <f t="shared" si="288"/>
        <v>3658.3680436897503</v>
      </c>
      <c r="JQ134" s="2">
        <f t="shared" si="288"/>
        <v>3621.7843632528529</v>
      </c>
      <c r="JR134" s="2">
        <f t="shared" si="288"/>
        <v>3585.5665196203245</v>
      </c>
      <c r="JS134" s="2">
        <f t="shared" si="288"/>
        <v>3549.7108544241214</v>
      </c>
      <c r="JT134" s="2">
        <f t="shared" si="288"/>
        <v>3514.2137458798802</v>
      </c>
      <c r="JU134" s="2">
        <f t="shared" si="288"/>
        <v>3479.0716084210812</v>
      </c>
      <c r="JV134" s="2">
        <f t="shared" si="288"/>
        <v>3444.2808923368702</v>
      </c>
      <c r="JW134" s="2">
        <f t="shared" si="288"/>
        <v>3409.8380834135014</v>
      </c>
      <c r="JX134" s="2">
        <f t="shared" si="288"/>
        <v>3375.7397025793662</v>
      </c>
      <c r="JY134" s="2">
        <f t="shared" si="288"/>
        <v>3341.9823055535726</v>
      </c>
      <c r="JZ134" s="2">
        <f t="shared" si="288"/>
        <v>3308.5624824980368</v>
      </c>
      <c r="KA134" s="2">
        <f t="shared" si="288"/>
        <v>3275.4768576730567</v>
      </c>
      <c r="KB134" s="2">
        <f t="shared" si="288"/>
        <v>3242.7220890963263</v>
      </c>
      <c r="KC134" s="2">
        <f t="shared" si="288"/>
        <v>3210.2948682053629</v>
      </c>
      <c r="KD134" s="2">
        <f t="shared" si="288"/>
        <v>3178.1919195233095</v>
      </c>
      <c r="KE134" s="2">
        <f t="shared" si="288"/>
        <v>3146.4100003280764</v>
      </c>
      <c r="KF134" s="2">
        <f t="shared" si="288"/>
        <v>3114.9459003247957</v>
      </c>
      <c r="KG134" s="2">
        <f t="shared" si="288"/>
        <v>3083.7964413215477</v>
      </c>
      <c r="KH134" s="2">
        <f t="shared" si="288"/>
        <v>3052.9584769083322</v>
      </c>
      <c r="KI134" s="2">
        <f t="shared" si="288"/>
        <v>3022.428892139249</v>
      </c>
      <c r="KJ134" s="2">
        <f t="shared" si="288"/>
        <v>2992.2046032178564</v>
      </c>
      <c r="KK134" s="2">
        <f t="shared" si="288"/>
        <v>2962.2825571856779</v>
      </c>
      <c r="KL134" s="2">
        <f t="shared" si="288"/>
        <v>2932.6597316138209</v>
      </c>
      <c r="KM134" s="2">
        <f t="shared" si="288"/>
        <v>2903.3331342976826</v>
      </c>
      <c r="KN134" s="2">
        <f t="shared" si="288"/>
        <v>2874.2998029547057</v>
      </c>
      <c r="KO134" s="2">
        <f t="shared" si="288"/>
        <v>2845.5568049251588</v>
      </c>
      <c r="KP134" s="2">
        <f t="shared" ref="KP134:NA134" si="289">KO134*(1+$BH$55)</f>
        <v>2817.101236875907</v>
      </c>
      <c r="KQ134" s="2">
        <f t="shared" si="289"/>
        <v>2788.9302245071481</v>
      </c>
      <c r="KR134" s="2">
        <f t="shared" si="289"/>
        <v>2761.0409222620765</v>
      </c>
      <c r="KS134" s="2">
        <f t="shared" si="289"/>
        <v>2733.4305130394555</v>
      </c>
      <c r="KT134" s="2">
        <f t="shared" si="289"/>
        <v>2706.0962079090609</v>
      </c>
      <c r="KU134" s="2">
        <f t="shared" si="289"/>
        <v>2679.0352458299703</v>
      </c>
      <c r="KV134" s="2">
        <f t="shared" si="289"/>
        <v>2652.2448933716705</v>
      </c>
      <c r="KW134" s="2">
        <f t="shared" si="289"/>
        <v>2625.722444437954</v>
      </c>
      <c r="KX134" s="2">
        <f t="shared" si="289"/>
        <v>2599.4652199935745</v>
      </c>
      <c r="KY134" s="2">
        <f t="shared" si="289"/>
        <v>2573.4705677936386</v>
      </c>
      <c r="KZ134" s="2">
        <f t="shared" si="289"/>
        <v>2547.7358621157023</v>
      </c>
      <c r="LA134" s="2">
        <f t="shared" si="289"/>
        <v>2522.258503494545</v>
      </c>
      <c r="LB134" s="2">
        <f t="shared" si="289"/>
        <v>2497.0359184595995</v>
      </c>
      <c r="LC134" s="2">
        <f t="shared" si="289"/>
        <v>2472.0655592750036</v>
      </c>
      <c r="LD134" s="2">
        <f t="shared" si="289"/>
        <v>2447.3449036822535</v>
      </c>
      <c r="LE134" s="2">
        <f t="shared" si="289"/>
        <v>2422.8714546454312</v>
      </c>
      <c r="LF134" s="2">
        <f t="shared" si="289"/>
        <v>2398.6427400989769</v>
      </c>
      <c r="LG134" s="2">
        <f t="shared" si="289"/>
        <v>2374.6563126979872</v>
      </c>
      <c r="LH134" s="2">
        <f t="shared" si="289"/>
        <v>2350.9097495710075</v>
      </c>
      <c r="LI134" s="2">
        <f t="shared" si="289"/>
        <v>2327.4006520752973</v>
      </c>
      <c r="LJ134" s="2">
        <f t="shared" si="289"/>
        <v>2304.1266455545442</v>
      </c>
      <c r="LK134" s="2">
        <f t="shared" si="289"/>
        <v>2281.0853790989986</v>
      </c>
      <c r="LL134" s="2">
        <f t="shared" si="289"/>
        <v>2258.2745253080084</v>
      </c>
      <c r="LM134" s="2">
        <f t="shared" si="289"/>
        <v>2235.6917800549281</v>
      </c>
      <c r="LN134" s="2">
        <f t="shared" si="289"/>
        <v>2213.334862254379</v>
      </c>
      <c r="LO134" s="2">
        <f t="shared" si="289"/>
        <v>2191.201513631835</v>
      </c>
      <c r="LP134" s="2">
        <f t="shared" si="289"/>
        <v>2169.2894984955165</v>
      </c>
      <c r="LQ134" s="2">
        <f t="shared" si="289"/>
        <v>2147.5966035105612</v>
      </c>
      <c r="LR134" s="2">
        <f t="shared" si="289"/>
        <v>2126.1206374754556</v>
      </c>
      <c r="LS134" s="2">
        <f t="shared" si="289"/>
        <v>2104.8594311007009</v>
      </c>
      <c r="LT134" s="2">
        <f t="shared" si="289"/>
        <v>2083.8108367896939</v>
      </c>
      <c r="LU134" s="2">
        <f t="shared" si="289"/>
        <v>2062.972728421797</v>
      </c>
      <c r="LV134" s="2">
        <f t="shared" si="289"/>
        <v>2042.343001137579</v>
      </c>
      <c r="LW134" s="2">
        <f t="shared" si="289"/>
        <v>2021.9195711262032</v>
      </c>
      <c r="LX134" s="2">
        <f t="shared" si="289"/>
        <v>2001.7003754149412</v>
      </c>
      <c r="LY134" s="2">
        <f t="shared" si="289"/>
        <v>1981.6833716607916</v>
      </c>
      <c r="LZ134" s="2">
        <f t="shared" si="289"/>
        <v>1961.8665379441836</v>
      </c>
      <c r="MA134" s="2">
        <f t="shared" si="289"/>
        <v>1942.2478725647418</v>
      </c>
      <c r="MB134" s="2">
        <f t="shared" si="289"/>
        <v>1922.8253938390944</v>
      </c>
      <c r="MC134" s="2">
        <f t="shared" si="289"/>
        <v>1903.5971399007035</v>
      </c>
      <c r="MD134" s="2">
        <f t="shared" si="289"/>
        <v>1884.5611685016966</v>
      </c>
      <c r="ME134" s="2">
        <f t="shared" si="289"/>
        <v>1865.7155568166795</v>
      </c>
      <c r="MF134" s="2">
        <f t="shared" si="289"/>
        <v>1847.0584012485126</v>
      </c>
      <c r="MG134" s="2">
        <f t="shared" si="289"/>
        <v>1828.5878172360274</v>
      </c>
      <c r="MH134" s="2">
        <f t="shared" si="289"/>
        <v>1810.3019390636671</v>
      </c>
      <c r="MI134" s="2">
        <f t="shared" si="289"/>
        <v>1792.1989196730303</v>
      </c>
      <c r="MJ134" s="2">
        <f t="shared" si="289"/>
        <v>1774.2769304763001</v>
      </c>
      <c r="MK134" s="2">
        <f t="shared" si="289"/>
        <v>1756.5341611715371</v>
      </c>
      <c r="ML134" s="2">
        <f t="shared" si="289"/>
        <v>1738.9688195598217</v>
      </c>
      <c r="MM134" s="2">
        <f t="shared" si="289"/>
        <v>1721.5791313642235</v>
      </c>
      <c r="MN134" s="2">
        <f t="shared" si="289"/>
        <v>1704.3633400505812</v>
      </c>
      <c r="MO134" s="2">
        <f t="shared" si="289"/>
        <v>1687.3197066500754</v>
      </c>
      <c r="MP134" s="2">
        <f t="shared" si="289"/>
        <v>1670.4465095835747</v>
      </c>
      <c r="MQ134" s="2">
        <f t="shared" si="289"/>
        <v>1653.7420444877389</v>
      </c>
      <c r="MR134" s="2">
        <f t="shared" si="289"/>
        <v>1637.2046240428615</v>
      </c>
      <c r="MS134" s="2">
        <f t="shared" si="289"/>
        <v>1620.832577802433</v>
      </c>
      <c r="MT134" s="2">
        <f t="shared" si="289"/>
        <v>1604.6242520244086</v>
      </c>
      <c r="MU134" s="2">
        <f t="shared" si="289"/>
        <v>1588.5780095041646</v>
      </c>
      <c r="MV134" s="2">
        <f t="shared" si="289"/>
        <v>1572.692229409123</v>
      </c>
      <c r="MW134" s="2">
        <f t="shared" si="289"/>
        <v>1556.9653071150317</v>
      </c>
      <c r="MX134" s="2">
        <f t="shared" si="289"/>
        <v>1541.3956540438814</v>
      </c>
      <c r="MY134" s="2">
        <f t="shared" si="289"/>
        <v>1525.9816975034425</v>
      </c>
      <c r="MZ134" s="2">
        <f t="shared" si="289"/>
        <v>1510.7218805284081</v>
      </c>
      <c r="NA134" s="2">
        <f t="shared" si="289"/>
        <v>1495.6146617231241</v>
      </c>
      <c r="NB134" s="2">
        <f t="shared" ref="NB134:PM134" si="290">NA134*(1+$BH$55)</f>
        <v>1480.6585151058928</v>
      </c>
      <c r="NC134" s="2">
        <f t="shared" si="290"/>
        <v>1465.8519299548338</v>
      </c>
      <c r="ND134" s="2">
        <f t="shared" si="290"/>
        <v>1451.1934106552856</v>
      </c>
      <c r="NE134" s="2">
        <f t="shared" si="290"/>
        <v>1436.6814765487327</v>
      </c>
      <c r="NF134" s="2">
        <f t="shared" si="290"/>
        <v>1422.3146617832454</v>
      </c>
      <c r="NG134" s="2">
        <f t="shared" si="290"/>
        <v>1408.0915151654128</v>
      </c>
      <c r="NH134" s="2">
        <f t="shared" si="290"/>
        <v>1394.0106000137587</v>
      </c>
      <c r="NI134" s="2">
        <f t="shared" si="290"/>
        <v>1380.0704940136211</v>
      </c>
      <c r="NJ134" s="2">
        <f t="shared" si="290"/>
        <v>1366.2697890734848</v>
      </c>
      <c r="NK134" s="2">
        <f t="shared" si="290"/>
        <v>1352.6070911827501</v>
      </c>
      <c r="NL134" s="2">
        <f t="shared" si="290"/>
        <v>1339.0810202709226</v>
      </c>
      <c r="NM134" s="2">
        <f t="shared" si="290"/>
        <v>1325.6902100682134</v>
      </c>
      <c r="NN134" s="2">
        <f t="shared" si="290"/>
        <v>1312.4333079675314</v>
      </c>
      <c r="NO134" s="2">
        <f t="shared" si="290"/>
        <v>1299.308974887856</v>
      </c>
      <c r="NP134" s="2">
        <f t="shared" si="290"/>
        <v>1286.3158851389774</v>
      </c>
      <c r="NQ134" s="2">
        <f t="shared" si="290"/>
        <v>1273.4527262875877</v>
      </c>
      <c r="NR134" s="2">
        <f t="shared" si="290"/>
        <v>1260.7181990247118</v>
      </c>
      <c r="NS134" s="2">
        <f t="shared" si="290"/>
        <v>1248.1110170344646</v>
      </c>
      <c r="NT134" s="2">
        <f t="shared" si="290"/>
        <v>1235.6299068641199</v>
      </c>
      <c r="NU134" s="2">
        <f t="shared" si="290"/>
        <v>1223.2736077954787</v>
      </c>
      <c r="NV134" s="2">
        <f t="shared" si="290"/>
        <v>1211.0408717175239</v>
      </c>
      <c r="NW134" s="2">
        <f t="shared" si="290"/>
        <v>1198.9304630003487</v>
      </c>
      <c r="NX134" s="2">
        <f t="shared" si="290"/>
        <v>1186.9411583703452</v>
      </c>
      <c r="NY134" s="2">
        <f t="shared" si="290"/>
        <v>1175.0717467866418</v>
      </c>
      <c r="NZ134" s="2">
        <f t="shared" si="290"/>
        <v>1163.3210293187753</v>
      </c>
      <c r="OA134" s="2">
        <f t="shared" si="290"/>
        <v>1151.6878190255875</v>
      </c>
      <c r="OB134" s="2">
        <f t="shared" si="290"/>
        <v>1140.1709408353315</v>
      </c>
      <c r="OC134" s="2">
        <f t="shared" si="290"/>
        <v>1128.7692314269782</v>
      </c>
      <c r="OD134" s="2">
        <f t="shared" si="290"/>
        <v>1117.4815391127083</v>
      </c>
      <c r="OE134" s="2">
        <f t="shared" si="290"/>
        <v>1106.3067237215812</v>
      </c>
      <c r="OF134" s="2">
        <f t="shared" si="290"/>
        <v>1095.2436564843654</v>
      </c>
      <c r="OG134" s="2">
        <f t="shared" si="290"/>
        <v>1084.2912199195216</v>
      </c>
      <c r="OH134" s="2">
        <f t="shared" si="290"/>
        <v>1073.4483077203263</v>
      </c>
      <c r="OI134" s="2">
        <f t="shared" si="290"/>
        <v>1062.713824643123</v>
      </c>
      <c r="OJ134" s="2">
        <f t="shared" si="290"/>
        <v>1052.0866863966917</v>
      </c>
      <c r="OK134" s="2">
        <f t="shared" si="290"/>
        <v>1041.5658195327248</v>
      </c>
      <c r="OL134" s="2">
        <f t="shared" si="290"/>
        <v>1031.1501613373975</v>
      </c>
      <c r="OM134" s="2">
        <f t="shared" si="290"/>
        <v>1020.8386597240236</v>
      </c>
      <c r="ON134" s="2">
        <f t="shared" si="290"/>
        <v>1010.6302731267833</v>
      </c>
      <c r="OO134" s="2">
        <f t="shared" si="290"/>
        <v>1000.5239703955154</v>
      </c>
      <c r="OP134" s="2">
        <f t="shared" si="290"/>
        <v>990.51873069156034</v>
      </c>
      <c r="OQ134" s="2">
        <f t="shared" si="290"/>
        <v>980.61354338464469</v>
      </c>
      <c r="OR134" s="2">
        <f t="shared" si="290"/>
        <v>970.80740795079828</v>
      </c>
      <c r="OS134" s="2">
        <f t="shared" si="290"/>
        <v>961.09933387129024</v>
      </c>
      <c r="OT134" s="2">
        <f t="shared" si="290"/>
        <v>951.48834053257735</v>
      </c>
      <c r="OU134" s="2">
        <f t="shared" si="290"/>
        <v>941.97345712725155</v>
      </c>
      <c r="OV134" s="2">
        <f t="shared" si="290"/>
        <v>932.55372255597899</v>
      </c>
      <c r="OW134" s="2">
        <f t="shared" si="290"/>
        <v>923.22818533041925</v>
      </c>
      <c r="OX134" s="2">
        <f t="shared" si="290"/>
        <v>913.99590347711501</v>
      </c>
      <c r="OY134" s="2">
        <f t="shared" si="290"/>
        <v>904.8559444423438</v>
      </c>
      <c r="OZ134" s="2">
        <f t="shared" si="290"/>
        <v>895.80738499792039</v>
      </c>
      <c r="PA134" s="2">
        <f t="shared" si="290"/>
        <v>886.84931114794119</v>
      </c>
      <c r="PB134" s="2">
        <f t="shared" si="290"/>
        <v>877.98081803646176</v>
      </c>
      <c r="PC134" s="2">
        <f t="shared" si="290"/>
        <v>869.20100985609713</v>
      </c>
      <c r="PD134" s="2">
        <f t="shared" si="290"/>
        <v>860.50899975753612</v>
      </c>
      <c r="PE134" s="2">
        <f t="shared" si="290"/>
        <v>851.9039097599607</v>
      </c>
      <c r="PF134" s="2">
        <f t="shared" si="290"/>
        <v>843.3848706623611</v>
      </c>
      <c r="PG134" s="2">
        <f t="shared" si="290"/>
        <v>834.95102195573747</v>
      </c>
      <c r="PH134" s="2">
        <f t="shared" si="290"/>
        <v>826.6015117361801</v>
      </c>
      <c r="PI134" s="2">
        <f t="shared" si="290"/>
        <v>818.3354966188183</v>
      </c>
      <c r="PJ134" s="2">
        <f t="shared" si="290"/>
        <v>810.15214165263012</v>
      </c>
      <c r="PK134" s="2">
        <f t="shared" si="290"/>
        <v>802.05062023610378</v>
      </c>
      <c r="PL134" s="2">
        <f t="shared" si="290"/>
        <v>794.03011403374273</v>
      </c>
      <c r="PM134" s="2">
        <f t="shared" si="290"/>
        <v>786.08981289340534</v>
      </c>
      <c r="PN134" s="2">
        <f t="shared" ref="PN134:PZ134" si="291">PM134*(1+$BH$55)</f>
        <v>778.22891476447126</v>
      </c>
      <c r="PO134" s="2">
        <f t="shared" si="291"/>
        <v>770.44662561682651</v>
      </c>
      <c r="PP134" s="2">
        <f t="shared" si="291"/>
        <v>762.74215936065821</v>
      </c>
      <c r="PQ134" s="2">
        <f t="shared" si="291"/>
        <v>755.11473776705157</v>
      </c>
      <c r="PR134" s="2">
        <f t="shared" si="291"/>
        <v>747.56359038938103</v>
      </c>
      <c r="PS134" s="2">
        <f t="shared" si="291"/>
        <v>740.08795448548722</v>
      </c>
      <c r="PT134" s="2">
        <f t="shared" si="291"/>
        <v>732.68707494063233</v>
      </c>
      <c r="PU134" s="2">
        <f t="shared" si="291"/>
        <v>725.36020419122599</v>
      </c>
      <c r="PV134" s="2">
        <f t="shared" si="291"/>
        <v>718.10660214931374</v>
      </c>
      <c r="PW134" s="2">
        <f t="shared" si="291"/>
        <v>710.92553612782058</v>
      </c>
      <c r="PX134" s="2">
        <f t="shared" si="291"/>
        <v>703.81628076654238</v>
      </c>
      <c r="PY134" s="2">
        <f t="shared" si="291"/>
        <v>696.77811795887692</v>
      </c>
      <c r="PZ134" s="2">
        <f t="shared" si="291"/>
        <v>689.81033677928815</v>
      </c>
    </row>
  </sheetData>
  <phoneticPr fontId="11" type="noConversion"/>
  <pageMargins left="0.7" right="0.7" top="0.75" bottom="0.75" header="0.3" footer="0.3"/>
  <pageSetup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DA9A-C69A-4E56-8532-976FE6109CB8}">
  <dimension ref="B2:D18"/>
  <sheetViews>
    <sheetView workbookViewId="0">
      <selection activeCell="D38" sqref="D38"/>
    </sheetView>
  </sheetViews>
  <sheetFormatPr defaultRowHeight="14.4" x14ac:dyDescent="0.3"/>
  <cols>
    <col min="2" max="2" width="16.21875" bestFit="1" customWidth="1"/>
    <col min="4" max="4" width="50.77734375" bestFit="1" customWidth="1"/>
  </cols>
  <sheetData>
    <row r="2" spans="2:4" x14ac:dyDescent="0.3">
      <c r="D2" s="18" t="s">
        <v>79</v>
      </c>
    </row>
    <row r="3" spans="2:4" x14ac:dyDescent="0.3">
      <c r="B3" s="1" t="s">
        <v>6</v>
      </c>
      <c r="C3" s="2">
        <f>Main!C8</f>
        <v>40457</v>
      </c>
    </row>
    <row r="4" spans="2:4" x14ac:dyDescent="0.3">
      <c r="B4" s="1" t="s">
        <v>8</v>
      </c>
      <c r="C4" s="2">
        <f>Main!C6</f>
        <v>490312.52999999997</v>
      </c>
      <c r="D4" s="1"/>
    </row>
    <row r="5" spans="2:4" x14ac:dyDescent="0.3">
      <c r="B5" s="1" t="s">
        <v>9</v>
      </c>
      <c r="C5" s="2">
        <f>C3+C4</f>
        <v>530769.53</v>
      </c>
      <c r="D5" s="1"/>
    </row>
    <row r="6" spans="2:4" x14ac:dyDescent="0.3">
      <c r="B6" s="3" t="s">
        <v>10</v>
      </c>
      <c r="C6" s="41">
        <f>C3/C5</f>
        <v>7.6223290361072532E-2</v>
      </c>
      <c r="D6" s="1"/>
    </row>
    <row r="7" spans="2:4" x14ac:dyDescent="0.3">
      <c r="B7" s="3" t="s">
        <v>11</v>
      </c>
      <c r="C7" s="41">
        <f>C4/C5</f>
        <v>0.92377670963892733</v>
      </c>
      <c r="D7" s="1"/>
    </row>
    <row r="8" spans="2:4" x14ac:dyDescent="0.3">
      <c r="B8" s="1"/>
      <c r="C8" s="1"/>
      <c r="D8" s="1"/>
    </row>
    <row r="9" spans="2:4" x14ac:dyDescent="0.3">
      <c r="B9" s="1" t="s">
        <v>12</v>
      </c>
      <c r="C9" s="4">
        <f>AVERAGE(Model!AO64:AU64)</f>
        <v>0.26757297476844183</v>
      </c>
      <c r="D9" s="75" t="s">
        <v>194</v>
      </c>
    </row>
    <row r="10" spans="2:4" x14ac:dyDescent="0.3">
      <c r="B10" s="1" t="s">
        <v>13</v>
      </c>
      <c r="C10" s="2">
        <f>Model!AU37</f>
        <v>2259</v>
      </c>
      <c r="D10" s="75" t="s">
        <v>195</v>
      </c>
    </row>
    <row r="11" spans="2:4" x14ac:dyDescent="0.3">
      <c r="B11" s="3" t="s">
        <v>14</v>
      </c>
      <c r="C11" s="77">
        <f>(C10*(1-C9))/C3</f>
        <v>4.0896572904518126E-2</v>
      </c>
      <c r="D11" s="1"/>
    </row>
    <row r="12" spans="2:4" x14ac:dyDescent="0.3">
      <c r="B12" s="1"/>
      <c r="C12" s="1"/>
      <c r="D12" s="1"/>
    </row>
    <row r="13" spans="2:4" x14ac:dyDescent="0.3">
      <c r="B13" s="1" t="s">
        <v>15</v>
      </c>
      <c r="C13" s="76">
        <f>'[1]T-Bond Yields'!$C$12</f>
        <v>4.3299999999999998E-2</v>
      </c>
      <c r="D13" s="17" t="s">
        <v>80</v>
      </c>
    </row>
    <row r="14" spans="2:4" x14ac:dyDescent="0.3">
      <c r="B14" s="1" t="s">
        <v>16</v>
      </c>
      <c r="C14" s="1">
        <v>0.5</v>
      </c>
      <c r="D14" s="75" t="s">
        <v>196</v>
      </c>
    </row>
    <row r="15" spans="2:4" x14ac:dyDescent="0.3">
      <c r="B15" s="1" t="s">
        <v>17</v>
      </c>
      <c r="C15" s="4">
        <v>0.08</v>
      </c>
      <c r="D15" s="75" t="s">
        <v>194</v>
      </c>
    </row>
    <row r="16" spans="2:4" x14ac:dyDescent="0.3">
      <c r="B16" s="3" t="s">
        <v>18</v>
      </c>
      <c r="C16" s="41">
        <f>C13+C14*(C15-C13)</f>
        <v>6.1649999999999996E-2</v>
      </c>
      <c r="D16" s="1"/>
    </row>
    <row r="17" spans="2:4" x14ac:dyDescent="0.3">
      <c r="B17" s="1"/>
      <c r="C17" s="1"/>
      <c r="D17" s="1"/>
    </row>
    <row r="18" spans="2:4" x14ac:dyDescent="0.3">
      <c r="B18" s="78" t="s">
        <v>19</v>
      </c>
      <c r="C18" s="79">
        <f>(C6*C11)+(C7*C16)*(1-C9)</f>
        <v>4.4829601391657446E-2</v>
      </c>
      <c r="D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6A33-621A-415F-9CAD-CE007E237F78}">
  <dimension ref="B3:D25"/>
  <sheetViews>
    <sheetView workbookViewId="0">
      <selection activeCell="C9" sqref="C9"/>
    </sheetView>
  </sheetViews>
  <sheetFormatPr defaultColWidth="9.21875" defaultRowHeight="13.8" x14ac:dyDescent="0.25"/>
  <cols>
    <col min="1" max="1" width="9.21875" style="65"/>
    <col min="2" max="2" width="25.21875" style="65" bestFit="1" customWidth="1"/>
    <col min="3" max="16384" width="9.21875" style="65"/>
  </cols>
  <sheetData>
    <row r="3" spans="2:4" x14ac:dyDescent="0.25">
      <c r="B3" s="66" t="s">
        <v>165</v>
      </c>
    </row>
    <row r="4" spans="2:4" x14ac:dyDescent="0.25">
      <c r="B4" s="65" t="s">
        <v>166</v>
      </c>
      <c r="C4" s="67">
        <f>Model!X72/Model!X89</f>
        <v>0.84249091582498326</v>
      </c>
    </row>
    <row r="5" spans="2:4" x14ac:dyDescent="0.25">
      <c r="B5" s="65" t="s">
        <v>167</v>
      </c>
      <c r="C5" s="67">
        <f>Model!X68/Model!X89</f>
        <v>0.13937076447211683</v>
      </c>
    </row>
    <row r="6" spans="2:4" x14ac:dyDescent="0.25">
      <c r="B6" s="65" t="s">
        <v>184</v>
      </c>
      <c r="C6" s="67">
        <f>(Model!X68+Model!X69)/Model!X89</f>
        <v>0.21466681348161643</v>
      </c>
    </row>
    <row r="8" spans="2:4" x14ac:dyDescent="0.25">
      <c r="B8" s="66" t="s">
        <v>168</v>
      </c>
    </row>
    <row r="9" spans="2:4" x14ac:dyDescent="0.25">
      <c r="B9" s="65" t="s">
        <v>169</v>
      </c>
      <c r="C9" s="67">
        <f>Model!X97/Model!X98</f>
        <v>1.8882774253099186</v>
      </c>
    </row>
    <row r="10" spans="2:4" x14ac:dyDescent="0.25">
      <c r="B10" s="65" t="s">
        <v>170</v>
      </c>
      <c r="C10" s="67">
        <f>Model!X97/Model!X79</f>
        <v>0.65377287124947914</v>
      </c>
    </row>
    <row r="11" spans="2:4" x14ac:dyDescent="0.25">
      <c r="B11" s="65" t="s">
        <v>171</v>
      </c>
      <c r="C11" s="67">
        <f>(Model!X80+Model!X90)/Model!X98</f>
        <v>0.47244324488532136</v>
      </c>
    </row>
    <row r="12" spans="2:4" x14ac:dyDescent="0.25">
      <c r="B12" s="65" t="s">
        <v>172</v>
      </c>
      <c r="C12" s="67">
        <f>Model!X90/Model!X98</f>
        <v>0.34819540350754202</v>
      </c>
    </row>
    <row r="14" spans="2:4" x14ac:dyDescent="0.25">
      <c r="B14" s="66" t="s">
        <v>173</v>
      </c>
    </row>
    <row r="15" spans="2:4" x14ac:dyDescent="0.25">
      <c r="B15" s="65" t="s">
        <v>174</v>
      </c>
      <c r="C15" s="68">
        <f>Model!X62</f>
        <v>0.24219051544233575</v>
      </c>
      <c r="D15" s="68"/>
    </row>
    <row r="16" spans="2:4" x14ac:dyDescent="0.25">
      <c r="B16" s="65" t="s">
        <v>175</v>
      </c>
      <c r="C16" s="68">
        <f>Model!X63</f>
        <v>4.4838707567104327E-2</v>
      </c>
    </row>
    <row r="17" spans="2:3" x14ac:dyDescent="0.25">
      <c r="B17" s="65" t="s">
        <v>176</v>
      </c>
      <c r="C17" s="68">
        <f>Model!X44/Model!X31</f>
        <v>3.3684637476367109E-2</v>
      </c>
    </row>
    <row r="18" spans="2:3" x14ac:dyDescent="0.25">
      <c r="B18" s="65" t="s">
        <v>177</v>
      </c>
      <c r="C18" s="68">
        <f>Model!X44/Model!X79</f>
        <v>2.0829372287104721E-2</v>
      </c>
    </row>
    <row r="19" spans="2:3" x14ac:dyDescent="0.25">
      <c r="B19" s="65" t="s">
        <v>178</v>
      </c>
      <c r="C19" s="68">
        <f>Model!X44/Model!X98</f>
        <v>6.0161005760220591E-2</v>
      </c>
    </row>
    <row r="21" spans="2:3" x14ac:dyDescent="0.25">
      <c r="B21" s="66" t="s">
        <v>179</v>
      </c>
    </row>
    <row r="22" spans="2:3" x14ac:dyDescent="0.25">
      <c r="B22" s="65" t="s">
        <v>180</v>
      </c>
      <c r="C22" s="69">
        <f>Main!C4/Model!AS46</f>
        <v>10.466879313560902</v>
      </c>
    </row>
    <row r="23" spans="2:3" x14ac:dyDescent="0.25">
      <c r="B23" s="65" t="s">
        <v>181</v>
      </c>
      <c r="C23" s="70"/>
    </row>
    <row r="24" spans="2:3" x14ac:dyDescent="0.25">
      <c r="B24" s="65" t="s">
        <v>182</v>
      </c>
      <c r="C24" s="69"/>
    </row>
    <row r="25" spans="2:3" x14ac:dyDescent="0.25">
      <c r="B25" s="65" t="s">
        <v>183</v>
      </c>
      <c r="C25"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WACC</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2020-11-16T22:00:49Z</dcterms:created>
  <dcterms:modified xsi:type="dcterms:W3CDTF">2024-03-27T04:10:36Z</dcterms:modified>
</cp:coreProperties>
</file>