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7C5A8F59-5D8C-4897-A2A3-D18C8CB7C70C}" xr6:coauthVersionLast="47" xr6:coauthVersionMax="47" xr10:uidLastSave="{00000000-0000-0000-0000-000000000000}"/>
  <bookViews>
    <workbookView xWindow="-28920" yWindow="-120" windowWidth="29040" windowHeight="15720" xr2:uid="{D3FA88B4-C151-4007-87D5-293FBDCB5EFE}"/>
  </bookViews>
  <sheets>
    <sheet name="Main" sheetId="1" r:id="rId1"/>
    <sheet name="DCF"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15" i="2" l="1"/>
  <c r="AP15" i="2"/>
  <c r="C9" i="3"/>
  <c r="AD9" i="2"/>
  <c r="AC9" i="2"/>
  <c r="AB9" i="2"/>
  <c r="AD22" i="2"/>
  <c r="AC22" i="2"/>
  <c r="AB22" i="2"/>
  <c r="AD21" i="2"/>
  <c r="AC21" i="2"/>
  <c r="AB21" i="2"/>
  <c r="AD18" i="2"/>
  <c r="AC18" i="2"/>
  <c r="AC19" i="2" s="1"/>
  <c r="AD19" i="2"/>
  <c r="AB18" i="2"/>
  <c r="AB34" i="2" s="1"/>
  <c r="AD16" i="2"/>
  <c r="AD33" i="2" s="1"/>
  <c r="AC16" i="2"/>
  <c r="AC33" i="2" s="1"/>
  <c r="AB16" i="2"/>
  <c r="AB33" i="2" s="1"/>
  <c r="AD36" i="2"/>
  <c r="AC36" i="2"/>
  <c r="AB36" i="2"/>
  <c r="AA36" i="2"/>
  <c r="AA34" i="2"/>
  <c r="AA33" i="2"/>
  <c r="AA19" i="2"/>
  <c r="AA13" i="2"/>
  <c r="AA15" i="2" s="1"/>
  <c r="AA9" i="2"/>
  <c r="AN26" i="2"/>
  <c r="AN24" i="2"/>
  <c r="AN22" i="2"/>
  <c r="AN18" i="2"/>
  <c r="AN19" i="2" s="1"/>
  <c r="AN16" i="2"/>
  <c r="AO16" i="2" s="1"/>
  <c r="AN8" i="2"/>
  <c r="AN7" i="2"/>
  <c r="AN6" i="2"/>
  <c r="AN5" i="2"/>
  <c r="AN4" i="2"/>
  <c r="AN3" i="2"/>
  <c r="AN9" i="2" s="1"/>
  <c r="Z12" i="2"/>
  <c r="AN12" i="2" s="1"/>
  <c r="Z11" i="2"/>
  <c r="AN11" i="2" s="1"/>
  <c r="AN13" i="2" s="1"/>
  <c r="AN15" i="2" s="1"/>
  <c r="AN17" i="2" s="1"/>
  <c r="AN20" i="2" s="1"/>
  <c r="Z8" i="2"/>
  <c r="Z7" i="2"/>
  <c r="Z6" i="2"/>
  <c r="Z5" i="2"/>
  <c r="Z4" i="2"/>
  <c r="Z3" i="2"/>
  <c r="V3" i="2"/>
  <c r="C13" i="3"/>
  <c r="Y54" i="2"/>
  <c r="Y13" i="2"/>
  <c r="AC13" i="2" s="1"/>
  <c r="Y9" i="2"/>
  <c r="X13" i="2"/>
  <c r="X9" i="2"/>
  <c r="C8" i="1"/>
  <c r="Z61" i="2"/>
  <c r="Z66" i="2" s="1"/>
  <c r="Z68" i="2" s="1"/>
  <c r="Y61" i="2"/>
  <c r="Y66" i="2" s="1"/>
  <c r="Y68" i="2" s="1"/>
  <c r="X61" i="2"/>
  <c r="X66" i="2"/>
  <c r="X68" i="2" s="1"/>
  <c r="X54" i="2"/>
  <c r="X57" i="2" s="1"/>
  <c r="Z47" i="2"/>
  <c r="Z57" i="2" s="1"/>
  <c r="Y47" i="2"/>
  <c r="X47" i="2"/>
  <c r="Z43" i="2"/>
  <c r="Y43" i="2"/>
  <c r="X43" i="2"/>
  <c r="AX35" i="2"/>
  <c r="J4" i="1"/>
  <c r="G4" i="1"/>
  <c r="AN98" i="2"/>
  <c r="AO98" i="2" s="1"/>
  <c r="AP98" i="2" s="1"/>
  <c r="AQ98" i="2" s="1"/>
  <c r="AR98" i="2" s="1"/>
  <c r="AS98" i="2" s="1"/>
  <c r="AT98" i="2" s="1"/>
  <c r="AU98" i="2" s="1"/>
  <c r="AV98" i="2" s="1"/>
  <c r="AW98" i="2" s="1"/>
  <c r="AX98" i="2" s="1"/>
  <c r="AY98" i="2" s="1"/>
  <c r="AZ98" i="2" s="1"/>
  <c r="BA98" i="2" s="1"/>
  <c r="BB98" i="2" s="1"/>
  <c r="BC98" i="2" s="1"/>
  <c r="BD98" i="2" s="1"/>
  <c r="BE98" i="2" s="1"/>
  <c r="BF98" i="2" s="1"/>
  <c r="BG98" i="2" s="1"/>
  <c r="BH98" i="2" s="1"/>
  <c r="BI98" i="2" s="1"/>
  <c r="BJ98" i="2" s="1"/>
  <c r="BK98" i="2" s="1"/>
  <c r="BL98" i="2" s="1"/>
  <c r="BM98" i="2" s="1"/>
  <c r="BN98" i="2" s="1"/>
  <c r="BO98" i="2" s="1"/>
  <c r="BP98" i="2" s="1"/>
  <c r="BQ98" i="2" s="1"/>
  <c r="BR98" i="2" s="1"/>
  <c r="BS98" i="2" s="1"/>
  <c r="BT98" i="2" s="1"/>
  <c r="BU98" i="2" s="1"/>
  <c r="BV98" i="2" s="1"/>
  <c r="BW98" i="2" s="1"/>
  <c r="BX98" i="2" s="1"/>
  <c r="BY98" i="2" s="1"/>
  <c r="BZ98" i="2" s="1"/>
  <c r="CA98" i="2" s="1"/>
  <c r="CB98" i="2" s="1"/>
  <c r="CC98" i="2" s="1"/>
  <c r="CD98" i="2" s="1"/>
  <c r="CE98" i="2" s="1"/>
  <c r="CF98" i="2" s="1"/>
  <c r="CG98" i="2" s="1"/>
  <c r="CH98" i="2" s="1"/>
  <c r="CI98" i="2" s="1"/>
  <c r="CJ98" i="2" s="1"/>
  <c r="CK98" i="2" s="1"/>
  <c r="CL98" i="2" s="1"/>
  <c r="CM98" i="2" s="1"/>
  <c r="CN98" i="2" s="1"/>
  <c r="CO98" i="2" s="1"/>
  <c r="CP98" i="2" s="1"/>
  <c r="CQ98" i="2" s="1"/>
  <c r="CR98" i="2" s="1"/>
  <c r="CS98" i="2" s="1"/>
  <c r="CT98" i="2" s="1"/>
  <c r="CU98" i="2" s="1"/>
  <c r="CV98" i="2" s="1"/>
  <c r="CW98" i="2" s="1"/>
  <c r="CX98" i="2" s="1"/>
  <c r="CY98" i="2" s="1"/>
  <c r="CZ98" i="2" s="1"/>
  <c r="DA98" i="2" s="1"/>
  <c r="DB98" i="2" s="1"/>
  <c r="DC98" i="2" s="1"/>
  <c r="DD98" i="2" s="1"/>
  <c r="DE98" i="2" s="1"/>
  <c r="DF98" i="2" s="1"/>
  <c r="DG98" i="2" s="1"/>
  <c r="DH98" i="2" s="1"/>
  <c r="DI98" i="2" s="1"/>
  <c r="DJ98" i="2" s="1"/>
  <c r="DK98" i="2" s="1"/>
  <c r="DL98" i="2" s="1"/>
  <c r="DM98" i="2" s="1"/>
  <c r="DN98" i="2" s="1"/>
  <c r="DO98" i="2" s="1"/>
  <c r="DP98" i="2" s="1"/>
  <c r="DQ98" i="2" s="1"/>
  <c r="DR98" i="2" s="1"/>
  <c r="DS98" i="2" s="1"/>
  <c r="DT98" i="2" s="1"/>
  <c r="DU98" i="2" s="1"/>
  <c r="DV98" i="2" s="1"/>
  <c r="DW98" i="2" s="1"/>
  <c r="DX98" i="2" s="1"/>
  <c r="DY98" i="2" s="1"/>
  <c r="DZ98" i="2" s="1"/>
  <c r="EA98" i="2" s="1"/>
  <c r="EB98" i="2" s="1"/>
  <c r="EC98" i="2" s="1"/>
  <c r="ED98" i="2" s="1"/>
  <c r="EE98" i="2" s="1"/>
  <c r="EF98" i="2" s="1"/>
  <c r="EG98" i="2" s="1"/>
  <c r="EH98" i="2" s="1"/>
  <c r="EI98" i="2" s="1"/>
  <c r="EJ98" i="2" s="1"/>
  <c r="EK98" i="2" s="1"/>
  <c r="EL98" i="2" s="1"/>
  <c r="EM98" i="2" s="1"/>
  <c r="EN98" i="2" s="1"/>
  <c r="EO98" i="2" s="1"/>
  <c r="EP98" i="2" s="1"/>
  <c r="EQ98" i="2" s="1"/>
  <c r="ER98" i="2" s="1"/>
  <c r="ES98" i="2" s="1"/>
  <c r="ET98" i="2" s="1"/>
  <c r="EU98" i="2" s="1"/>
  <c r="EV98" i="2" s="1"/>
  <c r="EW98" i="2" s="1"/>
  <c r="EX98" i="2" s="1"/>
  <c r="EY98" i="2" s="1"/>
  <c r="EZ98" i="2" s="1"/>
  <c r="FA98" i="2" s="1"/>
  <c r="FB98" i="2" s="1"/>
  <c r="FC98" i="2" s="1"/>
  <c r="FD98" i="2" s="1"/>
  <c r="FE98" i="2" s="1"/>
  <c r="FF98" i="2" s="1"/>
  <c r="FG98" i="2" s="1"/>
  <c r="FH98" i="2" s="1"/>
  <c r="FI98" i="2" s="1"/>
  <c r="FJ98" i="2" s="1"/>
  <c r="FK98" i="2" s="1"/>
  <c r="FL98" i="2" s="1"/>
  <c r="FM98" i="2" s="1"/>
  <c r="FN98" i="2" s="1"/>
  <c r="FO98" i="2" s="1"/>
  <c r="FP98" i="2" s="1"/>
  <c r="FQ98" i="2" s="1"/>
  <c r="FR98" i="2" s="1"/>
  <c r="FS98" i="2" s="1"/>
  <c r="FT98" i="2" s="1"/>
  <c r="FU98" i="2" s="1"/>
  <c r="FV98" i="2" s="1"/>
  <c r="FW98" i="2" s="1"/>
  <c r="FX98" i="2" s="1"/>
  <c r="FY98" i="2" s="1"/>
  <c r="FZ98" i="2" s="1"/>
  <c r="GA98" i="2" s="1"/>
  <c r="GB98" i="2" s="1"/>
  <c r="GC98" i="2" s="1"/>
  <c r="GD98" i="2" s="1"/>
  <c r="GE98" i="2" s="1"/>
  <c r="GF98" i="2" s="1"/>
  <c r="GG98" i="2" s="1"/>
  <c r="GH98" i="2" s="1"/>
  <c r="GI98" i="2" s="1"/>
  <c r="GJ98" i="2" s="1"/>
  <c r="GK98" i="2" s="1"/>
  <c r="GL98" i="2" s="1"/>
  <c r="GM98" i="2" s="1"/>
  <c r="GN98" i="2" s="1"/>
  <c r="GO98" i="2" s="1"/>
  <c r="GP98" i="2" s="1"/>
  <c r="GQ98" i="2" s="1"/>
  <c r="GR98" i="2" s="1"/>
  <c r="GS98" i="2" s="1"/>
  <c r="GT98" i="2" s="1"/>
  <c r="GU98" i="2" s="1"/>
  <c r="GV98" i="2" s="1"/>
  <c r="GW98" i="2" s="1"/>
  <c r="GX98" i="2" s="1"/>
  <c r="GY98" i="2" s="1"/>
  <c r="GZ98" i="2" s="1"/>
  <c r="HA98" i="2" s="1"/>
  <c r="HB98" i="2" s="1"/>
  <c r="HC98" i="2" s="1"/>
  <c r="HD98" i="2" s="1"/>
  <c r="HE98" i="2" s="1"/>
  <c r="HF98" i="2" s="1"/>
  <c r="HG98" i="2" s="1"/>
  <c r="HH98" i="2" s="1"/>
  <c r="HI98" i="2" s="1"/>
  <c r="HJ98" i="2" s="1"/>
  <c r="HK98" i="2" s="1"/>
  <c r="HL98" i="2" s="1"/>
  <c r="HM98" i="2" s="1"/>
  <c r="HN98" i="2" s="1"/>
  <c r="HO98" i="2" s="1"/>
  <c r="HP98" i="2" s="1"/>
  <c r="HQ98" i="2" s="1"/>
  <c r="HR98" i="2" s="1"/>
  <c r="HS98" i="2" s="1"/>
  <c r="HT98" i="2" s="1"/>
  <c r="HU98" i="2" s="1"/>
  <c r="HV98" i="2" s="1"/>
  <c r="HW98" i="2" s="1"/>
  <c r="HX98" i="2" s="1"/>
  <c r="HY98" i="2" s="1"/>
  <c r="HZ98" i="2" s="1"/>
  <c r="IA98" i="2" s="1"/>
  <c r="IB98" i="2" s="1"/>
  <c r="IC98" i="2" s="1"/>
  <c r="ID98" i="2" s="1"/>
  <c r="IE98" i="2" s="1"/>
  <c r="IF98" i="2" s="1"/>
  <c r="IG98" i="2" s="1"/>
  <c r="IH98" i="2" s="1"/>
  <c r="II98" i="2" s="1"/>
  <c r="IJ98" i="2" s="1"/>
  <c r="IK98" i="2" s="1"/>
  <c r="IL98" i="2" s="1"/>
  <c r="IM98" i="2" s="1"/>
  <c r="IN98" i="2" s="1"/>
  <c r="IO98" i="2" s="1"/>
  <c r="IP98" i="2" s="1"/>
  <c r="IQ98" i="2" s="1"/>
  <c r="IR98" i="2" s="1"/>
  <c r="IS98" i="2" s="1"/>
  <c r="IT98" i="2" s="1"/>
  <c r="IU98" i="2" s="1"/>
  <c r="IV98" i="2" s="1"/>
  <c r="IW98" i="2" s="1"/>
  <c r="IX98" i="2" s="1"/>
  <c r="IY98" i="2" s="1"/>
  <c r="IZ98" i="2" s="1"/>
  <c r="JA98" i="2" s="1"/>
  <c r="JB98" i="2" s="1"/>
  <c r="JC98" i="2" s="1"/>
  <c r="JD98" i="2" s="1"/>
  <c r="JE98" i="2" s="1"/>
  <c r="JF98" i="2" s="1"/>
  <c r="JG98" i="2" s="1"/>
  <c r="JH98" i="2" s="1"/>
  <c r="JI98" i="2" s="1"/>
  <c r="JJ98" i="2" s="1"/>
  <c r="JK98" i="2" s="1"/>
  <c r="JL98" i="2" s="1"/>
  <c r="JM98" i="2" s="1"/>
  <c r="JN98" i="2" s="1"/>
  <c r="JO98" i="2" s="1"/>
  <c r="JP98" i="2" s="1"/>
  <c r="JQ98" i="2" s="1"/>
  <c r="JR98" i="2" s="1"/>
  <c r="JS98" i="2" s="1"/>
  <c r="JT98" i="2" s="1"/>
  <c r="JU98" i="2" s="1"/>
  <c r="JV98" i="2" s="1"/>
  <c r="JW98" i="2" s="1"/>
  <c r="JX98" i="2" s="1"/>
  <c r="JY98" i="2" s="1"/>
  <c r="JZ98" i="2" s="1"/>
  <c r="KA98" i="2" s="1"/>
  <c r="KB98" i="2" s="1"/>
  <c r="KC98" i="2" s="1"/>
  <c r="KD98" i="2" s="1"/>
  <c r="KE98" i="2" s="1"/>
  <c r="KF98" i="2" s="1"/>
  <c r="KG98" i="2" s="1"/>
  <c r="KH98" i="2" s="1"/>
  <c r="KI98" i="2" s="1"/>
  <c r="KJ98" i="2" s="1"/>
  <c r="KK98" i="2" s="1"/>
  <c r="KL98" i="2" s="1"/>
  <c r="KM98" i="2" s="1"/>
  <c r="KN98" i="2" s="1"/>
  <c r="KO98" i="2" s="1"/>
  <c r="KP98" i="2" s="1"/>
  <c r="KQ98" i="2" s="1"/>
  <c r="KR98" i="2" s="1"/>
  <c r="KS98" i="2" s="1"/>
  <c r="KT98" i="2" s="1"/>
  <c r="KU98" i="2" s="1"/>
  <c r="KV98" i="2" s="1"/>
  <c r="KW98" i="2" s="1"/>
  <c r="KX98" i="2" s="1"/>
  <c r="KY98" i="2" s="1"/>
  <c r="KZ98" i="2" s="1"/>
  <c r="LA98" i="2" s="1"/>
  <c r="LB98" i="2" s="1"/>
  <c r="LC98" i="2" s="1"/>
  <c r="LD98" i="2" s="1"/>
  <c r="LE98" i="2" s="1"/>
  <c r="LF98" i="2" s="1"/>
  <c r="LG98" i="2" s="1"/>
  <c r="LH98" i="2" s="1"/>
  <c r="LI98" i="2" s="1"/>
  <c r="LJ98" i="2" s="1"/>
  <c r="LK98" i="2" s="1"/>
  <c r="LL98" i="2" s="1"/>
  <c r="LM98" i="2" s="1"/>
  <c r="LN98" i="2" s="1"/>
  <c r="LO98" i="2" s="1"/>
  <c r="LP98" i="2" s="1"/>
  <c r="LQ98" i="2" s="1"/>
  <c r="LR98" i="2" s="1"/>
  <c r="LS98" i="2" s="1"/>
  <c r="LT98" i="2" s="1"/>
  <c r="LU98" i="2" s="1"/>
  <c r="LV98" i="2" s="1"/>
  <c r="LW98" i="2" s="1"/>
  <c r="LX98" i="2" s="1"/>
  <c r="LY98" i="2" s="1"/>
  <c r="LZ98" i="2" s="1"/>
  <c r="MA98" i="2" s="1"/>
  <c r="MB98" i="2" s="1"/>
  <c r="MC98" i="2" s="1"/>
  <c r="MD98" i="2" s="1"/>
  <c r="ME98" i="2" s="1"/>
  <c r="MF98" i="2" s="1"/>
  <c r="MG98" i="2" s="1"/>
  <c r="MH98" i="2" s="1"/>
  <c r="MI98" i="2" s="1"/>
  <c r="MJ98" i="2" s="1"/>
  <c r="MK98" i="2" s="1"/>
  <c r="ML98" i="2" s="1"/>
  <c r="MM98" i="2" s="1"/>
  <c r="MN98" i="2" s="1"/>
  <c r="MO98" i="2" s="1"/>
  <c r="MP98" i="2" s="1"/>
  <c r="MQ98" i="2" s="1"/>
  <c r="MR98" i="2" s="1"/>
  <c r="MS98" i="2" s="1"/>
  <c r="MT98" i="2" s="1"/>
  <c r="MU98" i="2" s="1"/>
  <c r="MV98" i="2" s="1"/>
  <c r="MW98" i="2" s="1"/>
  <c r="MX98" i="2" s="1"/>
  <c r="MY98" i="2" s="1"/>
  <c r="MZ98" i="2" s="1"/>
  <c r="NA98" i="2" s="1"/>
  <c r="NB98" i="2" s="1"/>
  <c r="NC98" i="2" s="1"/>
  <c r="ND98" i="2" s="1"/>
  <c r="NE98" i="2" s="1"/>
  <c r="NF98" i="2" s="1"/>
  <c r="NG98" i="2" s="1"/>
  <c r="NH98" i="2" s="1"/>
  <c r="NI98" i="2" s="1"/>
  <c r="NJ98" i="2" s="1"/>
  <c r="NK98" i="2" s="1"/>
  <c r="NL98" i="2" s="1"/>
  <c r="NM98" i="2" s="1"/>
  <c r="NN98" i="2" s="1"/>
  <c r="NO98" i="2" s="1"/>
  <c r="NP98" i="2" s="1"/>
  <c r="NQ98" i="2" s="1"/>
  <c r="NR98" i="2" s="1"/>
  <c r="NS98" i="2" s="1"/>
  <c r="NT98" i="2" s="1"/>
  <c r="NU98" i="2" s="1"/>
  <c r="NV98" i="2" s="1"/>
  <c r="NW98" i="2" s="1"/>
  <c r="NX98" i="2" s="1"/>
  <c r="NY98" i="2" s="1"/>
  <c r="NZ98" i="2" s="1"/>
  <c r="OA98" i="2" s="1"/>
  <c r="OB98" i="2" s="1"/>
  <c r="OC98" i="2" s="1"/>
  <c r="OD98" i="2" s="1"/>
  <c r="OE98" i="2" s="1"/>
  <c r="OF98" i="2" s="1"/>
  <c r="OG98" i="2" s="1"/>
  <c r="OH98" i="2" s="1"/>
  <c r="OI98" i="2" s="1"/>
  <c r="OJ98" i="2" s="1"/>
  <c r="OK98" i="2" s="1"/>
  <c r="OL98" i="2" s="1"/>
  <c r="OM98" i="2" s="1"/>
  <c r="ON98" i="2" s="1"/>
  <c r="OO98" i="2" s="1"/>
  <c r="OP98" i="2" s="1"/>
  <c r="OQ98" i="2" s="1"/>
  <c r="OR98" i="2" s="1"/>
  <c r="OS98" i="2" s="1"/>
  <c r="OT98" i="2" s="1"/>
  <c r="OU98" i="2" s="1"/>
  <c r="OV98" i="2" s="1"/>
  <c r="OW98" i="2" s="1"/>
  <c r="OX98" i="2" s="1"/>
  <c r="OY98" i="2" s="1"/>
  <c r="OZ98" i="2" s="1"/>
  <c r="PA98" i="2" s="1"/>
  <c r="PB98" i="2" s="1"/>
  <c r="PC98" i="2" s="1"/>
  <c r="PD98" i="2" s="1"/>
  <c r="PE98" i="2" s="1"/>
  <c r="PF98" i="2" s="1"/>
  <c r="PG98" i="2" s="1"/>
  <c r="PH98" i="2" s="1"/>
  <c r="PI98" i="2" s="1"/>
  <c r="PJ98" i="2" s="1"/>
  <c r="PK98" i="2" s="1"/>
  <c r="PL98" i="2" s="1"/>
  <c r="F22" i="2"/>
  <c r="E22" i="2"/>
  <c r="D22" i="2"/>
  <c r="C22" i="2"/>
  <c r="AI16" i="2"/>
  <c r="N88" i="2"/>
  <c r="N83" i="2"/>
  <c r="AK95" i="2"/>
  <c r="AK94" i="2"/>
  <c r="AK93" i="2"/>
  <c r="AK92" i="2"/>
  <c r="AK91" i="2"/>
  <c r="AK90" i="2"/>
  <c r="AK89" i="2"/>
  <c r="AK87" i="2"/>
  <c r="AK86" i="2"/>
  <c r="AK85" i="2"/>
  <c r="AK82" i="2"/>
  <c r="AK81" i="2"/>
  <c r="AK80" i="2"/>
  <c r="AK79" i="2"/>
  <c r="AK78" i="2"/>
  <c r="AK77" i="2"/>
  <c r="AK76" i="2"/>
  <c r="AK75" i="2"/>
  <c r="AK74" i="2"/>
  <c r="AK73" i="2"/>
  <c r="AK72" i="2"/>
  <c r="W83" i="2"/>
  <c r="S83" i="2"/>
  <c r="S98" i="2" s="1"/>
  <c r="AL83" i="2"/>
  <c r="AL98" i="2" s="1"/>
  <c r="AM96" i="2"/>
  <c r="W96" i="2"/>
  <c r="AM83" i="2"/>
  <c r="AM98" i="2" s="1"/>
  <c r="AL96" i="2"/>
  <c r="AJ96" i="2"/>
  <c r="AI96" i="2"/>
  <c r="AM88" i="2"/>
  <c r="AL88" i="2"/>
  <c r="AJ88" i="2"/>
  <c r="AI88" i="2"/>
  <c r="AJ83" i="2"/>
  <c r="AJ98" i="2" s="1"/>
  <c r="AI83" i="2"/>
  <c r="AI98" i="2" s="1"/>
  <c r="V96" i="2"/>
  <c r="U96" i="2"/>
  <c r="T96" i="2"/>
  <c r="S96" i="2"/>
  <c r="R96" i="2"/>
  <c r="Q96" i="2"/>
  <c r="P96" i="2"/>
  <c r="O96" i="2"/>
  <c r="N96" i="2"/>
  <c r="M96" i="2"/>
  <c r="L96" i="2"/>
  <c r="K96" i="2"/>
  <c r="J96" i="2"/>
  <c r="I96" i="2"/>
  <c r="H96" i="2"/>
  <c r="G96" i="2"/>
  <c r="F96" i="2"/>
  <c r="E96" i="2"/>
  <c r="D96" i="2"/>
  <c r="C96" i="2"/>
  <c r="W88" i="2"/>
  <c r="V88" i="2"/>
  <c r="U88" i="2"/>
  <c r="T88" i="2"/>
  <c r="S88" i="2"/>
  <c r="R88" i="2"/>
  <c r="Q88" i="2"/>
  <c r="P88" i="2"/>
  <c r="O88" i="2"/>
  <c r="M88" i="2"/>
  <c r="L88" i="2"/>
  <c r="K88" i="2"/>
  <c r="J88" i="2"/>
  <c r="I88" i="2"/>
  <c r="H88" i="2"/>
  <c r="G88" i="2"/>
  <c r="F88" i="2"/>
  <c r="E88" i="2"/>
  <c r="D88" i="2"/>
  <c r="C88" i="2"/>
  <c r="V83" i="2"/>
  <c r="V98" i="2" s="1"/>
  <c r="U83" i="2"/>
  <c r="U98" i="2" s="1"/>
  <c r="T83" i="2"/>
  <c r="T98" i="2" s="1"/>
  <c r="Q83" i="2"/>
  <c r="Q98" i="2" s="1"/>
  <c r="P83" i="2"/>
  <c r="P98" i="2" s="1"/>
  <c r="O83" i="2"/>
  <c r="O98" i="2" s="1"/>
  <c r="M83" i="2"/>
  <c r="M98" i="2" s="1"/>
  <c r="L83" i="2"/>
  <c r="L98" i="2" s="1"/>
  <c r="K83" i="2"/>
  <c r="K98" i="2" s="1"/>
  <c r="J83" i="2"/>
  <c r="I83" i="2"/>
  <c r="I98" i="2" s="1"/>
  <c r="H83" i="2"/>
  <c r="G83" i="2"/>
  <c r="F83" i="2"/>
  <c r="F98" i="2" s="1"/>
  <c r="E83" i="2"/>
  <c r="E98" i="2" s="1"/>
  <c r="D83" i="2"/>
  <c r="D98" i="2" s="1"/>
  <c r="H98" i="2"/>
  <c r="C83" i="2"/>
  <c r="C98" i="2" s="1"/>
  <c r="J98" i="2"/>
  <c r="G98" i="2"/>
  <c r="AM67" i="2"/>
  <c r="AM65" i="2"/>
  <c r="AM64" i="2"/>
  <c r="AM63" i="2"/>
  <c r="AM62" i="2"/>
  <c r="AM60" i="2"/>
  <c r="AM59" i="2"/>
  <c r="AM58" i="2"/>
  <c r="AM56" i="2"/>
  <c r="AM55" i="2"/>
  <c r="AM53" i="2"/>
  <c r="AM52" i="2"/>
  <c r="AM51" i="2"/>
  <c r="AM50" i="2"/>
  <c r="AM49" i="2"/>
  <c r="AM48" i="2"/>
  <c r="AM46" i="2"/>
  <c r="AM45" i="2"/>
  <c r="AM44" i="2"/>
  <c r="AL67" i="2"/>
  <c r="AL65" i="2"/>
  <c r="AL64" i="2"/>
  <c r="AL63" i="2"/>
  <c r="AL62" i="2"/>
  <c r="AL60" i="2"/>
  <c r="AL59" i="2"/>
  <c r="AL58" i="2"/>
  <c r="AL56" i="2"/>
  <c r="AL55" i="2"/>
  <c r="AL53" i="2"/>
  <c r="AL52" i="2"/>
  <c r="AL51" i="2"/>
  <c r="AL50" i="2"/>
  <c r="AL49" i="2"/>
  <c r="AL48" i="2"/>
  <c r="AL46" i="2"/>
  <c r="AL45" i="2"/>
  <c r="AL44" i="2"/>
  <c r="AK67" i="2"/>
  <c r="AK65" i="2"/>
  <c r="AK64" i="2"/>
  <c r="AK63" i="2"/>
  <c r="AK62" i="2"/>
  <c r="AK60" i="2"/>
  <c r="AK59" i="2"/>
  <c r="AK58" i="2"/>
  <c r="AK56" i="2"/>
  <c r="AK55" i="2"/>
  <c r="AK53" i="2"/>
  <c r="AK52" i="2"/>
  <c r="AK51" i="2"/>
  <c r="AK50" i="2"/>
  <c r="AK49" i="2"/>
  <c r="AK48" i="2"/>
  <c r="AK46" i="2"/>
  <c r="AK45" i="2"/>
  <c r="AK44" i="2"/>
  <c r="AJ67" i="2"/>
  <c r="AJ65" i="2"/>
  <c r="AJ64" i="2"/>
  <c r="AJ63" i="2"/>
  <c r="AJ62" i="2"/>
  <c r="AJ60" i="2"/>
  <c r="AJ59" i="2"/>
  <c r="AJ58" i="2"/>
  <c r="AJ56" i="2"/>
  <c r="AJ55" i="2"/>
  <c r="AJ53" i="2"/>
  <c r="AJ52" i="2"/>
  <c r="AJ51" i="2"/>
  <c r="AJ50" i="2"/>
  <c r="AJ49" i="2"/>
  <c r="AJ48" i="2"/>
  <c r="AJ46" i="2"/>
  <c r="AJ45" i="2"/>
  <c r="AJ44" i="2"/>
  <c r="AI67" i="2"/>
  <c r="AI65" i="2"/>
  <c r="AI64" i="2"/>
  <c r="AI63" i="2"/>
  <c r="AI62" i="2"/>
  <c r="AI60" i="2"/>
  <c r="AI59" i="2"/>
  <c r="AI58" i="2"/>
  <c r="AI45" i="2"/>
  <c r="AI56" i="2"/>
  <c r="AI55" i="2"/>
  <c r="AI53" i="2"/>
  <c r="AI52" i="2"/>
  <c r="AI51" i="2"/>
  <c r="AI50" i="2"/>
  <c r="AI49" i="2"/>
  <c r="AI48" i="2"/>
  <c r="AI46" i="2"/>
  <c r="AI44" i="2"/>
  <c r="AA17" i="2" l="1"/>
  <c r="AA38" i="2" s="1"/>
  <c r="X15" i="2"/>
  <c r="AB19" i="2"/>
  <c r="AJ100" i="2"/>
  <c r="AB13" i="2"/>
  <c r="AB15" i="2" s="1"/>
  <c r="AM100" i="2"/>
  <c r="AC15" i="2"/>
  <c r="AC17" i="2" s="1"/>
  <c r="AC34" i="2"/>
  <c r="AD34" i="2"/>
  <c r="AB17" i="2"/>
  <c r="AB38" i="2" s="1"/>
  <c r="AA20" i="2"/>
  <c r="Y57" i="2"/>
  <c r="Y15" i="2"/>
  <c r="G7" i="1"/>
  <c r="J7" i="1"/>
  <c r="AK96" i="2"/>
  <c r="M97" i="2"/>
  <c r="AI43" i="2"/>
  <c r="V97" i="2"/>
  <c r="AK84" i="2"/>
  <c r="AK88" i="2" s="1"/>
  <c r="N98" i="2"/>
  <c r="AK83" i="2"/>
  <c r="N97" i="2"/>
  <c r="F97" i="2"/>
  <c r="E97" i="2"/>
  <c r="AL47" i="2"/>
  <c r="AI47" i="2"/>
  <c r="AI97" i="2"/>
  <c r="AJ47" i="2"/>
  <c r="G97" i="2"/>
  <c r="K97" i="2"/>
  <c r="O97" i="2"/>
  <c r="AJ97" i="2"/>
  <c r="AJ43" i="2"/>
  <c r="AK47" i="2"/>
  <c r="AK43" i="2"/>
  <c r="AM43" i="2"/>
  <c r="J97" i="2"/>
  <c r="I97" i="2"/>
  <c r="Q97" i="2"/>
  <c r="U97" i="2"/>
  <c r="AL43" i="2"/>
  <c r="AL97" i="2"/>
  <c r="AM97" i="2"/>
  <c r="S97" i="2"/>
  <c r="W97" i="2"/>
  <c r="W98" i="2"/>
  <c r="C97" i="2"/>
  <c r="D97" i="2"/>
  <c r="H97" i="2"/>
  <c r="L97" i="2"/>
  <c r="P97" i="2"/>
  <c r="T97" i="2"/>
  <c r="AM47" i="2"/>
  <c r="AB32" i="2" l="1"/>
  <c r="AA23" i="2"/>
  <c r="AA39" i="2"/>
  <c r="AC38" i="2"/>
  <c r="AC20" i="2"/>
  <c r="AC23" i="2" s="1"/>
  <c r="AC24" i="2" s="1"/>
  <c r="AC32" i="2"/>
  <c r="AB20" i="2"/>
  <c r="AB39" i="2" s="1"/>
  <c r="AK98" i="2"/>
  <c r="AK97" i="2"/>
  <c r="AA25" i="2" l="1"/>
  <c r="AA40" i="2"/>
  <c r="AC39" i="2"/>
  <c r="AB23" i="2"/>
  <c r="AC40" i="2"/>
  <c r="AC25" i="2"/>
  <c r="AK100" i="2"/>
  <c r="AL100" i="2"/>
  <c r="Y36" i="2"/>
  <c r="X36" i="2"/>
  <c r="K22" i="2"/>
  <c r="G22" i="2"/>
  <c r="G21" i="2"/>
  <c r="I22" i="2"/>
  <c r="I21" i="2"/>
  <c r="J22" i="2"/>
  <c r="J21" i="2"/>
  <c r="M22" i="2"/>
  <c r="M21" i="2"/>
  <c r="N22" i="2"/>
  <c r="N21" i="2"/>
  <c r="AM22" i="2"/>
  <c r="AL22" i="2"/>
  <c r="AI22" i="2"/>
  <c r="X34" i="2"/>
  <c r="X33" i="2"/>
  <c r="V61" i="2"/>
  <c r="U61" i="2"/>
  <c r="U66" i="2" s="1"/>
  <c r="U68" i="2" s="1"/>
  <c r="T61" i="2"/>
  <c r="T66" i="2" s="1"/>
  <c r="T68" i="2" s="1"/>
  <c r="S61" i="2"/>
  <c r="S66" i="2" s="1"/>
  <c r="S68" i="2" s="1"/>
  <c r="R61" i="2"/>
  <c r="Q61" i="2"/>
  <c r="Q66" i="2" s="1"/>
  <c r="Q68" i="2" s="1"/>
  <c r="P61" i="2"/>
  <c r="P66" i="2" s="1"/>
  <c r="P68" i="2" s="1"/>
  <c r="O61" i="2"/>
  <c r="O66" i="2" s="1"/>
  <c r="O68" i="2" s="1"/>
  <c r="N61" i="2"/>
  <c r="M61" i="2"/>
  <c r="M66" i="2" s="1"/>
  <c r="M68" i="2" s="1"/>
  <c r="L61" i="2"/>
  <c r="L66" i="2" s="1"/>
  <c r="L68" i="2" s="1"/>
  <c r="K61" i="2"/>
  <c r="K66" i="2" s="1"/>
  <c r="K68" i="2" s="1"/>
  <c r="J61" i="2"/>
  <c r="I61" i="2"/>
  <c r="I66" i="2" s="1"/>
  <c r="I68" i="2" s="1"/>
  <c r="H61" i="2"/>
  <c r="H66" i="2" s="1"/>
  <c r="H68" i="2" s="1"/>
  <c r="G61" i="2"/>
  <c r="G66" i="2" s="1"/>
  <c r="G68" i="2" s="1"/>
  <c r="F61" i="2"/>
  <c r="E61" i="2"/>
  <c r="E66" i="2" s="1"/>
  <c r="E68" i="2" s="1"/>
  <c r="D61" i="2"/>
  <c r="D66" i="2" s="1"/>
  <c r="D68" i="2" s="1"/>
  <c r="C61" i="2"/>
  <c r="C66" i="2" s="1"/>
  <c r="C68" i="2" s="1"/>
  <c r="W61" i="2"/>
  <c r="W66" i="2" s="1"/>
  <c r="W68" i="2" s="1"/>
  <c r="V54" i="2"/>
  <c r="AM54" i="2" s="1"/>
  <c r="AM57" i="2" s="1"/>
  <c r="U54" i="2"/>
  <c r="T54" i="2"/>
  <c r="S54" i="2"/>
  <c r="R54" i="2"/>
  <c r="AL54" i="2" s="1"/>
  <c r="AL57" i="2" s="1"/>
  <c r="Q54" i="2"/>
  <c r="P54" i="2"/>
  <c r="O54" i="2"/>
  <c r="N54" i="2"/>
  <c r="AK54" i="2" s="1"/>
  <c r="AK57" i="2" s="1"/>
  <c r="M54" i="2"/>
  <c r="L54" i="2"/>
  <c r="K54" i="2"/>
  <c r="J54" i="2"/>
  <c r="AJ54" i="2" s="1"/>
  <c r="AJ57" i="2" s="1"/>
  <c r="I54" i="2"/>
  <c r="H54" i="2"/>
  <c r="G54" i="2"/>
  <c r="F54" i="2"/>
  <c r="AI54" i="2" s="1"/>
  <c r="AI57" i="2" s="1"/>
  <c r="E54" i="2"/>
  <c r="D54" i="2"/>
  <c r="C54" i="2"/>
  <c r="W54" i="2"/>
  <c r="V47" i="2"/>
  <c r="U47" i="2"/>
  <c r="T47" i="2"/>
  <c r="S47" i="2"/>
  <c r="R47" i="2"/>
  <c r="Q47" i="2"/>
  <c r="P47" i="2"/>
  <c r="O47" i="2"/>
  <c r="N47" i="2"/>
  <c r="M47" i="2"/>
  <c r="L47" i="2"/>
  <c r="K47" i="2"/>
  <c r="J47" i="2"/>
  <c r="I47" i="2"/>
  <c r="I57" i="2" s="1"/>
  <c r="H47" i="2"/>
  <c r="G47" i="2"/>
  <c r="F47" i="2"/>
  <c r="E47" i="2"/>
  <c r="D47" i="2"/>
  <c r="C47" i="2"/>
  <c r="W47" i="2"/>
  <c r="V43" i="2"/>
  <c r="U43" i="2"/>
  <c r="T43" i="2"/>
  <c r="S43" i="2"/>
  <c r="R43" i="2"/>
  <c r="Q43" i="2"/>
  <c r="P43" i="2"/>
  <c r="O43" i="2"/>
  <c r="N43" i="2"/>
  <c r="M43" i="2"/>
  <c r="L43" i="2"/>
  <c r="K43" i="2"/>
  <c r="J43" i="2"/>
  <c r="I43" i="2"/>
  <c r="H43" i="2"/>
  <c r="G43" i="2"/>
  <c r="F43" i="2"/>
  <c r="E43" i="2"/>
  <c r="D43" i="2"/>
  <c r="C43" i="2"/>
  <c r="W43" i="2"/>
  <c r="N12" i="2"/>
  <c r="AK12" i="2" s="1"/>
  <c r="N11" i="2"/>
  <c r="N8" i="2"/>
  <c r="AK8" i="2" s="1"/>
  <c r="N7" i="2"/>
  <c r="AK7" i="2" s="1"/>
  <c r="N6" i="2"/>
  <c r="AK6" i="2" s="1"/>
  <c r="N5" i="2"/>
  <c r="AK5" i="2" s="1"/>
  <c r="N4" i="2"/>
  <c r="N3" i="2"/>
  <c r="AK3" i="2" s="1"/>
  <c r="J12" i="2"/>
  <c r="AJ12" i="2" s="1"/>
  <c r="J11" i="2"/>
  <c r="AJ11" i="2" s="1"/>
  <c r="AJ13" i="2" s="1"/>
  <c r="J8" i="2"/>
  <c r="AJ8" i="2" s="1"/>
  <c r="J7" i="2"/>
  <c r="AJ7" i="2" s="1"/>
  <c r="J6" i="2"/>
  <c r="AJ6" i="2" s="1"/>
  <c r="J5" i="2"/>
  <c r="AJ5" i="2" s="1"/>
  <c r="J4" i="2"/>
  <c r="AJ4" i="2" s="1"/>
  <c r="J3" i="2"/>
  <c r="AJ3" i="2" s="1"/>
  <c r="F12" i="2"/>
  <c r="AI12" i="2" s="1"/>
  <c r="F11" i="2"/>
  <c r="AI11" i="2" s="1"/>
  <c r="AI13" i="2" s="1"/>
  <c r="F8" i="2"/>
  <c r="AI8" i="2" s="1"/>
  <c r="F7" i="2"/>
  <c r="AI7" i="2" s="1"/>
  <c r="F6" i="2"/>
  <c r="AI6" i="2" s="1"/>
  <c r="F5" i="2"/>
  <c r="AI5" i="2" s="1"/>
  <c r="F4" i="2"/>
  <c r="AI4" i="2" s="1"/>
  <c r="F3" i="2"/>
  <c r="AI3" i="2" s="1"/>
  <c r="AI9" i="2" s="1"/>
  <c r="R12" i="2"/>
  <c r="AL12" i="2" s="1"/>
  <c r="R11" i="2"/>
  <c r="AL11" i="2" s="1"/>
  <c r="V12" i="2"/>
  <c r="V11" i="2"/>
  <c r="R8" i="2"/>
  <c r="AL8" i="2" s="1"/>
  <c r="R7" i="2"/>
  <c r="AL7" i="2" s="1"/>
  <c r="R6" i="2"/>
  <c r="AL6" i="2" s="1"/>
  <c r="R5" i="2"/>
  <c r="AL5" i="2" s="1"/>
  <c r="R4" i="2"/>
  <c r="AL4" i="2" s="1"/>
  <c r="R3" i="2"/>
  <c r="AL3" i="2" s="1"/>
  <c r="V8" i="2"/>
  <c r="V7" i="2"/>
  <c r="V6" i="2"/>
  <c r="V5" i="2"/>
  <c r="V4" i="2"/>
  <c r="AM16" i="2"/>
  <c r="U13" i="2"/>
  <c r="T13" i="2"/>
  <c r="S13" i="2"/>
  <c r="Q13" i="2"/>
  <c r="P13" i="2"/>
  <c r="O13" i="2"/>
  <c r="M13" i="2"/>
  <c r="L13" i="2"/>
  <c r="K13" i="2"/>
  <c r="I13" i="2"/>
  <c r="H13" i="2"/>
  <c r="G13" i="2"/>
  <c r="E13" i="2"/>
  <c r="D13" i="2"/>
  <c r="C13" i="2"/>
  <c r="W9" i="2"/>
  <c r="U9" i="2"/>
  <c r="T9" i="2"/>
  <c r="S9" i="2"/>
  <c r="Q9" i="2"/>
  <c r="P9" i="2"/>
  <c r="O9" i="2"/>
  <c r="M9" i="2"/>
  <c r="L9" i="2"/>
  <c r="K9" i="2"/>
  <c r="I9" i="2"/>
  <c r="H9" i="2"/>
  <c r="G9" i="2"/>
  <c r="E9" i="2"/>
  <c r="D9" i="2"/>
  <c r="C9" i="2"/>
  <c r="W13" i="2"/>
  <c r="H21" i="2"/>
  <c r="L21" i="2"/>
  <c r="O21" i="2"/>
  <c r="P21" i="2"/>
  <c r="Q21" i="2"/>
  <c r="S21" i="2"/>
  <c r="T21" i="2"/>
  <c r="U21" i="2"/>
  <c r="V21" i="2"/>
  <c r="W21" i="2"/>
  <c r="AN21" i="2" s="1"/>
  <c r="AN23" i="2" s="1"/>
  <c r="AN25" i="2" s="1"/>
  <c r="AN27" i="2" s="1"/>
  <c r="Z33" i="2"/>
  <c r="Z34" i="2"/>
  <c r="Y34" i="2"/>
  <c r="AL26" i="2"/>
  <c r="AL24" i="2"/>
  <c r="AL18" i="2"/>
  <c r="AL19" i="2" s="1"/>
  <c r="AL16" i="2"/>
  <c r="AM26" i="2"/>
  <c r="AM24" i="2"/>
  <c r="AM18" i="2"/>
  <c r="AM19" i="2" s="1"/>
  <c r="W19" i="2"/>
  <c r="V19" i="2"/>
  <c r="U19" i="2"/>
  <c r="T19" i="2"/>
  <c r="S19" i="2"/>
  <c r="R19" i="2"/>
  <c r="S33" i="2"/>
  <c r="T33" i="2"/>
  <c r="U33" i="2"/>
  <c r="W33" i="2"/>
  <c r="S34" i="2"/>
  <c r="T34" i="2"/>
  <c r="U34" i="2"/>
  <c r="V34" i="2"/>
  <c r="W34" i="2"/>
  <c r="S36" i="2"/>
  <c r="T36" i="2"/>
  <c r="U36" i="2"/>
  <c r="V36" i="2"/>
  <c r="W36" i="2"/>
  <c r="AA27" i="2" l="1"/>
  <c r="AB24" i="2"/>
  <c r="AB40" i="2" s="1"/>
  <c r="AC27" i="2"/>
  <c r="AM12" i="2"/>
  <c r="AM3" i="2"/>
  <c r="AM6" i="2"/>
  <c r="AM7" i="2"/>
  <c r="AM4" i="2"/>
  <c r="AM5" i="2"/>
  <c r="AM11" i="2"/>
  <c r="AM8" i="2"/>
  <c r="AM9" i="2" s="1"/>
  <c r="AK22" i="2"/>
  <c r="F66" i="2"/>
  <c r="F68" i="2" s="1"/>
  <c r="AI61" i="2"/>
  <c r="AI66" i="2" s="1"/>
  <c r="AI68" i="2" s="1"/>
  <c r="J66" i="2"/>
  <c r="J68" i="2" s="1"/>
  <c r="AJ61" i="2"/>
  <c r="AJ66" i="2" s="1"/>
  <c r="AJ68" i="2" s="1"/>
  <c r="N66" i="2"/>
  <c r="N68" i="2" s="1"/>
  <c r="AK61" i="2"/>
  <c r="AK66" i="2" s="1"/>
  <c r="AK68" i="2" s="1"/>
  <c r="R66" i="2"/>
  <c r="R68" i="2" s="1"/>
  <c r="AL61" i="2"/>
  <c r="AL66" i="2" s="1"/>
  <c r="AL68" i="2" s="1"/>
  <c r="V66" i="2"/>
  <c r="V68" i="2" s="1"/>
  <c r="AM61" i="2"/>
  <c r="AM66" i="2" s="1"/>
  <c r="AM68" i="2" s="1"/>
  <c r="E57" i="2"/>
  <c r="M57" i="2"/>
  <c r="Q57" i="2"/>
  <c r="U57" i="2"/>
  <c r="AJ22" i="2"/>
  <c r="W15" i="2"/>
  <c r="F57" i="2"/>
  <c r="J57" i="2"/>
  <c r="N57" i="2"/>
  <c r="R57" i="2"/>
  <c r="V57" i="2"/>
  <c r="AM13" i="2"/>
  <c r="AO22" i="2"/>
  <c r="AP22" i="2" s="1"/>
  <c r="AQ22" i="2" s="1"/>
  <c r="D57" i="2"/>
  <c r="H57" i="2"/>
  <c r="L57" i="2"/>
  <c r="P57" i="2"/>
  <c r="T57" i="2"/>
  <c r="C57" i="2"/>
  <c r="G57" i="2"/>
  <c r="K57" i="2"/>
  <c r="O57" i="2"/>
  <c r="AI15" i="2"/>
  <c r="J13" i="2"/>
  <c r="S57" i="2"/>
  <c r="W57" i="2"/>
  <c r="N13" i="2"/>
  <c r="AK11" i="2"/>
  <c r="AK13" i="2" s="1"/>
  <c r="N9" i="2"/>
  <c r="AK4" i="2"/>
  <c r="AK9" i="2" s="1"/>
  <c r="AJ9" i="2"/>
  <c r="AJ15" i="2" s="1"/>
  <c r="J9" i="2"/>
  <c r="J15" i="2" s="1"/>
  <c r="F13" i="2"/>
  <c r="F9" i="2"/>
  <c r="E15" i="2"/>
  <c r="G15" i="2"/>
  <c r="L15" i="2"/>
  <c r="M15" i="2"/>
  <c r="R13" i="2"/>
  <c r="AL13" i="2"/>
  <c r="V13" i="2"/>
  <c r="AL9" i="2"/>
  <c r="R9" i="2"/>
  <c r="R15" i="2" s="1"/>
  <c r="R17" i="2" s="1"/>
  <c r="R20" i="2" s="1"/>
  <c r="R23" i="2" s="1"/>
  <c r="V9" i="2"/>
  <c r="P15" i="2"/>
  <c r="Q15" i="2"/>
  <c r="Q17" i="2" s="1"/>
  <c r="U15" i="2"/>
  <c r="Y32" i="2" s="1"/>
  <c r="I15" i="2"/>
  <c r="O15" i="2"/>
  <c r="C15" i="2"/>
  <c r="C17" i="2" s="1"/>
  <c r="S15" i="2"/>
  <c r="D15" i="2"/>
  <c r="H15" i="2"/>
  <c r="T15" i="2"/>
  <c r="X32" i="2" s="1"/>
  <c r="K15" i="2"/>
  <c r="Z36" i="2"/>
  <c r="AP16" i="2"/>
  <c r="AQ16" i="2" s="1"/>
  <c r="AM21" i="2"/>
  <c r="AO18" i="2"/>
  <c r="Y19" i="2"/>
  <c r="X19" i="2"/>
  <c r="Y33" i="2"/>
  <c r="Z19" i="2"/>
  <c r="Q19" i="2"/>
  <c r="W17" i="2" l="1"/>
  <c r="W20" i="2" s="1"/>
  <c r="AA32" i="2"/>
  <c r="AB25" i="2"/>
  <c r="AB27" i="2"/>
  <c r="Z13" i="2"/>
  <c r="AD13" i="2" s="1"/>
  <c r="AD15" i="2" s="1"/>
  <c r="AO15" i="2" s="1"/>
  <c r="Z9" i="2"/>
  <c r="W32" i="2"/>
  <c r="U17" i="2"/>
  <c r="U38" i="2" s="1"/>
  <c r="F15" i="2"/>
  <c r="S17" i="2"/>
  <c r="S20" i="2" s="1"/>
  <c r="S23" i="2" s="1"/>
  <c r="S25" i="2" s="1"/>
  <c r="V15" i="2"/>
  <c r="V17" i="2" s="1"/>
  <c r="AL15" i="2"/>
  <c r="AL17" i="2" s="1"/>
  <c r="AL20" i="2" s="1"/>
  <c r="N15" i="2"/>
  <c r="AK15" i="2"/>
  <c r="T17" i="2"/>
  <c r="T20" i="2" s="1"/>
  <c r="T39" i="2" s="1"/>
  <c r="U32" i="2"/>
  <c r="AM15" i="2"/>
  <c r="AM17" i="2" s="1"/>
  <c r="AM20" i="2" s="1"/>
  <c r="T32" i="2"/>
  <c r="X17" i="2"/>
  <c r="X38" i="2" s="1"/>
  <c r="Y17" i="2"/>
  <c r="Y20" i="2" s="1"/>
  <c r="Y23" i="2" s="1"/>
  <c r="W23" i="2"/>
  <c r="W25" i="2" s="1"/>
  <c r="AA35" i="2" s="1"/>
  <c r="Q20" i="2"/>
  <c r="W38" i="2"/>
  <c r="AU35" i="2"/>
  <c r="C3" i="3"/>
  <c r="AD17" i="2" l="1"/>
  <c r="V32" i="2"/>
  <c r="S38" i="2"/>
  <c r="Z15" i="2"/>
  <c r="AD32" i="2" s="1"/>
  <c r="W27" i="2"/>
  <c r="AA37" i="2" s="1"/>
  <c r="W71" i="2"/>
  <c r="U20" i="2"/>
  <c r="U39" i="2" s="1"/>
  <c r="S27" i="2"/>
  <c r="S71" i="2"/>
  <c r="T38" i="2"/>
  <c r="T23" i="2"/>
  <c r="T25" i="2" s="1"/>
  <c r="AM23" i="2"/>
  <c r="AM25" i="2" s="1"/>
  <c r="V38" i="2"/>
  <c r="V20" i="2"/>
  <c r="X20" i="2"/>
  <c r="X39" i="2" s="1"/>
  <c r="Y38" i="2"/>
  <c r="Q23" i="2"/>
  <c r="Q25" i="2" s="1"/>
  <c r="Y39" i="2"/>
  <c r="S39" i="2"/>
  <c r="W39" i="2"/>
  <c r="Q39" i="2"/>
  <c r="R38" i="2"/>
  <c r="Q38" i="2"/>
  <c r="Q36" i="2"/>
  <c r="P36" i="2"/>
  <c r="O36" i="2"/>
  <c r="N36" i="2"/>
  <c r="M36" i="2"/>
  <c r="L36" i="2"/>
  <c r="K36" i="2"/>
  <c r="J36" i="2"/>
  <c r="I36" i="2"/>
  <c r="H36" i="2"/>
  <c r="G36" i="2"/>
  <c r="Q34" i="2"/>
  <c r="P34" i="2"/>
  <c r="O34" i="2"/>
  <c r="N34" i="2"/>
  <c r="M34" i="2"/>
  <c r="L34" i="2"/>
  <c r="K34" i="2"/>
  <c r="J34" i="2"/>
  <c r="I34" i="2"/>
  <c r="H34" i="2"/>
  <c r="G34" i="2"/>
  <c r="J33" i="2"/>
  <c r="P33" i="2"/>
  <c r="O33" i="2"/>
  <c r="N33" i="2"/>
  <c r="M33" i="2"/>
  <c r="L33" i="2"/>
  <c r="K33" i="2"/>
  <c r="I33" i="2"/>
  <c r="H33" i="2"/>
  <c r="G33" i="2"/>
  <c r="AK26" i="2"/>
  <c r="AK24" i="2"/>
  <c r="AK18" i="2"/>
  <c r="AK19" i="2" s="1"/>
  <c r="AK16" i="2"/>
  <c r="AJ26" i="2"/>
  <c r="AJ24" i="2"/>
  <c r="AJ18" i="2"/>
  <c r="AJ19" i="2" s="1"/>
  <c r="AJ16" i="2"/>
  <c r="AD20" i="2" l="1"/>
  <c r="AD38" i="2"/>
  <c r="U23" i="2"/>
  <c r="U25" i="2" s="1"/>
  <c r="U27" i="2"/>
  <c r="U71" i="2"/>
  <c r="Q27" i="2"/>
  <c r="Q71" i="2"/>
  <c r="Z32" i="2"/>
  <c r="Z17" i="2"/>
  <c r="T27" i="2"/>
  <c r="T71" i="2"/>
  <c r="T40" i="2"/>
  <c r="AM27" i="2"/>
  <c r="AM71" i="2"/>
  <c r="X23" i="2"/>
  <c r="X40" i="2" s="1"/>
  <c r="V39" i="2"/>
  <c r="V23" i="2"/>
  <c r="U40" i="2"/>
  <c r="U37" i="2"/>
  <c r="AJ17" i="2"/>
  <c r="Y40" i="2"/>
  <c r="Y25" i="2"/>
  <c r="AC35" i="2" s="1"/>
  <c r="AK36" i="2"/>
  <c r="U35" i="2"/>
  <c r="S40" i="2"/>
  <c r="W40" i="2"/>
  <c r="AK33" i="2"/>
  <c r="AM36" i="2"/>
  <c r="AO26" i="2"/>
  <c r="AO36" i="2" s="1"/>
  <c r="AL36" i="2"/>
  <c r="AK34" i="2"/>
  <c r="AL34" i="2"/>
  <c r="R34" i="2"/>
  <c r="R36" i="2"/>
  <c r="AK17" i="2"/>
  <c r="AI26" i="2"/>
  <c r="AJ36" i="2" s="1"/>
  <c r="AI24" i="2"/>
  <c r="AI18" i="2"/>
  <c r="AI19" i="2" s="1"/>
  <c r="AJ33" i="2"/>
  <c r="F17" i="2"/>
  <c r="F38" i="2" s="1"/>
  <c r="F19" i="2"/>
  <c r="C38" i="2"/>
  <c r="C19" i="2"/>
  <c r="D17" i="2"/>
  <c r="D38" i="2" s="1"/>
  <c r="D19" i="2"/>
  <c r="E19" i="2"/>
  <c r="E17" i="2"/>
  <c r="E38" i="2" s="1"/>
  <c r="G19" i="2"/>
  <c r="H19" i="2"/>
  <c r="AD23" i="2" l="1"/>
  <c r="AD39" i="2"/>
  <c r="Z38" i="2"/>
  <c r="Z20" i="2"/>
  <c r="X25" i="2"/>
  <c r="V25" i="2"/>
  <c r="V40" i="2"/>
  <c r="Y27" i="2"/>
  <c r="Y35" i="2"/>
  <c r="AJ32" i="2"/>
  <c r="AI21" i="2"/>
  <c r="AN36" i="2"/>
  <c r="AP26" i="2"/>
  <c r="AP36" i="2" s="1"/>
  <c r="W37" i="2"/>
  <c r="W35" i="2"/>
  <c r="AJ20" i="2"/>
  <c r="AJ38" i="2"/>
  <c r="AK32" i="2"/>
  <c r="AJ34" i="2"/>
  <c r="AJ21" i="2"/>
  <c r="H17" i="2"/>
  <c r="H38" i="2" s="1"/>
  <c r="H32" i="2"/>
  <c r="G17" i="2"/>
  <c r="G38" i="2" s="1"/>
  <c r="G32" i="2"/>
  <c r="F20" i="2"/>
  <c r="C20" i="2"/>
  <c r="D20" i="2"/>
  <c r="E20" i="2"/>
  <c r="M19" i="2"/>
  <c r="I19" i="2"/>
  <c r="J19" i="2"/>
  <c r="N19" i="2"/>
  <c r="K19" i="2"/>
  <c r="O19" i="2"/>
  <c r="S32" i="2"/>
  <c r="AK21" i="2"/>
  <c r="L19" i="2"/>
  <c r="P19" i="2"/>
  <c r="C16" i="3"/>
  <c r="C4" i="1" a="1"/>
  <c r="C4" i="1" s="1"/>
  <c r="Y37" i="2" l="1"/>
  <c r="AC37" i="2"/>
  <c r="X35" i="2"/>
  <c r="AB35" i="2"/>
  <c r="AD24" i="2"/>
  <c r="AD40" i="2" s="1"/>
  <c r="M4" i="1"/>
  <c r="AU38" i="2"/>
  <c r="J10" i="1"/>
  <c r="AX38" i="2"/>
  <c r="V27" i="2"/>
  <c r="V71" i="2"/>
  <c r="X27" i="2"/>
  <c r="Z23" i="2"/>
  <c r="Z25" i="2" s="1"/>
  <c r="Z27" i="2" s="1"/>
  <c r="Z39" i="2"/>
  <c r="F39" i="2"/>
  <c r="F23" i="2"/>
  <c r="E39" i="2"/>
  <c r="E23" i="2"/>
  <c r="AJ39" i="2"/>
  <c r="AJ23" i="2"/>
  <c r="AJ40" i="2" s="1"/>
  <c r="D39" i="2"/>
  <c r="D23" i="2"/>
  <c r="C39" i="2"/>
  <c r="C23" i="2"/>
  <c r="AI17" i="2"/>
  <c r="AI20" i="2" s="1"/>
  <c r="AI23" i="2" s="1"/>
  <c r="AI25" i="2" s="1"/>
  <c r="AL21" i="2"/>
  <c r="AQ26" i="2"/>
  <c r="AQ36" i="2" s="1"/>
  <c r="AL32" i="2"/>
  <c r="AP18" i="2"/>
  <c r="AQ18" i="2" s="1"/>
  <c r="AK20" i="2"/>
  <c r="AK38" i="2"/>
  <c r="AM32" i="2"/>
  <c r="C6" i="1"/>
  <c r="J17" i="2"/>
  <c r="J38" i="2" s="1"/>
  <c r="J32" i="2"/>
  <c r="P17" i="2"/>
  <c r="P38" i="2" s="1"/>
  <c r="P32" i="2"/>
  <c r="K17" i="2"/>
  <c r="K38" i="2" s="1"/>
  <c r="K32" i="2"/>
  <c r="M17" i="2"/>
  <c r="M38" i="2" s="1"/>
  <c r="M32" i="2"/>
  <c r="L17" i="2"/>
  <c r="L38" i="2" s="1"/>
  <c r="L32" i="2"/>
  <c r="O17" i="2"/>
  <c r="O38" i="2" s="1"/>
  <c r="O32" i="2"/>
  <c r="N17" i="2"/>
  <c r="N38" i="2" s="1"/>
  <c r="N32" i="2"/>
  <c r="I17" i="2"/>
  <c r="I38" i="2" s="1"/>
  <c r="I32" i="2"/>
  <c r="G20" i="2"/>
  <c r="H20" i="2"/>
  <c r="AD25" i="2" l="1"/>
  <c r="AD27" i="2" s="1"/>
  <c r="AD37" i="2" s="1"/>
  <c r="X37" i="2"/>
  <c r="AB37" i="2"/>
  <c r="Z37" i="2"/>
  <c r="Z40" i="2"/>
  <c r="Z35" i="2"/>
  <c r="AI27" i="2"/>
  <c r="AI71" i="2"/>
  <c r="AI38" i="2"/>
  <c r="AJ25" i="2"/>
  <c r="H39" i="2"/>
  <c r="H23" i="2"/>
  <c r="AL23" i="2"/>
  <c r="AL25" i="2" s="1"/>
  <c r="AL71" i="2" s="1"/>
  <c r="G39" i="2"/>
  <c r="G23" i="2"/>
  <c r="AK39" i="2"/>
  <c r="AK23" i="2"/>
  <c r="AI39" i="2"/>
  <c r="AI40" i="2"/>
  <c r="AO19" i="2"/>
  <c r="O20" i="2"/>
  <c r="AN32" i="2"/>
  <c r="AM34" i="2"/>
  <c r="C9" i="1"/>
  <c r="C4" i="3"/>
  <c r="C5" i="3" s="1"/>
  <c r="C6" i="3" s="1"/>
  <c r="I20" i="2"/>
  <c r="M20" i="2"/>
  <c r="F25" i="2"/>
  <c r="F40" i="2"/>
  <c r="C25" i="2"/>
  <c r="C71" i="2" s="1"/>
  <c r="C40" i="2"/>
  <c r="L20" i="2"/>
  <c r="J20" i="2"/>
  <c r="P20" i="2"/>
  <c r="R32" i="2"/>
  <c r="K20" i="2"/>
  <c r="N20" i="2"/>
  <c r="Q32" i="2"/>
  <c r="D25" i="2"/>
  <c r="D40" i="2"/>
  <c r="E25" i="2"/>
  <c r="E40" i="2"/>
  <c r="AD35" i="2" l="1"/>
  <c r="F27" i="2"/>
  <c r="F71" i="2"/>
  <c r="D27" i="2"/>
  <c r="D71" i="2"/>
  <c r="AJ35" i="2"/>
  <c r="AJ71" i="2"/>
  <c r="E27" i="2"/>
  <c r="E71" i="2"/>
  <c r="AL27" i="2"/>
  <c r="AJ27" i="2"/>
  <c r="AJ37" i="2" s="1"/>
  <c r="N39" i="2"/>
  <c r="N23" i="2"/>
  <c r="J39" i="2"/>
  <c r="J23" i="2"/>
  <c r="K39" i="2"/>
  <c r="K23" i="2"/>
  <c r="L39" i="2"/>
  <c r="L23" i="2"/>
  <c r="L40" i="2" s="1"/>
  <c r="O39" i="2"/>
  <c r="O23" i="2"/>
  <c r="O25" i="2" s="1"/>
  <c r="M39" i="2"/>
  <c r="M23" i="2"/>
  <c r="P39" i="2"/>
  <c r="P23" i="2"/>
  <c r="I39" i="2"/>
  <c r="I23" i="2"/>
  <c r="C27" i="2"/>
  <c r="R33" i="2"/>
  <c r="V33" i="2"/>
  <c r="AK25" i="2"/>
  <c r="AK71" i="2" s="1"/>
  <c r="AK40" i="2"/>
  <c r="AQ19" i="2"/>
  <c r="AP19" i="2"/>
  <c r="AN34" i="2"/>
  <c r="AO32" i="2"/>
  <c r="C7" i="3"/>
  <c r="Q33" i="2"/>
  <c r="H25" i="2"/>
  <c r="H71" i="2" s="1"/>
  <c r="H40" i="2"/>
  <c r="R39" i="2"/>
  <c r="G25" i="2"/>
  <c r="G71" i="2" s="1"/>
  <c r="G40" i="2"/>
  <c r="S35" i="2" l="1"/>
  <c r="O71" i="2"/>
  <c r="O40" i="2"/>
  <c r="AK27" i="2"/>
  <c r="AK37" i="2" s="1"/>
  <c r="AK35" i="2"/>
  <c r="AP32" i="2"/>
  <c r="AO34" i="2"/>
  <c r="AL33" i="2"/>
  <c r="AM33" i="2"/>
  <c r="J25" i="2"/>
  <c r="J71" i="2" s="1"/>
  <c r="J40" i="2"/>
  <c r="L25" i="2"/>
  <c r="L71" i="2" s="1"/>
  <c r="G27" i="2"/>
  <c r="G37" i="2" s="1"/>
  <c r="G35" i="2"/>
  <c r="M25" i="2"/>
  <c r="M71" i="2" s="1"/>
  <c r="M40" i="2"/>
  <c r="N25" i="2"/>
  <c r="N71" i="2" s="1"/>
  <c r="N40" i="2"/>
  <c r="O27" i="2"/>
  <c r="S37" i="2" s="1"/>
  <c r="H27" i="2"/>
  <c r="H37" i="2" s="1"/>
  <c r="H35" i="2"/>
  <c r="I25" i="2"/>
  <c r="I71" i="2" s="1"/>
  <c r="I40" i="2"/>
  <c r="P25" i="2"/>
  <c r="P40" i="2"/>
  <c r="K25" i="2"/>
  <c r="K71" i="2" s="1"/>
  <c r="K40" i="2"/>
  <c r="T35" i="2" l="1"/>
  <c r="P71" i="2"/>
  <c r="AM38" i="2"/>
  <c r="AN33" i="2"/>
  <c r="AQ32" i="2"/>
  <c r="AL38" i="2"/>
  <c r="AP34" i="2"/>
  <c r="K27" i="2"/>
  <c r="K37" i="2" s="1"/>
  <c r="K35" i="2"/>
  <c r="L27" i="2"/>
  <c r="L37" i="2" s="1"/>
  <c r="L35" i="2"/>
  <c r="I27" i="2"/>
  <c r="I37" i="2" s="1"/>
  <c r="I35" i="2"/>
  <c r="O35" i="2"/>
  <c r="M27" i="2"/>
  <c r="M35" i="2"/>
  <c r="P27" i="2"/>
  <c r="T37" i="2" s="1"/>
  <c r="P35" i="2"/>
  <c r="N27" i="2"/>
  <c r="N35" i="2"/>
  <c r="J27" i="2"/>
  <c r="J37" i="2" s="1"/>
  <c r="J35" i="2"/>
  <c r="N37" i="2" l="1"/>
  <c r="M37" i="2"/>
  <c r="O37" i="2"/>
  <c r="R40" i="2"/>
  <c r="R25" i="2"/>
  <c r="R72" i="2" s="1"/>
  <c r="R83" i="2" s="1"/>
  <c r="AM39" i="2"/>
  <c r="AO17" i="2"/>
  <c r="AO33" i="2"/>
  <c r="AN38" i="2"/>
  <c r="AQ34" i="2"/>
  <c r="AL39" i="2"/>
  <c r="Q37" i="2"/>
  <c r="Q35" i="2"/>
  <c r="Q40" i="2"/>
  <c r="P37" i="2"/>
  <c r="R98" i="2" l="1"/>
  <c r="R97" i="2"/>
  <c r="R27" i="2"/>
  <c r="R71" i="2"/>
  <c r="V35" i="2"/>
  <c r="AP17" i="2"/>
  <c r="AP33" i="2"/>
  <c r="AM40" i="2"/>
  <c r="R35" i="2"/>
  <c r="AO20" i="2"/>
  <c r="AO23" i="2" s="1"/>
  <c r="AO38" i="2"/>
  <c r="AN39" i="2"/>
  <c r="AL40" i="2"/>
  <c r="C11" i="3" l="1"/>
  <c r="C18" i="3" s="1"/>
  <c r="G5" i="1" s="1"/>
  <c r="R37" i="2"/>
  <c r="V37" i="2"/>
  <c r="AN40" i="2"/>
  <c r="AQ17" i="2"/>
  <c r="AQ33" i="2"/>
  <c r="AO39" i="2"/>
  <c r="AP20" i="2"/>
  <c r="AP23" i="2" s="1"/>
  <c r="AP38" i="2"/>
  <c r="AL35" i="2"/>
  <c r="AU33" i="2" l="1"/>
  <c r="AX33" i="2"/>
  <c r="AM35" i="2"/>
  <c r="AN35" i="2"/>
  <c r="AP39" i="2"/>
  <c r="AQ20" i="2"/>
  <c r="AQ23" i="2" s="1"/>
  <c r="AQ38" i="2"/>
  <c r="AO24" i="2"/>
  <c r="AO40" i="2" s="1"/>
  <c r="AL37" i="2"/>
  <c r="AM37" i="2"/>
  <c r="AX34" i="2" l="1"/>
  <c r="AX36" i="2" s="1"/>
  <c r="AX37" i="2" s="1"/>
  <c r="AX39" i="2" s="1"/>
  <c r="J5" i="1"/>
  <c r="J6" i="1" s="1"/>
  <c r="J8" i="1" s="1"/>
  <c r="J9" i="1" s="1"/>
  <c r="AN37" i="2"/>
  <c r="AO25" i="2"/>
  <c r="AQ39" i="2"/>
  <c r="AP24" i="2"/>
  <c r="AP40" i="2" s="1"/>
  <c r="AO27" i="2" l="1"/>
  <c r="AO37" i="2" s="1"/>
  <c r="J11" i="1"/>
  <c r="AO35" i="2"/>
  <c r="AP25" i="2"/>
  <c r="AP27" i="2" s="1"/>
  <c r="AQ24" i="2"/>
  <c r="AQ40" i="2" s="1"/>
  <c r="AP37" i="2" l="1"/>
  <c r="AP35" i="2"/>
  <c r="AQ25" i="2"/>
  <c r="AR25" i="2" s="1"/>
  <c r="AS25" i="2" s="1"/>
  <c r="AT25" i="2" s="1"/>
  <c r="AU25" i="2" s="1"/>
  <c r="AV25" i="2" s="1"/>
  <c r="AW25" i="2" s="1"/>
  <c r="AX25" i="2" s="1"/>
  <c r="AY25" i="2" s="1"/>
  <c r="AZ25" i="2" s="1"/>
  <c r="BA25" i="2" s="1"/>
  <c r="BB25" i="2" s="1"/>
  <c r="BC25" i="2" s="1"/>
  <c r="BD25" i="2" s="1"/>
  <c r="BE25" i="2" s="1"/>
  <c r="BF25" i="2" s="1"/>
  <c r="BG25" i="2" s="1"/>
  <c r="BH25" i="2" s="1"/>
  <c r="BI25" i="2" s="1"/>
  <c r="BJ25" i="2" s="1"/>
  <c r="BK25" i="2" s="1"/>
  <c r="BL25" i="2" s="1"/>
  <c r="BM25" i="2" s="1"/>
  <c r="BN25" i="2" s="1"/>
  <c r="BO25" i="2" s="1"/>
  <c r="BP25" i="2" s="1"/>
  <c r="BQ25" i="2" s="1"/>
  <c r="BR25" i="2" s="1"/>
  <c r="BS25" i="2" s="1"/>
  <c r="BT25" i="2" s="1"/>
  <c r="BU25" i="2" s="1"/>
  <c r="BV25" i="2" s="1"/>
  <c r="BW25" i="2" s="1"/>
  <c r="BX25" i="2" s="1"/>
  <c r="BY25" i="2" s="1"/>
  <c r="BZ25" i="2" s="1"/>
  <c r="CA25" i="2" s="1"/>
  <c r="CB25" i="2" s="1"/>
  <c r="CC25" i="2" s="1"/>
  <c r="CD25" i="2" s="1"/>
  <c r="CE25" i="2" s="1"/>
  <c r="CF25" i="2" s="1"/>
  <c r="CG25" i="2" s="1"/>
  <c r="CH25" i="2" s="1"/>
  <c r="CI25" i="2" s="1"/>
  <c r="CJ25" i="2" s="1"/>
  <c r="CK25" i="2" s="1"/>
  <c r="CL25" i="2" s="1"/>
  <c r="CM25" i="2" s="1"/>
  <c r="CN25" i="2" s="1"/>
  <c r="CO25" i="2" s="1"/>
  <c r="CP25" i="2" s="1"/>
  <c r="CQ25" i="2" s="1"/>
  <c r="CR25" i="2" s="1"/>
  <c r="CS25" i="2" s="1"/>
  <c r="CT25" i="2" s="1"/>
  <c r="CU25" i="2" s="1"/>
  <c r="CV25" i="2" s="1"/>
  <c r="CW25" i="2" s="1"/>
  <c r="CX25" i="2" s="1"/>
  <c r="CY25" i="2" s="1"/>
  <c r="CZ25" i="2" s="1"/>
  <c r="DA25" i="2" s="1"/>
  <c r="DB25" i="2" s="1"/>
  <c r="DC25" i="2" s="1"/>
  <c r="DD25" i="2" s="1"/>
  <c r="DE25" i="2" s="1"/>
  <c r="DF25" i="2" s="1"/>
  <c r="DG25" i="2" s="1"/>
  <c r="DH25" i="2" s="1"/>
  <c r="DI25" i="2" s="1"/>
  <c r="DJ25" i="2" s="1"/>
  <c r="DK25" i="2" s="1"/>
  <c r="DL25" i="2" s="1"/>
  <c r="DM25" i="2" s="1"/>
  <c r="DN25" i="2" s="1"/>
  <c r="DO25" i="2" s="1"/>
  <c r="DP25" i="2" s="1"/>
  <c r="DQ25" i="2" s="1"/>
  <c r="DR25" i="2" s="1"/>
  <c r="DS25" i="2" s="1"/>
  <c r="DT25" i="2" s="1"/>
  <c r="DU25" i="2" s="1"/>
  <c r="DV25" i="2" s="1"/>
  <c r="DW25" i="2" s="1"/>
  <c r="DX25" i="2" s="1"/>
  <c r="DY25" i="2" s="1"/>
  <c r="DZ25" i="2" s="1"/>
  <c r="EA25" i="2" s="1"/>
  <c r="EB25" i="2" s="1"/>
  <c r="EC25" i="2" s="1"/>
  <c r="ED25" i="2" s="1"/>
  <c r="EE25" i="2" s="1"/>
  <c r="EF25" i="2" s="1"/>
  <c r="EG25" i="2" s="1"/>
  <c r="EH25" i="2" s="1"/>
  <c r="EI25" i="2" s="1"/>
  <c r="EJ25" i="2" s="1"/>
  <c r="EK25" i="2" s="1"/>
  <c r="EL25" i="2" s="1"/>
  <c r="EM25" i="2" s="1"/>
  <c r="EN25" i="2" s="1"/>
  <c r="EO25" i="2" s="1"/>
  <c r="EP25" i="2" s="1"/>
  <c r="EQ25" i="2" s="1"/>
  <c r="ER25" i="2" s="1"/>
  <c r="ES25" i="2" s="1"/>
  <c r="ET25" i="2" s="1"/>
  <c r="EU25" i="2" s="1"/>
  <c r="EV25" i="2" s="1"/>
  <c r="EW25" i="2" s="1"/>
  <c r="EX25" i="2" s="1"/>
  <c r="EY25" i="2" s="1"/>
  <c r="EZ25" i="2" s="1"/>
  <c r="FA25" i="2" s="1"/>
  <c r="FB25" i="2" s="1"/>
  <c r="FC25" i="2" s="1"/>
  <c r="FD25" i="2" s="1"/>
  <c r="FE25" i="2" s="1"/>
  <c r="FF25" i="2" s="1"/>
  <c r="FG25" i="2" s="1"/>
  <c r="FH25" i="2" s="1"/>
  <c r="FI25" i="2" s="1"/>
  <c r="FJ25" i="2" s="1"/>
  <c r="FK25" i="2" s="1"/>
  <c r="FL25" i="2" s="1"/>
  <c r="FM25" i="2" s="1"/>
  <c r="FN25" i="2" s="1"/>
  <c r="FO25" i="2" s="1"/>
  <c r="FP25" i="2" s="1"/>
  <c r="FQ25" i="2" s="1"/>
  <c r="FR25" i="2" s="1"/>
  <c r="FS25" i="2" s="1"/>
  <c r="FT25" i="2" s="1"/>
  <c r="FU25" i="2" s="1"/>
  <c r="FV25" i="2" s="1"/>
  <c r="FW25" i="2" s="1"/>
  <c r="FX25" i="2" s="1"/>
  <c r="FY25" i="2" s="1"/>
  <c r="FZ25" i="2" s="1"/>
  <c r="GA25" i="2" s="1"/>
  <c r="GB25" i="2" s="1"/>
  <c r="GC25" i="2" s="1"/>
  <c r="GD25" i="2" s="1"/>
  <c r="GE25" i="2" s="1"/>
  <c r="GF25" i="2" s="1"/>
  <c r="GG25" i="2" s="1"/>
  <c r="GH25" i="2" s="1"/>
  <c r="GI25" i="2" s="1"/>
  <c r="GJ25" i="2" s="1"/>
  <c r="GK25" i="2" s="1"/>
  <c r="GL25" i="2" s="1"/>
  <c r="GM25" i="2" s="1"/>
  <c r="GN25" i="2" s="1"/>
  <c r="GO25" i="2" s="1"/>
  <c r="GP25" i="2" s="1"/>
  <c r="GQ25" i="2" s="1"/>
  <c r="GR25" i="2" s="1"/>
  <c r="GS25" i="2" s="1"/>
  <c r="GT25" i="2" s="1"/>
  <c r="GU25" i="2" s="1"/>
  <c r="GV25" i="2" s="1"/>
  <c r="GW25" i="2" s="1"/>
  <c r="GX25" i="2" s="1"/>
  <c r="GY25" i="2" s="1"/>
  <c r="GZ25" i="2" s="1"/>
  <c r="HA25" i="2" s="1"/>
  <c r="HB25" i="2" s="1"/>
  <c r="HC25" i="2" s="1"/>
  <c r="HD25" i="2" s="1"/>
  <c r="HE25" i="2" s="1"/>
  <c r="HF25" i="2" s="1"/>
  <c r="HG25" i="2" s="1"/>
  <c r="HH25" i="2" s="1"/>
  <c r="HI25" i="2" s="1"/>
  <c r="HJ25" i="2" s="1"/>
  <c r="HK25" i="2" s="1"/>
  <c r="HL25" i="2" s="1"/>
  <c r="HM25" i="2" s="1"/>
  <c r="HN25" i="2" s="1"/>
  <c r="HO25" i="2" s="1"/>
  <c r="HP25" i="2" s="1"/>
  <c r="HQ25" i="2" s="1"/>
  <c r="HR25" i="2" s="1"/>
  <c r="HS25" i="2" s="1"/>
  <c r="HT25" i="2" s="1"/>
  <c r="HU25" i="2" s="1"/>
  <c r="HV25" i="2" s="1"/>
  <c r="HW25" i="2" s="1"/>
  <c r="HX25" i="2" s="1"/>
  <c r="HY25" i="2" s="1"/>
  <c r="HZ25" i="2" s="1"/>
  <c r="IA25" i="2" s="1"/>
  <c r="IB25" i="2" s="1"/>
  <c r="IC25" i="2" s="1"/>
  <c r="ID25" i="2" s="1"/>
  <c r="IE25" i="2" s="1"/>
  <c r="IF25" i="2" s="1"/>
  <c r="IG25" i="2" s="1"/>
  <c r="IH25" i="2" s="1"/>
  <c r="II25" i="2" s="1"/>
  <c r="IJ25" i="2" s="1"/>
  <c r="IK25" i="2" s="1"/>
  <c r="IL25" i="2" s="1"/>
  <c r="IM25" i="2" s="1"/>
  <c r="IN25" i="2" s="1"/>
  <c r="IO25" i="2" s="1"/>
  <c r="IP25" i="2" s="1"/>
  <c r="IQ25" i="2" s="1"/>
  <c r="IR25" i="2" s="1"/>
  <c r="IS25" i="2" s="1"/>
  <c r="IT25" i="2" s="1"/>
  <c r="IU25" i="2" s="1"/>
  <c r="IV25" i="2" s="1"/>
  <c r="IW25" i="2" s="1"/>
  <c r="IX25" i="2" s="1"/>
  <c r="IY25" i="2" s="1"/>
  <c r="IZ25" i="2" s="1"/>
  <c r="JA25" i="2" s="1"/>
  <c r="JB25" i="2" s="1"/>
  <c r="JC25" i="2" s="1"/>
  <c r="JD25" i="2" s="1"/>
  <c r="JE25" i="2" s="1"/>
  <c r="JF25" i="2" s="1"/>
  <c r="JG25" i="2" s="1"/>
  <c r="JH25" i="2" s="1"/>
  <c r="JI25" i="2" s="1"/>
  <c r="JJ25" i="2" s="1"/>
  <c r="JK25" i="2" s="1"/>
  <c r="JL25" i="2" s="1"/>
  <c r="JM25" i="2" s="1"/>
  <c r="JN25" i="2" s="1"/>
  <c r="JO25" i="2" s="1"/>
  <c r="JP25" i="2" s="1"/>
  <c r="JQ25" i="2" s="1"/>
  <c r="JR25" i="2" s="1"/>
  <c r="JS25" i="2" s="1"/>
  <c r="JT25" i="2" s="1"/>
  <c r="JU25" i="2" s="1"/>
  <c r="JV25" i="2" s="1"/>
  <c r="JW25" i="2" s="1"/>
  <c r="JX25" i="2" s="1"/>
  <c r="JY25" i="2" s="1"/>
  <c r="JZ25" i="2" s="1"/>
  <c r="KA25" i="2" s="1"/>
  <c r="KB25" i="2" s="1"/>
  <c r="KC25" i="2" s="1"/>
  <c r="KD25" i="2" s="1"/>
  <c r="KE25" i="2" s="1"/>
  <c r="KF25" i="2" s="1"/>
  <c r="KG25" i="2" s="1"/>
  <c r="KH25" i="2" s="1"/>
  <c r="KI25" i="2" s="1"/>
  <c r="KJ25" i="2" s="1"/>
  <c r="KK25" i="2" s="1"/>
  <c r="KL25" i="2" s="1"/>
  <c r="KM25" i="2" s="1"/>
  <c r="KN25" i="2" s="1"/>
  <c r="KO25" i="2" s="1"/>
  <c r="KP25" i="2" s="1"/>
  <c r="KQ25" i="2" s="1"/>
  <c r="KR25" i="2" s="1"/>
  <c r="KS25" i="2" s="1"/>
  <c r="KT25" i="2" s="1"/>
  <c r="KU25" i="2" s="1"/>
  <c r="KV25" i="2" s="1"/>
  <c r="KW25" i="2" s="1"/>
  <c r="KX25" i="2" s="1"/>
  <c r="KY25" i="2" s="1"/>
  <c r="KZ25" i="2" s="1"/>
  <c r="LA25" i="2" s="1"/>
  <c r="LB25" i="2" s="1"/>
  <c r="LC25" i="2" s="1"/>
  <c r="LD25" i="2" s="1"/>
  <c r="LE25" i="2" s="1"/>
  <c r="LF25" i="2" s="1"/>
  <c r="LG25" i="2" s="1"/>
  <c r="LH25" i="2" s="1"/>
  <c r="LI25" i="2" s="1"/>
  <c r="LJ25" i="2" s="1"/>
  <c r="LK25" i="2" s="1"/>
  <c r="LL25" i="2" s="1"/>
  <c r="LM25" i="2" s="1"/>
  <c r="LN25" i="2" s="1"/>
  <c r="LO25" i="2" s="1"/>
  <c r="LP25" i="2" s="1"/>
  <c r="LQ25" i="2" s="1"/>
  <c r="LR25" i="2" s="1"/>
  <c r="LS25" i="2" s="1"/>
  <c r="LT25" i="2" s="1"/>
  <c r="LU25" i="2" s="1"/>
  <c r="LV25" i="2" s="1"/>
  <c r="LW25" i="2" s="1"/>
  <c r="LX25" i="2" s="1"/>
  <c r="LY25" i="2" s="1"/>
  <c r="LZ25" i="2" s="1"/>
  <c r="MA25" i="2" s="1"/>
  <c r="MB25" i="2" s="1"/>
  <c r="MC25" i="2" s="1"/>
  <c r="MD25" i="2" s="1"/>
  <c r="ME25" i="2" s="1"/>
  <c r="MF25" i="2" s="1"/>
  <c r="MG25" i="2" s="1"/>
  <c r="MH25" i="2" s="1"/>
  <c r="MI25" i="2" s="1"/>
  <c r="MJ25" i="2" s="1"/>
  <c r="MK25" i="2" s="1"/>
  <c r="ML25" i="2" s="1"/>
  <c r="MM25" i="2" s="1"/>
  <c r="MN25" i="2" s="1"/>
  <c r="MO25" i="2" s="1"/>
  <c r="MP25" i="2" s="1"/>
  <c r="MQ25" i="2" s="1"/>
  <c r="MR25" i="2" s="1"/>
  <c r="MS25" i="2" s="1"/>
  <c r="MT25" i="2" s="1"/>
  <c r="MU25" i="2" s="1"/>
  <c r="MV25" i="2" s="1"/>
  <c r="MW25" i="2" s="1"/>
  <c r="MX25" i="2" s="1"/>
  <c r="MY25" i="2" s="1"/>
  <c r="MZ25" i="2" s="1"/>
  <c r="NA25" i="2" s="1"/>
  <c r="NB25" i="2" s="1"/>
  <c r="NC25" i="2" s="1"/>
  <c r="ND25" i="2" s="1"/>
  <c r="NE25" i="2" s="1"/>
  <c r="NF25" i="2" s="1"/>
  <c r="NG25" i="2" s="1"/>
  <c r="NH25" i="2" s="1"/>
  <c r="NI25" i="2" s="1"/>
  <c r="NJ25" i="2" s="1"/>
  <c r="NK25" i="2" s="1"/>
  <c r="NL25" i="2" s="1"/>
  <c r="NM25" i="2" s="1"/>
  <c r="NN25" i="2" s="1"/>
  <c r="NO25" i="2" s="1"/>
  <c r="NP25" i="2" s="1"/>
  <c r="NQ25" i="2" s="1"/>
  <c r="NR25" i="2" s="1"/>
  <c r="NS25" i="2" s="1"/>
  <c r="NT25" i="2" s="1"/>
  <c r="NU25" i="2" s="1"/>
  <c r="NV25" i="2" s="1"/>
  <c r="NW25" i="2" s="1"/>
  <c r="NX25" i="2" s="1"/>
  <c r="NY25" i="2" s="1"/>
  <c r="NZ25" i="2" s="1"/>
  <c r="OA25" i="2" s="1"/>
  <c r="OB25" i="2" s="1"/>
  <c r="OC25" i="2" s="1"/>
  <c r="OD25" i="2" s="1"/>
  <c r="OE25" i="2" s="1"/>
  <c r="OF25" i="2" s="1"/>
  <c r="OG25" i="2" s="1"/>
  <c r="OH25" i="2" s="1"/>
  <c r="OI25" i="2" s="1"/>
  <c r="OJ25" i="2" s="1"/>
  <c r="OK25" i="2" s="1"/>
  <c r="OL25" i="2" s="1"/>
  <c r="OM25" i="2" s="1"/>
  <c r="ON25" i="2" s="1"/>
  <c r="OO25" i="2" s="1"/>
  <c r="OP25" i="2" s="1"/>
  <c r="OQ25" i="2" s="1"/>
  <c r="OR25" i="2" s="1"/>
  <c r="OS25" i="2" s="1"/>
  <c r="OT25" i="2" s="1"/>
  <c r="OU25" i="2" s="1"/>
  <c r="OV25" i="2" s="1"/>
  <c r="OW25" i="2" s="1"/>
  <c r="OX25" i="2" s="1"/>
  <c r="OY25" i="2" s="1"/>
  <c r="OZ25" i="2" s="1"/>
  <c r="PA25" i="2" s="1"/>
  <c r="PB25" i="2" s="1"/>
  <c r="PC25" i="2" s="1"/>
  <c r="PD25" i="2" s="1"/>
  <c r="PE25" i="2" s="1"/>
  <c r="PF25" i="2" s="1"/>
  <c r="PG25" i="2" s="1"/>
  <c r="PH25" i="2" s="1"/>
  <c r="PI25" i="2" s="1"/>
  <c r="PJ25" i="2" s="1"/>
  <c r="PK25" i="2" s="1"/>
  <c r="PL25" i="2" s="1"/>
  <c r="AU34" i="2" l="1"/>
  <c r="AU36" i="2" s="1"/>
  <c r="G6" i="1"/>
  <c r="G8" i="1" s="1"/>
  <c r="G9" i="1" s="1"/>
  <c r="AQ35" i="2"/>
  <c r="AQ27" i="2"/>
  <c r="AQ37" i="2" s="1"/>
  <c r="AU37" i="2" l="1"/>
  <c r="AU39" i="2" s="1"/>
  <c r="G11" i="1"/>
  <c r="M3" i="1"/>
  <c r="M5"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<sst xmlns="http://schemas.openxmlformats.org/spreadsheetml/2006/main" count="185" uniqueCount="146">
  <si>
    <t>Company</t>
  </si>
  <si>
    <t>Source</t>
  </si>
  <si>
    <t>Price</t>
  </si>
  <si>
    <t>Shares</t>
  </si>
  <si>
    <t>4Q20</t>
  </si>
  <si>
    <t>Market Cap</t>
  </si>
  <si>
    <t>Cash</t>
  </si>
  <si>
    <t>Debt</t>
  </si>
  <si>
    <t>EV</t>
  </si>
  <si>
    <t>Equity</t>
  </si>
  <si>
    <t>D+E</t>
  </si>
  <si>
    <t>Wdebt</t>
  </si>
  <si>
    <t>Wequity</t>
  </si>
  <si>
    <t>Tax rate</t>
  </si>
  <si>
    <t>Interest expense</t>
  </si>
  <si>
    <t>Cost of debt</t>
  </si>
  <si>
    <t>Risk-free rate</t>
  </si>
  <si>
    <t>Beta</t>
  </si>
  <si>
    <t>Market return</t>
  </si>
  <si>
    <t xml:space="preserve">average </t>
  </si>
  <si>
    <t>Cost of equity</t>
  </si>
  <si>
    <t>WACC</t>
  </si>
  <si>
    <t>Sales</t>
  </si>
  <si>
    <t>Total Revenue</t>
  </si>
  <si>
    <t>COGS</t>
  </si>
  <si>
    <t>SG&amp;A</t>
  </si>
  <si>
    <t>Opex</t>
  </si>
  <si>
    <t>Operating Income</t>
  </si>
  <si>
    <t>Pretax Income</t>
  </si>
  <si>
    <t>Taxes</t>
  </si>
  <si>
    <t>Net Income</t>
  </si>
  <si>
    <t>EPS</t>
  </si>
  <si>
    <t>1Q17</t>
  </si>
  <si>
    <t>2Q17</t>
  </si>
  <si>
    <t>3Q17</t>
  </si>
  <si>
    <t>4Q17</t>
  </si>
  <si>
    <t>1Q18</t>
  </si>
  <si>
    <t>2Q18</t>
  </si>
  <si>
    <t>3Q18</t>
  </si>
  <si>
    <t>4Q18</t>
  </si>
  <si>
    <t>1Q19</t>
  </si>
  <si>
    <t>2Q19</t>
  </si>
  <si>
    <t>3Q19</t>
  </si>
  <si>
    <t>4Q19</t>
  </si>
  <si>
    <t>1Q20</t>
  </si>
  <si>
    <t>3Q20</t>
  </si>
  <si>
    <t>2Q20</t>
  </si>
  <si>
    <t xml:space="preserve">Gross Profit </t>
  </si>
  <si>
    <t>Revenue Y/Y</t>
  </si>
  <si>
    <t>COGS Y/Y</t>
  </si>
  <si>
    <t>SG&amp;A Y/Y</t>
  </si>
  <si>
    <t>NI Y/Y</t>
  </si>
  <si>
    <t>Shares Y/Y</t>
  </si>
  <si>
    <t>EPS Y/Y</t>
  </si>
  <si>
    <t>GM</t>
  </si>
  <si>
    <t>OM</t>
  </si>
  <si>
    <t>Maturity</t>
  </si>
  <si>
    <t>Discount (wacc)</t>
  </si>
  <si>
    <t>NPV</t>
  </si>
  <si>
    <t>Net Cash</t>
  </si>
  <si>
    <t>Value</t>
  </si>
  <si>
    <t>Model Share Price</t>
  </si>
  <si>
    <t>Actual Share Price</t>
  </si>
  <si>
    <t>Difference</t>
  </si>
  <si>
    <t>1Q21</t>
  </si>
  <si>
    <t>2Q21</t>
  </si>
  <si>
    <t>3Q21</t>
  </si>
  <si>
    <t>4Q21</t>
  </si>
  <si>
    <t>1Q22</t>
  </si>
  <si>
    <t>2Q22</t>
  </si>
  <si>
    <t>3Q22</t>
  </si>
  <si>
    <t>4Q22</t>
  </si>
  <si>
    <t>AVERAGE</t>
  </si>
  <si>
    <t>EBITDA</t>
  </si>
  <si>
    <t>EBITDA Y/Y</t>
  </si>
  <si>
    <t>Other Expense/(Income)</t>
  </si>
  <si>
    <t>Apparel &amp; Accessories</t>
  </si>
  <si>
    <t>Beauty &amp; Household Essentials</t>
  </si>
  <si>
    <t>Food &amp; Beverage</t>
  </si>
  <si>
    <t>Hardlines (electronics, toys, entertainment, sports, luggage)</t>
  </si>
  <si>
    <t>Home Furnishings &amp; Décor</t>
  </si>
  <si>
    <t>Other</t>
  </si>
  <si>
    <t>Credit Card Profit Sharing</t>
  </si>
  <si>
    <t>Credit Card Profit Sharing &amp; Other Revenue</t>
  </si>
  <si>
    <t>Cash &amp; Equivalents</t>
  </si>
  <si>
    <t>Inventory</t>
  </si>
  <si>
    <t>OCA</t>
  </si>
  <si>
    <t>Total Current Assets</t>
  </si>
  <si>
    <t>Land</t>
  </si>
  <si>
    <t>Buildings &amp; Improvements</t>
  </si>
  <si>
    <t>Fixtures &amp; Equipment</t>
  </si>
  <si>
    <t>Computer Hardware &amp; Software</t>
  </si>
  <si>
    <t>Construction-In-Progress</t>
  </si>
  <si>
    <t>D&amp;A</t>
  </si>
  <si>
    <t>Net PP&amp;E</t>
  </si>
  <si>
    <t>Operating Lease Assets</t>
  </si>
  <si>
    <t>Other NCA</t>
  </si>
  <si>
    <t>Total Assets</t>
  </si>
  <si>
    <t>A/P</t>
  </si>
  <si>
    <t>Accrued &amp; OCL</t>
  </si>
  <si>
    <t>ST Debt</t>
  </si>
  <si>
    <t>Total Current Liabilities</t>
  </si>
  <si>
    <t>LT Debt</t>
  </si>
  <si>
    <t>Noncurrent Operating Lease Liabilities</t>
  </si>
  <si>
    <t>Deferred Income Taxes</t>
  </si>
  <si>
    <t>Other NCL</t>
  </si>
  <si>
    <t>Total Liabilities</t>
  </si>
  <si>
    <t>S/E</t>
  </si>
  <si>
    <t>L+S/E</t>
  </si>
  <si>
    <t>Using Net Income</t>
  </si>
  <si>
    <t>Interest Expense/(income)</t>
  </si>
  <si>
    <t>Model Net Income</t>
  </si>
  <si>
    <t>Reported Net Income</t>
  </si>
  <si>
    <t>Stock Based Comp. Expense</t>
  </si>
  <si>
    <t>Gain on Dermstore Sale</t>
  </si>
  <si>
    <t>Noncash Losses/(Gains) and Other</t>
  </si>
  <si>
    <t>Other Assets</t>
  </si>
  <si>
    <t>Accrued &amp; Other Liabilities</t>
  </si>
  <si>
    <t>CFFO</t>
  </si>
  <si>
    <t>PP&amp;E</t>
  </si>
  <si>
    <t>Proceeds from Disposal of PP&amp;E</t>
  </si>
  <si>
    <t>Proceeds from Dermstore Sale</t>
  </si>
  <si>
    <t>Other Investments</t>
  </si>
  <si>
    <t>CFFI</t>
  </si>
  <si>
    <t>Commercial Paper</t>
  </si>
  <si>
    <t>Reductions of LT Debt</t>
  </si>
  <si>
    <t>Dividends</t>
  </si>
  <si>
    <t>Repurchase of Stock</t>
  </si>
  <si>
    <t>Accelerated Share Repurchase Pending Final Settlement</t>
  </si>
  <si>
    <t>Stock Options Exercises</t>
  </si>
  <si>
    <t>CFFF</t>
  </si>
  <si>
    <t>CF</t>
  </si>
  <si>
    <t>FCF</t>
  </si>
  <si>
    <t>Loss on Debt Extinguishment</t>
  </si>
  <si>
    <t>Additions to LT Debt</t>
  </si>
  <si>
    <t>Using FCF</t>
  </si>
  <si>
    <t>FCF Y/Y</t>
  </si>
  <si>
    <t>Average DCF Price</t>
  </si>
  <si>
    <t>Current Price</t>
  </si>
  <si>
    <t>5yr tbond 6/12/23</t>
  </si>
  <si>
    <t>1Q23</t>
  </si>
  <si>
    <t>2Q23</t>
  </si>
  <si>
    <t>3Q23</t>
  </si>
  <si>
    <t>4Q23</t>
  </si>
  <si>
    <t>koyfin 6/13/23</t>
  </si>
  <si>
    <t>4Q22 8K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</si>
</sst>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1"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b/>
      <sz val="11"/>
      <color theme="1"/>
      <name val="Arial"/>
      <family val="2"/>
    </font>
    <font>
      <u/>
      <sz val="11"/>
      <color theme="1"/>
      <name val="Arial"/>
      <family val="2"/>
    </font>
    <font>
      <sz val="8"/>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9" fontId="7" fillId="0" borderId="0" applyFont="0" applyFill="0" applyBorder="0" applyAlignment="0" applyProtection="0"/>
  </cellStyleXfs>
  <cellXfs count="54">
    <xf numFmtId="0" fontId="0" fillId="0" borderId="0" xfId="0"/>
    <xf numFmtId="0" fontId="6" fillId="0" borderId="0" xfId="0" applyFont="1"/>
    <xf numFmtId="3" fontId="6" fillId="0" borderId="0" xfId="0" applyNumberFormat="1" applyFont="1"/>
    <xf numFmtId="10" fontId="6" fillId="0" borderId="0" xfId="0" applyNumberFormat="1" applyFont="1"/>
    <xf numFmtId="9" fontId="6" fillId="0" borderId="0" xfId="0" applyNumberFormat="1" applyFont="1"/>
    <xf numFmtId="14" fontId="6" fillId="0" borderId="0" xfId="0" applyNumberFormat="1" applyFont="1"/>
    <xf numFmtId="0" fontId="6" fillId="0" borderId="0" xfId="0" applyFont="1" applyAlignment="1">
      <alignment horizontal="right"/>
    </xf>
    <xf numFmtId="3" fontId="6" fillId="0" borderId="0" xfId="0" applyNumberFormat="1" applyFont="1" applyAlignment="1">
      <alignment horizontal="right"/>
    </xf>
    <xf numFmtId="0" fontId="8" fillId="0" borderId="0" xfId="0" applyFont="1"/>
    <xf numFmtId="3" fontId="8" fillId="0" borderId="0" xfId="0" applyNumberFormat="1" applyFont="1"/>
    <xf numFmtId="4" fontId="6" fillId="0" borderId="0" xfId="0" applyNumberFormat="1" applyFont="1"/>
    <xf numFmtId="9" fontId="6" fillId="0" borderId="0" xfId="0" applyNumberFormat="1" applyFont="1" applyAlignment="1">
      <alignment horizontal="right"/>
    </xf>
    <xf numFmtId="3" fontId="8" fillId="0" borderId="0" xfId="0" applyNumberFormat="1" applyFont="1" applyAlignment="1">
      <alignment horizontal="right"/>
    </xf>
    <xf numFmtId="2" fontId="6" fillId="0" borderId="0" xfId="0" applyNumberFormat="1" applyFont="1" applyAlignment="1">
      <alignment horizontal="right"/>
    </xf>
    <xf numFmtId="9" fontId="6" fillId="0" borderId="0" xfId="1" applyFont="1" applyAlignment="1">
      <alignment horizontal="right"/>
    </xf>
    <xf numFmtId="0" fontId="6" fillId="0" borderId="1" xfId="0" applyFont="1" applyBorder="1"/>
    <xf numFmtId="0" fontId="6" fillId="0" borderId="2" xfId="0" applyFont="1" applyBorder="1"/>
    <xf numFmtId="0" fontId="6" fillId="0" borderId="3" xfId="0" applyFont="1" applyBorder="1"/>
    <xf numFmtId="0" fontId="6" fillId="0" borderId="4" xfId="0" applyFont="1" applyBorder="1"/>
    <xf numFmtId="164" fontId="6" fillId="0" borderId="0" xfId="0" applyNumberFormat="1" applyFont="1" applyAlignment="1">
      <alignment horizontal="right"/>
    </xf>
    <xf numFmtId="0" fontId="6" fillId="0" borderId="1" xfId="0" applyFont="1" applyBorder="1" applyAlignment="1">
      <alignment horizontal="right"/>
    </xf>
    <xf numFmtId="0" fontId="6" fillId="0" borderId="4" xfId="0" applyFont="1" applyBorder="1" applyAlignment="1">
      <alignment horizontal="right"/>
    </xf>
    <xf numFmtId="0" fontId="6" fillId="0" borderId="5" xfId="0" applyFont="1" applyBorder="1"/>
    <xf numFmtId="3" fontId="6" fillId="0" borderId="6" xfId="0" applyNumberFormat="1" applyFont="1" applyBorder="1" applyAlignment="1">
      <alignment horizontal="right"/>
    </xf>
    <xf numFmtId="0" fontId="6" fillId="0" borderId="5" xfId="0" applyFont="1" applyBorder="1" applyAlignment="1">
      <alignment horizontal="right"/>
    </xf>
    <xf numFmtId="0" fontId="5" fillId="0" borderId="0" xfId="0" applyFont="1" applyAlignment="1">
      <alignment horizontal="right"/>
    </xf>
    <xf numFmtId="0" fontId="5" fillId="0" borderId="0" xfId="0" applyFont="1"/>
    <xf numFmtId="2" fontId="6" fillId="0" borderId="0" xfId="0" applyNumberFormat="1" applyFont="1"/>
    <xf numFmtId="0" fontId="4" fillId="0" borderId="0" xfId="0" applyFont="1"/>
    <xf numFmtId="3" fontId="4" fillId="0" borderId="0" xfId="0" applyNumberFormat="1" applyFont="1"/>
    <xf numFmtId="0" fontId="3" fillId="0" borderId="0" xfId="0" applyFont="1" applyAlignment="1">
      <alignment horizontal="left"/>
    </xf>
    <xf numFmtId="0" fontId="8" fillId="0" borderId="0" xfId="0" applyFont="1" applyAlignment="1">
      <alignment horizontal="right"/>
    </xf>
    <xf numFmtId="0" fontId="8" fillId="0" borderId="0" xfId="0" applyFont="1" applyAlignment="1">
      <alignment horizontal="left"/>
    </xf>
    <xf numFmtId="3" fontId="5" fillId="0" borderId="0" xfId="0" applyNumberFormat="1" applyFont="1" applyAlignment="1">
      <alignment horizontal="right"/>
    </xf>
    <xf numFmtId="0" fontId="3" fillId="0" borderId="0" xfId="0" applyFont="1"/>
    <xf numFmtId="14" fontId="3" fillId="0" borderId="0" xfId="0" applyNumberFormat="1" applyFont="1"/>
    <xf numFmtId="3" fontId="9" fillId="0" borderId="0" xfId="0" applyNumberFormat="1" applyFont="1"/>
    <xf numFmtId="0" fontId="2" fillId="0" borderId="0" xfId="0" applyFont="1"/>
    <xf numFmtId="3" fontId="2" fillId="0" borderId="0" xfId="0" applyNumberFormat="1" applyFont="1"/>
    <xf numFmtId="3" fontId="2" fillId="0" borderId="0" xfId="0" applyNumberFormat="1" applyFont="1" applyAlignment="1">
      <alignment horizontal="right"/>
    </xf>
    <xf numFmtId="3" fontId="2" fillId="0" borderId="0" xfId="0" applyNumberFormat="1" applyFont="1" applyAlignment="1">
      <alignment horizontal="left"/>
    </xf>
    <xf numFmtId="9" fontId="2" fillId="0" borderId="0" xfId="0" applyNumberFormat="1" applyFont="1" applyAlignment="1">
      <alignment horizontal="right"/>
    </xf>
    <xf numFmtId="4" fontId="2" fillId="0" borderId="0" xfId="0" applyNumberFormat="1" applyFont="1" applyAlignment="1">
      <alignment horizontal="right"/>
    </xf>
    <xf numFmtId="4" fontId="6" fillId="0" borderId="0" xfId="0" applyNumberFormat="1" applyFont="1" applyAlignment="1">
      <alignment horizontal="right"/>
    </xf>
    <xf numFmtId="3" fontId="6" fillId="0" borderId="8" xfId="0" applyNumberFormat="1" applyFont="1" applyBorder="1"/>
    <xf numFmtId="3" fontId="6" fillId="0" borderId="9" xfId="0" applyNumberFormat="1" applyFont="1" applyBorder="1"/>
    <xf numFmtId="9" fontId="6" fillId="0" borderId="10" xfId="0" applyNumberFormat="1" applyFont="1" applyBorder="1"/>
    <xf numFmtId="3" fontId="6" fillId="0" borderId="10" xfId="0" applyNumberFormat="1" applyFont="1" applyBorder="1"/>
    <xf numFmtId="4" fontId="6" fillId="0" borderId="10" xfId="0" applyNumberFormat="1" applyFont="1" applyBorder="1"/>
    <xf numFmtId="3" fontId="6" fillId="0" borderId="11" xfId="0" applyNumberFormat="1" applyFont="1" applyBorder="1"/>
    <xf numFmtId="9" fontId="6" fillId="0" borderId="12" xfId="0" applyNumberFormat="1" applyFont="1" applyBorder="1"/>
    <xf numFmtId="3" fontId="9" fillId="0" borderId="7" xfId="0" applyNumberFormat="1" applyFont="1" applyBorder="1"/>
    <xf numFmtId="0" fontId="1" fillId="0" borderId="4" xfId="0" applyFont="1" applyBorder="1" applyAlignment="1">
      <alignment horizontal="right"/>
    </xf>
    <xf numFmtId="0" fontId="1" fillId="0" borderId="0" xfId="0" applyFont="1"/>
  </cellXfs>
  <cellStyles count="2">
    <cellStyle name="Normal" xfId="0" builtinId="0"/>
    <cellStyle name="Percent" xfId="1" builtinId="5"/>
  </cellStyles>
  <dxfs count="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26</xdr:col>
      <xdr:colOff>101600</xdr:colOff>
      <xdr:row>0</xdr:row>
      <xdr:rowOff>38100</xdr:rowOff>
    </xdr:from>
    <xdr:to>
      <xdr:col>26</xdr:col>
      <xdr:colOff>101600</xdr:colOff>
      <xdr:row>100</xdr:row>
      <xdr:rowOff>9525</xdr:rowOff>
    </xdr:to>
    <xdr:cxnSp macro="">
      <xdr:nvCxnSpPr>
        <xdr:cNvPr id="3" name="Straight Connector 2">
          <a:extLst>
            <a:ext uri="{FF2B5EF4-FFF2-40B4-BE49-F238E27FC236}">
              <a16:creationId xmlns:a16="http://schemas.microsoft.com/office/drawing/2014/main" id="{8109145B-0245-4FA9-997B-C392E4062955}"/>
            </a:ext>
          </a:extLst>
        </xdr:cNvPr>
        <xdr:cNvCxnSpPr/>
      </xdr:nvCxnSpPr>
      <xdr:spPr>
        <a:xfrm>
          <a:off x="21609050" y="38100"/>
          <a:ext cx="0" cy="180689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76200</xdr:colOff>
      <xdr:row>0</xdr:row>
      <xdr:rowOff>133350</xdr:rowOff>
    </xdr:from>
    <xdr:to>
      <xdr:col>40</xdr:col>
      <xdr:colOff>76200</xdr:colOff>
      <xdr:row>100</xdr:row>
      <xdr:rowOff>28575</xdr:rowOff>
    </xdr:to>
    <xdr:cxnSp macro="">
      <xdr:nvCxnSpPr>
        <xdr:cNvPr id="5" name="Straight Connector 4">
          <a:extLst>
            <a:ext uri="{FF2B5EF4-FFF2-40B4-BE49-F238E27FC236}">
              <a16:creationId xmlns:a16="http://schemas.microsoft.com/office/drawing/2014/main" id="{3832F9D8-2DC6-4E11-BF79-CACC8AD1E045}"/>
            </a:ext>
          </a:extLst>
        </xdr:cNvPr>
        <xdr:cNvCxnSpPr/>
      </xdr:nvCxnSpPr>
      <xdr:spPr>
        <a:xfrm>
          <a:off x="28022550" y="133350"/>
          <a:ext cx="0" cy="179927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20Dashboard.xlsx" TargetMode="External"/><Relationship Id="rId1" Type="http://schemas.openxmlformats.org/officeDocument/2006/relationships/externalLinkPath" Target="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Companies"/>
    </sheetNames>
    <sheetDataSet>
      <sheetData sheetId="0">
        <row r="12">
          <cell r="C12">
            <v>3.8899999999999997E-2</v>
          </cell>
        </row>
      </sheetData>
      <sheetData sheetId="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https://www.bing.com/financeapi/forcetrigger?t=a246z2&amp;q=XNYS%3aTGT&amp;form=skydnc</v>
    <v>Learn more on Bing</v>
  </rv>
  <rv s="1">
    <v>en-US</v>
    <v>a246z2</v>
    <v>268435456</v>
    <v>1</v>
    <v>Powered by Refinitiv</v>
    <v>0</v>
    <v>TARGET CORPORATION (XNYS:TGT)</v>
    <v>2</v>
    <v>3</v>
    <v>Finance</v>
    <v>4</v>
    <v>183.88659999999999</v>
    <v>125.08</v>
    <v>1.0235000000000001</v>
    <v>3.78</v>
    <v>2.8372000000000001E-2</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137.0873</v>
    <v>Diversified Retail</v>
    <v>Stock</v>
    <v>45092.685657372655</v>
    <v>0</v>
    <v>134.6</v>
    <v>63238280795</v>
    <v>TARGET CORPORATION</v>
    <v>TARGET CORPORATION</v>
    <v>135.14500000000001</v>
    <v>22.662400000000002</v>
    <v>133.22999999999999</v>
    <v>137.01</v>
    <v>461559600</v>
    <v>TGT</v>
    <v>TARGET CORPORATION (XNYS:TGT)</v>
    <v>5284682</v>
    <v>7519830</v>
    <v>1902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D8FB6-9B3F-4613-8123-B39F0D5EDE91}">
  <dimension ref="B3:M11"/>
  <sheetViews>
    <sheetView tabSelected="1" workbookViewId="0">
      <selection activeCell="D5" sqref="D5"/>
    </sheetView>
  </sheetViews>
  <sheetFormatPr defaultColWidth="9.21875" defaultRowHeight="13.8" x14ac:dyDescent="0.25"/>
  <cols>
    <col min="1" max="1" width="9.21875" style="1"/>
    <col min="2" max="2" width="11.5546875" style="1" bestFit="1" customWidth="1"/>
    <col min="3" max="3" width="41.21875" style="1" bestFit="1" customWidth="1"/>
    <col min="4" max="4" width="9.21875" style="1" bestFit="1" customWidth="1"/>
    <col min="5" max="5" width="9.21875" style="1"/>
    <col min="6" max="6" width="18.5546875" style="1" bestFit="1" customWidth="1"/>
    <col min="7" max="7" width="8" style="1" bestFit="1" customWidth="1"/>
    <col min="8" max="8" width="9.21875" style="1"/>
    <col min="9" max="9" width="18.5546875" style="1" bestFit="1" customWidth="1"/>
    <col min="10" max="10" width="9.21875" style="1" bestFit="1" customWidth="1"/>
    <col min="11" max="11" width="9.21875" style="1"/>
    <col min="12" max="12" width="19.21875" style="1" bestFit="1" customWidth="1"/>
    <col min="13" max="13" width="9.77734375" style="1" bestFit="1" customWidth="1"/>
    <col min="14" max="16384" width="9.21875" style="1"/>
  </cols>
  <sheetData>
    <row r="3" spans="2:13" x14ac:dyDescent="0.25">
      <c r="B3" s="15" t="s">
        <v>0</v>
      </c>
      <c r="C3" s="16" t="e" vm="1">
        <v>#VALUE!</v>
      </c>
      <c r="D3" s="17" t="s">
        <v>1</v>
      </c>
      <c r="F3" s="51" t="s">
        <v>109</v>
      </c>
      <c r="G3" s="44"/>
      <c r="H3" s="2"/>
      <c r="I3" s="51" t="s">
        <v>135</v>
      </c>
      <c r="J3" s="44"/>
      <c r="L3" s="37" t="s">
        <v>137</v>
      </c>
      <c r="M3" s="10">
        <f>AVERAGE(G9,J9)</f>
        <v>256.22255253433451</v>
      </c>
    </row>
    <row r="4" spans="2:13" x14ac:dyDescent="0.25">
      <c r="B4" s="18" t="s">
        <v>2</v>
      </c>
      <c r="C4" s="19" cm="1">
        <f t="array" ref="C4">_FV(C3,"Price")</f>
        <v>137.01</v>
      </c>
      <c r="D4" s="20"/>
      <c r="F4" s="45" t="s">
        <v>56</v>
      </c>
      <c r="G4" s="46">
        <f>DCF!AU32</f>
        <v>-0.01</v>
      </c>
      <c r="H4" s="2"/>
      <c r="I4" s="45" t="s">
        <v>56</v>
      </c>
      <c r="J4" s="46">
        <f>DCF!AX32</f>
        <v>-0.01</v>
      </c>
      <c r="L4" s="37" t="s">
        <v>138</v>
      </c>
      <c r="M4" s="43">
        <f>C4</f>
        <v>137.01</v>
      </c>
    </row>
    <row r="5" spans="2:13" x14ac:dyDescent="0.25">
      <c r="B5" s="18" t="s">
        <v>3</v>
      </c>
      <c r="C5" s="7">
        <v>462.5</v>
      </c>
      <c r="D5" s="52" t="s">
        <v>140</v>
      </c>
      <c r="F5" s="45" t="s">
        <v>57</v>
      </c>
      <c r="G5" s="46">
        <f>WACC!C18</f>
        <v>5.2594931202662842E-2</v>
      </c>
      <c r="H5" s="2"/>
      <c r="I5" s="45" t="s">
        <v>57</v>
      </c>
      <c r="J5" s="46">
        <f>DCF!AX33</f>
        <v>5.2594931202662842E-2</v>
      </c>
      <c r="L5" s="37" t="s">
        <v>63</v>
      </c>
      <c r="M5" s="4">
        <f>(M3-M4)/M4</f>
        <v>0.87010110600930246</v>
      </c>
    </row>
    <row r="6" spans="2:13" x14ac:dyDescent="0.25">
      <c r="B6" s="18" t="s">
        <v>5</v>
      </c>
      <c r="C6" s="7">
        <f>C5*C4</f>
        <v>63367.124999999993</v>
      </c>
      <c r="D6" s="21"/>
      <c r="F6" s="45" t="s">
        <v>58</v>
      </c>
      <c r="G6" s="47">
        <f>NPV(G5,DCF!AM25:PL25)</f>
        <v>73529.221145438161</v>
      </c>
      <c r="H6" s="2"/>
      <c r="I6" s="45" t="s">
        <v>58</v>
      </c>
      <c r="J6" s="47">
        <f>NPV(J5,DCF!AM98:PL98)</f>
        <v>194456.63994882128</v>
      </c>
    </row>
    <row r="7" spans="2:13" x14ac:dyDescent="0.25">
      <c r="B7" s="18" t="s">
        <v>6</v>
      </c>
      <c r="C7" s="7">
        <v>954</v>
      </c>
      <c r="D7" s="52" t="s">
        <v>140</v>
      </c>
      <c r="F7" s="45" t="s">
        <v>59</v>
      </c>
      <c r="G7" s="47">
        <f>C7-C8</f>
        <v>-15490</v>
      </c>
      <c r="H7" s="2"/>
      <c r="I7" s="45" t="s">
        <v>59</v>
      </c>
      <c r="J7" s="47">
        <f>C7-C8</f>
        <v>-15490</v>
      </c>
    </row>
    <row r="8" spans="2:13" x14ac:dyDescent="0.25">
      <c r="B8" s="18" t="s">
        <v>7</v>
      </c>
      <c r="C8" s="7">
        <f>2207+14237</f>
        <v>16444</v>
      </c>
      <c r="D8" s="52" t="s">
        <v>140</v>
      </c>
      <c r="F8" s="45" t="s">
        <v>60</v>
      </c>
      <c r="G8" s="47">
        <f>G6+G7</f>
        <v>58039.221145438161</v>
      </c>
      <c r="H8" s="2"/>
      <c r="I8" s="45" t="s">
        <v>60</v>
      </c>
      <c r="J8" s="47">
        <f>J6+J7</f>
        <v>178966.63994882128</v>
      </c>
    </row>
    <row r="9" spans="2:13" x14ac:dyDescent="0.25">
      <c r="B9" s="22" t="s">
        <v>8</v>
      </c>
      <c r="C9" s="23">
        <f>C6-C7+C8</f>
        <v>78857.125</v>
      </c>
      <c r="D9" s="24"/>
      <c r="F9" s="45" t="s">
        <v>61</v>
      </c>
      <c r="G9" s="48">
        <f>G8/C5</f>
        <v>125.49020788202846</v>
      </c>
      <c r="H9" s="2"/>
      <c r="I9" s="45" t="s">
        <v>61</v>
      </c>
      <c r="J9" s="48">
        <f>J8/C5</f>
        <v>386.95489718664061</v>
      </c>
    </row>
    <row r="10" spans="2:13" x14ac:dyDescent="0.25">
      <c r="F10" s="45" t="s">
        <v>62</v>
      </c>
      <c r="G10" s="48">
        <v>163.38</v>
      </c>
      <c r="H10" s="2"/>
      <c r="I10" s="45" t="s">
        <v>62</v>
      </c>
      <c r="J10" s="48">
        <f>C4</f>
        <v>137.01</v>
      </c>
    </row>
    <row r="11" spans="2:13" x14ac:dyDescent="0.25">
      <c r="F11" s="49" t="s">
        <v>63</v>
      </c>
      <c r="G11" s="50">
        <f>(G9-G10)/G10</f>
        <v>-0.23191205850147839</v>
      </c>
      <c r="H11" s="2"/>
      <c r="I11" s="49" t="s">
        <v>63</v>
      </c>
      <c r="J11" s="50">
        <f>(J9-J10)/J10</f>
        <v>1.8242821486507601</v>
      </c>
    </row>
  </sheetData>
  <conditionalFormatting sqref="M5 J11 G11">
    <cfRule type="cellIs" dxfId="7" priority="1" operator="lessThan">
      <formula>0</formula>
    </cfRule>
    <cfRule type="cellIs" dxfId="6" priority="2" operator="greater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A5FFC-C2FB-4DA3-BA4F-61AACB691A05}">
  <dimension ref="A1:PL100"/>
  <sheetViews>
    <sheetView workbookViewId="0">
      <pane xSplit="2" ySplit="2" topLeftCell="AH9" activePane="bottomRight" state="frozen"/>
      <selection pane="topRight" activeCell="C1" sqref="C1"/>
      <selection pane="bottomLeft" activeCell="A3" sqref="A3"/>
      <selection pane="bottomRight" activeCell="AT3" sqref="AT3"/>
    </sheetView>
  </sheetViews>
  <sheetFormatPr defaultColWidth="9.21875" defaultRowHeight="13.8" x14ac:dyDescent="0.25"/>
  <cols>
    <col min="1" max="1" width="9.21875" style="1"/>
    <col min="2" max="2" width="57.77734375" style="1" bestFit="1" customWidth="1"/>
    <col min="3" max="3" width="10.21875" style="1" customWidth="1"/>
    <col min="4" max="4" width="10" style="1" customWidth="1"/>
    <col min="5" max="5" width="11.21875" style="2" bestFit="1" customWidth="1"/>
    <col min="6" max="6" width="9" style="2" bestFit="1" customWidth="1"/>
    <col min="7" max="8" width="9.21875" style="2" bestFit="1" customWidth="1"/>
    <col min="9" max="9" width="10.21875" style="2" bestFit="1" customWidth="1"/>
    <col min="10" max="10" width="9.21875" style="2" bestFit="1" customWidth="1"/>
    <col min="11" max="11" width="9.77734375" style="2" bestFit="1" customWidth="1"/>
    <col min="12" max="13" width="10.21875" style="2" bestFit="1" customWidth="1"/>
    <col min="14" max="14" width="9.21875" style="2" bestFit="1" customWidth="1"/>
    <col min="15" max="15" width="10.21875" style="2" bestFit="1" customWidth="1"/>
    <col min="16" max="16" width="9.21875" style="2" bestFit="1" customWidth="1"/>
    <col min="17" max="17" width="11.21875" style="2" bestFit="1" customWidth="1"/>
    <col min="18" max="18" width="10.21875" style="2" bestFit="1" customWidth="1"/>
    <col min="19" max="19" width="9.21875" style="2" customWidth="1"/>
    <col min="20" max="20" width="10.21875" style="2" bestFit="1" customWidth="1"/>
    <col min="21" max="21" width="11.21875" style="2" bestFit="1" customWidth="1"/>
    <col min="22" max="24" width="10.21875" style="2" bestFit="1" customWidth="1"/>
    <col min="25" max="25" width="10.77734375" style="2" bestFit="1" customWidth="1"/>
    <col min="26" max="26" width="9.6640625" style="2" bestFit="1" customWidth="1"/>
    <col min="27" max="30" width="9.6640625" style="2" customWidth="1"/>
    <col min="31" max="31" width="9.21875" style="2" customWidth="1"/>
    <col min="32" max="34" width="9.21875" style="2"/>
    <col min="35" max="45" width="9.21875" style="2" bestFit="1" customWidth="1"/>
    <col min="46" max="46" width="18.5546875" style="2" bestFit="1" customWidth="1"/>
    <col min="47" max="47" width="10.77734375" style="2" bestFit="1" customWidth="1"/>
    <col min="48" max="48" width="9.21875" style="2" bestFit="1" customWidth="1"/>
    <col min="49" max="49" width="18.5546875" style="2" bestFit="1" customWidth="1"/>
    <col min="50" max="428" width="9.21875" style="2" bestFit="1" customWidth="1"/>
    <col min="429" max="16384" width="9.21875" style="2"/>
  </cols>
  <sheetData>
    <row r="1" spans="1:46" s="1" customFormat="1" x14ac:dyDescent="0.25">
      <c r="B1" s="34"/>
      <c r="C1" s="35">
        <v>42854</v>
      </c>
      <c r="D1" s="5">
        <v>42945</v>
      </c>
      <c r="E1" s="5">
        <v>43036</v>
      </c>
      <c r="F1" s="5">
        <v>43134</v>
      </c>
      <c r="G1" s="5">
        <v>43225</v>
      </c>
      <c r="H1" s="5">
        <v>43316</v>
      </c>
      <c r="I1" s="5">
        <v>43407</v>
      </c>
      <c r="J1" s="5">
        <v>43498</v>
      </c>
      <c r="K1" s="5">
        <v>43589</v>
      </c>
      <c r="L1" s="5">
        <v>43680</v>
      </c>
      <c r="M1" s="5">
        <v>43771</v>
      </c>
      <c r="N1" s="5">
        <v>43862</v>
      </c>
      <c r="O1" s="5">
        <v>43953</v>
      </c>
      <c r="P1" s="5">
        <v>44044</v>
      </c>
      <c r="Q1" s="5">
        <v>44135</v>
      </c>
      <c r="R1" s="5">
        <v>44226</v>
      </c>
      <c r="S1" s="5">
        <v>44317</v>
      </c>
      <c r="T1" s="5">
        <v>44408</v>
      </c>
      <c r="U1" s="5">
        <v>44499</v>
      </c>
      <c r="V1" s="5">
        <v>44590</v>
      </c>
      <c r="W1" s="5">
        <v>44681</v>
      </c>
      <c r="X1" s="5">
        <v>44772</v>
      </c>
      <c r="Y1" s="5">
        <v>44863</v>
      </c>
      <c r="Z1" s="5">
        <v>44954</v>
      </c>
      <c r="AA1" s="5"/>
      <c r="AB1" s="5"/>
      <c r="AC1" s="5"/>
      <c r="AD1" s="5"/>
    </row>
    <row r="2" spans="1:46" s="6" customFormat="1" x14ac:dyDescent="0.25">
      <c r="C2" s="6" t="s">
        <v>32</v>
      </c>
      <c r="D2" s="6" t="s">
        <v>33</v>
      </c>
      <c r="E2" s="7" t="s">
        <v>34</v>
      </c>
      <c r="F2" s="7" t="s">
        <v>35</v>
      </c>
      <c r="G2" s="6" t="s">
        <v>36</v>
      </c>
      <c r="H2" s="6" t="s">
        <v>37</v>
      </c>
      <c r="I2" s="6" t="s">
        <v>38</v>
      </c>
      <c r="J2" s="6" t="s">
        <v>39</v>
      </c>
      <c r="K2" s="6" t="s">
        <v>40</v>
      </c>
      <c r="L2" s="6" t="s">
        <v>41</v>
      </c>
      <c r="M2" s="6" t="s">
        <v>42</v>
      </c>
      <c r="N2" s="6" t="s">
        <v>43</v>
      </c>
      <c r="O2" s="6" t="s">
        <v>44</v>
      </c>
      <c r="P2" s="6" t="s">
        <v>46</v>
      </c>
      <c r="Q2" s="6" t="s">
        <v>45</v>
      </c>
      <c r="R2" s="6" t="s">
        <v>4</v>
      </c>
      <c r="S2" s="25" t="s">
        <v>64</v>
      </c>
      <c r="T2" s="25" t="s">
        <v>65</v>
      </c>
      <c r="U2" s="25" t="s">
        <v>66</v>
      </c>
      <c r="V2" s="25" t="s">
        <v>67</v>
      </c>
      <c r="W2" s="25" t="s">
        <v>68</v>
      </c>
      <c r="X2" s="25" t="s">
        <v>69</v>
      </c>
      <c r="Y2" s="25" t="s">
        <v>70</v>
      </c>
      <c r="Z2" s="25" t="s">
        <v>71</v>
      </c>
      <c r="AA2" s="6" t="s">
        <v>140</v>
      </c>
      <c r="AB2" s="6" t="s">
        <v>141</v>
      </c>
      <c r="AC2" s="7" t="s">
        <v>142</v>
      </c>
      <c r="AD2" s="7" t="s">
        <v>143</v>
      </c>
      <c r="AE2" s="25"/>
      <c r="AF2" s="25"/>
      <c r="AG2" s="25"/>
      <c r="AI2" s="6">
        <v>2017</v>
      </c>
      <c r="AJ2" s="6">
        <v>2018</v>
      </c>
      <c r="AK2" s="6">
        <v>2019</v>
      </c>
      <c r="AL2" s="6">
        <v>2020</v>
      </c>
      <c r="AM2" s="6">
        <v>2021</v>
      </c>
      <c r="AN2" s="6">
        <v>2022</v>
      </c>
      <c r="AO2" s="6">
        <v>2023</v>
      </c>
      <c r="AP2" s="6">
        <v>2024</v>
      </c>
      <c r="AQ2" s="6">
        <v>2025</v>
      </c>
      <c r="AR2" s="6">
        <v>2026</v>
      </c>
      <c r="AS2" s="6">
        <v>2027</v>
      </c>
      <c r="AT2" s="6">
        <v>2028</v>
      </c>
    </row>
    <row r="3" spans="1:46" s="6" customFormat="1" x14ac:dyDescent="0.25">
      <c r="B3" s="30" t="s">
        <v>76</v>
      </c>
      <c r="C3" s="7">
        <v>4051</v>
      </c>
      <c r="D3" s="7">
        <v>3646</v>
      </c>
      <c r="E3" s="7">
        <v>3456</v>
      </c>
      <c r="F3" s="7">
        <f>14662-SUM(C3:E3)</f>
        <v>3509</v>
      </c>
      <c r="G3" s="7">
        <v>3113</v>
      </c>
      <c r="H3" s="7">
        <v>3470</v>
      </c>
      <c r="I3" s="7">
        <v>3219</v>
      </c>
      <c r="J3" s="7">
        <f>15004-SUM(G3:I3)</f>
        <v>5202</v>
      </c>
      <c r="K3" s="7">
        <v>3290</v>
      </c>
      <c r="L3" s="7">
        <v>3656</v>
      </c>
      <c r="M3" s="7">
        <v>3564</v>
      </c>
      <c r="N3" s="7">
        <f>14304-SUM(K3:M3)</f>
        <v>3794</v>
      </c>
      <c r="O3" s="7">
        <v>2619</v>
      </c>
      <c r="P3" s="7">
        <v>4084</v>
      </c>
      <c r="Q3" s="7">
        <v>3927</v>
      </c>
      <c r="R3" s="7">
        <f>14772-SUM(O3:Q3)</f>
        <v>4142</v>
      </c>
      <c r="S3" s="33">
        <v>4269</v>
      </c>
      <c r="T3" s="33">
        <v>4751</v>
      </c>
      <c r="U3" s="33">
        <v>4364</v>
      </c>
      <c r="V3" s="33">
        <f>17931-SUM(S3:U3)</f>
        <v>4547</v>
      </c>
      <c r="W3" s="33">
        <v>4239</v>
      </c>
      <c r="X3" s="33">
        <v>4617</v>
      </c>
      <c r="Y3" s="33">
        <v>4367</v>
      </c>
      <c r="Z3" s="33">
        <f>17646-SUM(W3:Y3)</f>
        <v>4423</v>
      </c>
      <c r="AA3" s="33">
        <v>3967</v>
      </c>
      <c r="AB3" s="33"/>
      <c r="AC3" s="33"/>
      <c r="AD3" s="33"/>
      <c r="AE3" s="25"/>
      <c r="AF3" s="25"/>
      <c r="AG3" s="25"/>
      <c r="AI3" s="7">
        <f>SUM(C3:F3)</f>
        <v>14662</v>
      </c>
      <c r="AJ3" s="7">
        <f>SUM(G3:J3)</f>
        <v>15004</v>
      </c>
      <c r="AK3" s="7">
        <f>SUM(K3:N3)</f>
        <v>14304</v>
      </c>
      <c r="AL3" s="7">
        <f>SUM(O3:R3)</f>
        <v>14772</v>
      </c>
      <c r="AM3" s="7">
        <f>SUM(S3:V3)</f>
        <v>17931</v>
      </c>
      <c r="AN3" s="7">
        <f t="shared" ref="AN3:AN8" si="0">SUM(W3:Z3)</f>
        <v>17646</v>
      </c>
    </row>
    <row r="4" spans="1:46" s="6" customFormat="1" x14ac:dyDescent="0.25">
      <c r="B4" s="30" t="s">
        <v>77</v>
      </c>
      <c r="C4" s="7">
        <v>3452</v>
      </c>
      <c r="D4" s="7">
        <v>4107</v>
      </c>
      <c r="E4" s="7">
        <v>4135</v>
      </c>
      <c r="F4" s="7">
        <f>17025-SUM(C4:E4)</f>
        <v>5331</v>
      </c>
      <c r="G4" s="7">
        <v>4617</v>
      </c>
      <c r="H4" s="7">
        <v>4784</v>
      </c>
      <c r="I4" s="7">
        <v>4788</v>
      </c>
      <c r="J4" s="7">
        <f>17726-SUM(G4:I4)</f>
        <v>3537</v>
      </c>
      <c r="K4" s="7">
        <v>4971</v>
      </c>
      <c r="L4" s="7">
        <v>5076</v>
      </c>
      <c r="M4" s="7">
        <v>5125</v>
      </c>
      <c r="N4" s="7">
        <f>20616-SUM(K4:M4)</f>
        <v>5444</v>
      </c>
      <c r="O4" s="7">
        <v>5911</v>
      </c>
      <c r="P4" s="7">
        <v>6158</v>
      </c>
      <c r="Q4" s="7">
        <v>6103</v>
      </c>
      <c r="R4" s="7">
        <f>24461-SUM(O4:Q4)</f>
        <v>6289</v>
      </c>
      <c r="S4" s="33">
        <v>6364</v>
      </c>
      <c r="T4" s="33">
        <v>6726</v>
      </c>
      <c r="U4" s="33">
        <v>6980</v>
      </c>
      <c r="V4" s="33">
        <f>27268-SUM(S4:U4)</f>
        <v>7198</v>
      </c>
      <c r="W4" s="33">
        <v>7053</v>
      </c>
      <c r="X4" s="33">
        <v>7208</v>
      </c>
      <c r="Y4" s="33">
        <v>7465</v>
      </c>
      <c r="Z4" s="33">
        <f>29575-SUM(W4:Y4)</f>
        <v>7849</v>
      </c>
      <c r="AA4" s="33">
        <v>7682</v>
      </c>
      <c r="AB4" s="33"/>
      <c r="AC4" s="33"/>
      <c r="AD4" s="33"/>
      <c r="AE4" s="25"/>
      <c r="AF4" s="25"/>
      <c r="AG4" s="25"/>
      <c r="AI4" s="7">
        <f t="shared" ref="AI4:AI8" si="1">SUM(C4:F4)</f>
        <v>17025</v>
      </c>
      <c r="AJ4" s="7">
        <f t="shared" ref="AJ4:AJ8" si="2">SUM(G4:J4)</f>
        <v>17726</v>
      </c>
      <c r="AK4" s="7">
        <f t="shared" ref="AK4:AK8" si="3">SUM(K4:N4)</f>
        <v>20616</v>
      </c>
      <c r="AL4" s="7">
        <f t="shared" ref="AL4:AL8" si="4">SUM(O4:R4)</f>
        <v>24461</v>
      </c>
      <c r="AM4" s="7">
        <f>SUM(S4:V4)</f>
        <v>27268</v>
      </c>
      <c r="AN4" s="7">
        <f t="shared" si="0"/>
        <v>29575</v>
      </c>
    </row>
    <row r="5" spans="1:46" s="6" customFormat="1" x14ac:dyDescent="0.25">
      <c r="B5" s="30" t="s">
        <v>78</v>
      </c>
      <c r="C5" s="7">
        <v>3413</v>
      </c>
      <c r="D5" s="7">
        <v>3213</v>
      </c>
      <c r="E5" s="7">
        <v>3442</v>
      </c>
      <c r="F5" s="7">
        <f>14256-SUM(C5:E5)</f>
        <v>4188</v>
      </c>
      <c r="G5" s="7">
        <v>3587</v>
      </c>
      <c r="H5" s="7">
        <v>3372</v>
      </c>
      <c r="I5" s="7">
        <v>3611</v>
      </c>
      <c r="J5" s="7">
        <f>14585-SUM(G5:I5)</f>
        <v>4015</v>
      </c>
      <c r="K5" s="7">
        <v>3722</v>
      </c>
      <c r="L5" s="7">
        <v>3460</v>
      </c>
      <c r="M5" s="7">
        <v>3717</v>
      </c>
      <c r="N5" s="7">
        <f>15039-SUM(K5:M5)</f>
        <v>4140</v>
      </c>
      <c r="O5" s="7">
        <v>4575</v>
      </c>
      <c r="P5" s="7">
        <v>4186</v>
      </c>
      <c r="Q5" s="7">
        <v>4397</v>
      </c>
      <c r="R5" s="7">
        <f>18135-SUM(O5:Q5)</f>
        <v>4977</v>
      </c>
      <c r="S5" s="33">
        <v>4856</v>
      </c>
      <c r="T5" s="33">
        <v>4687</v>
      </c>
      <c r="U5" s="33">
        <v>5074</v>
      </c>
      <c r="V5" s="33">
        <f>20306-SUM(S5:U5)</f>
        <v>5689</v>
      </c>
      <c r="W5" s="33">
        <v>5505</v>
      </c>
      <c r="X5" s="33">
        <v>5268</v>
      </c>
      <c r="Y5" s="33">
        <v>5748</v>
      </c>
      <c r="Z5" s="33">
        <f>22918-SUM(W5:Y5)</f>
        <v>6397</v>
      </c>
      <c r="AA5" s="33">
        <v>5997</v>
      </c>
      <c r="AB5" s="33"/>
      <c r="AC5" s="33"/>
      <c r="AD5" s="33"/>
      <c r="AE5" s="25"/>
      <c r="AF5" s="25"/>
      <c r="AG5" s="25"/>
      <c r="AI5" s="7">
        <f t="shared" si="1"/>
        <v>14256</v>
      </c>
      <c r="AJ5" s="7">
        <f t="shared" si="2"/>
        <v>14585</v>
      </c>
      <c r="AK5" s="7">
        <f t="shared" si="3"/>
        <v>15039</v>
      </c>
      <c r="AL5" s="7">
        <f t="shared" si="4"/>
        <v>18135</v>
      </c>
      <c r="AM5" s="7">
        <f t="shared" ref="AM5:AM8" si="5">SUM(S5:V5)</f>
        <v>20306</v>
      </c>
      <c r="AN5" s="7">
        <f t="shared" si="0"/>
        <v>22918</v>
      </c>
    </row>
    <row r="6" spans="1:46" s="6" customFormat="1" x14ac:dyDescent="0.25">
      <c r="B6" s="30" t="s">
        <v>79</v>
      </c>
      <c r="C6" s="7">
        <v>2747</v>
      </c>
      <c r="D6" s="7">
        <v>2311</v>
      </c>
      <c r="E6" s="7">
        <v>2278</v>
      </c>
      <c r="F6" s="7">
        <f>12062-SUM(C6:E6)</f>
        <v>4726</v>
      </c>
      <c r="G6" s="7">
        <v>2313</v>
      </c>
      <c r="H6" s="7">
        <v>2501</v>
      </c>
      <c r="I6" s="7">
        <v>2478</v>
      </c>
      <c r="J6" s="7">
        <f>12709-SUM(G6:I6)</f>
        <v>5417</v>
      </c>
      <c r="K6" s="7">
        <v>2385</v>
      </c>
      <c r="L6" s="7">
        <v>2503</v>
      </c>
      <c r="M6" s="7">
        <v>2460</v>
      </c>
      <c r="N6" s="7">
        <f>12595-SUM(K6:M6)</f>
        <v>5247</v>
      </c>
      <c r="O6" s="7">
        <v>2974</v>
      </c>
      <c r="P6" s="7">
        <v>3608</v>
      </c>
      <c r="Q6" s="7">
        <v>3377</v>
      </c>
      <c r="R6" s="7">
        <f>16626-SUM(O6:Q6)</f>
        <v>6667</v>
      </c>
      <c r="S6" s="33">
        <v>3946</v>
      </c>
      <c r="T6" s="33">
        <v>3867</v>
      </c>
      <c r="U6" s="33">
        <v>3841</v>
      </c>
      <c r="V6" s="33">
        <f>18614-SUM(S6:U6)</f>
        <v>6960</v>
      </c>
      <c r="W6" s="33">
        <v>3713</v>
      </c>
      <c r="X6" s="33">
        <v>3866</v>
      </c>
      <c r="Y6" s="33">
        <v>3665</v>
      </c>
      <c r="Z6" s="33">
        <f>17739-SUM(W6:Y6)</f>
        <v>6495</v>
      </c>
      <c r="AA6" s="33">
        <v>3391</v>
      </c>
      <c r="AB6" s="33"/>
      <c r="AC6" s="33"/>
      <c r="AD6" s="33"/>
      <c r="AE6" s="25"/>
      <c r="AF6" s="25"/>
      <c r="AG6" s="25"/>
      <c r="AI6" s="7">
        <f t="shared" si="1"/>
        <v>12062</v>
      </c>
      <c r="AJ6" s="7">
        <f t="shared" si="2"/>
        <v>12709</v>
      </c>
      <c r="AK6" s="7">
        <f t="shared" si="3"/>
        <v>12595</v>
      </c>
      <c r="AL6" s="7">
        <f t="shared" si="4"/>
        <v>16626</v>
      </c>
      <c r="AM6" s="7">
        <f t="shared" si="5"/>
        <v>18614</v>
      </c>
      <c r="AN6" s="7">
        <f t="shared" si="0"/>
        <v>17739</v>
      </c>
    </row>
    <row r="7" spans="1:46" s="6" customFormat="1" x14ac:dyDescent="0.25">
      <c r="B7" s="30" t="s">
        <v>80</v>
      </c>
      <c r="C7" s="7">
        <v>2310</v>
      </c>
      <c r="D7" s="7">
        <v>3111</v>
      </c>
      <c r="E7" s="7">
        <v>3316</v>
      </c>
      <c r="F7" s="7">
        <f>13672-SUM(C7:E7)</f>
        <v>4935</v>
      </c>
      <c r="G7" s="7">
        <v>2903</v>
      </c>
      <c r="H7" s="7">
        <v>3402</v>
      </c>
      <c r="I7" s="7">
        <v>3476</v>
      </c>
      <c r="J7" s="7">
        <f>14298-SUM(G7:I7)</f>
        <v>4517</v>
      </c>
      <c r="K7" s="7">
        <v>3001</v>
      </c>
      <c r="L7" s="7">
        <v>3457</v>
      </c>
      <c r="M7" s="7">
        <v>3527</v>
      </c>
      <c r="N7" s="7">
        <f>14430-SUM(K7:M7)</f>
        <v>4445</v>
      </c>
      <c r="O7" s="7">
        <v>3264</v>
      </c>
      <c r="P7" s="7">
        <v>4625</v>
      </c>
      <c r="Q7" s="7">
        <v>4506</v>
      </c>
      <c r="R7" s="7">
        <f>18231-SUM(O7:Q7)</f>
        <v>5836</v>
      </c>
      <c r="S7" s="33">
        <v>4410</v>
      </c>
      <c r="T7" s="33">
        <v>4748</v>
      </c>
      <c r="U7" s="33">
        <v>4989</v>
      </c>
      <c r="V7" s="33">
        <f>20255-SUM(S7:U7)</f>
        <v>6108</v>
      </c>
      <c r="W7" s="33">
        <v>4271</v>
      </c>
      <c r="X7" s="33">
        <v>4647</v>
      </c>
      <c r="Y7" s="33">
        <v>4832</v>
      </c>
      <c r="Z7" s="33">
        <f>19463-SUM(W7:Y7)</f>
        <v>5713</v>
      </c>
      <c r="AA7" s="33">
        <v>3855</v>
      </c>
      <c r="AB7" s="33"/>
      <c r="AC7" s="33"/>
      <c r="AD7" s="33"/>
      <c r="AE7" s="25"/>
      <c r="AF7" s="25"/>
      <c r="AG7" s="25"/>
      <c r="AI7" s="7">
        <f t="shared" si="1"/>
        <v>13672</v>
      </c>
      <c r="AJ7" s="7">
        <f t="shared" si="2"/>
        <v>14298</v>
      </c>
      <c r="AK7" s="7">
        <f t="shared" si="3"/>
        <v>14430</v>
      </c>
      <c r="AL7" s="7">
        <f t="shared" si="4"/>
        <v>18231</v>
      </c>
      <c r="AM7" s="7">
        <f t="shared" si="5"/>
        <v>20255</v>
      </c>
      <c r="AN7" s="7">
        <f t="shared" si="0"/>
        <v>19463</v>
      </c>
    </row>
    <row r="8" spans="1:46" s="6" customFormat="1" x14ac:dyDescent="0.25">
      <c r="B8" s="30" t="s">
        <v>81</v>
      </c>
      <c r="C8" s="7">
        <v>22</v>
      </c>
      <c r="D8" s="7">
        <v>22</v>
      </c>
      <c r="E8" s="7">
        <v>20</v>
      </c>
      <c r="F8" s="7">
        <f>109-SUM(C8:E8)</f>
        <v>45</v>
      </c>
      <c r="G8" s="7">
        <v>23</v>
      </c>
      <c r="H8" s="7">
        <v>23</v>
      </c>
      <c r="I8" s="7">
        <v>18</v>
      </c>
      <c r="J8" s="7">
        <f>111-SUM(G8:I8)</f>
        <v>47</v>
      </c>
      <c r="K8" s="7">
        <v>32</v>
      </c>
      <c r="L8" s="7">
        <v>31</v>
      </c>
      <c r="M8" s="7">
        <v>21</v>
      </c>
      <c r="N8" s="7">
        <f>146-SUM(K8:M8)</f>
        <v>62</v>
      </c>
      <c r="O8" s="7">
        <v>28</v>
      </c>
      <c r="P8" s="7">
        <v>35</v>
      </c>
      <c r="Q8" s="7">
        <v>26</v>
      </c>
      <c r="R8" s="7">
        <f>175-SUM(O8:Q8)</f>
        <v>86</v>
      </c>
      <c r="S8" s="33">
        <v>34</v>
      </c>
      <c r="T8" s="33">
        <v>47</v>
      </c>
      <c r="U8" s="33">
        <v>42</v>
      </c>
      <c r="V8" s="33">
        <f>237-SUM(S8:U8)</f>
        <v>114</v>
      </c>
      <c r="W8" s="33">
        <v>49</v>
      </c>
      <c r="X8" s="33">
        <v>47</v>
      </c>
      <c r="Y8" s="33">
        <v>45</v>
      </c>
      <c r="Z8" s="33">
        <f>247-SUM(W8:Y8)</f>
        <v>106</v>
      </c>
      <c r="AA8" s="33">
        <v>56</v>
      </c>
      <c r="AB8" s="33"/>
      <c r="AC8" s="33"/>
      <c r="AD8" s="33"/>
      <c r="AE8" s="25"/>
      <c r="AF8" s="25"/>
      <c r="AG8" s="25"/>
      <c r="AI8" s="7">
        <f t="shared" si="1"/>
        <v>109</v>
      </c>
      <c r="AJ8" s="7">
        <f t="shared" si="2"/>
        <v>111</v>
      </c>
      <c r="AK8" s="7">
        <f t="shared" si="3"/>
        <v>146</v>
      </c>
      <c r="AL8" s="7">
        <f t="shared" si="4"/>
        <v>175</v>
      </c>
      <c r="AM8" s="7">
        <f t="shared" si="5"/>
        <v>237</v>
      </c>
      <c r="AN8" s="7">
        <f t="shared" si="0"/>
        <v>247</v>
      </c>
    </row>
    <row r="9" spans="1:46" s="31" customFormat="1" x14ac:dyDescent="0.25">
      <c r="B9" s="32" t="s">
        <v>22</v>
      </c>
      <c r="C9" s="12">
        <f t="shared" ref="C9:V9" si="6">SUM(C3:C8)</f>
        <v>15995</v>
      </c>
      <c r="D9" s="12">
        <f t="shared" si="6"/>
        <v>16410</v>
      </c>
      <c r="E9" s="12">
        <f t="shared" si="6"/>
        <v>16647</v>
      </c>
      <c r="F9" s="12">
        <f t="shared" si="6"/>
        <v>22734</v>
      </c>
      <c r="G9" s="12">
        <f t="shared" si="6"/>
        <v>16556</v>
      </c>
      <c r="H9" s="12">
        <f t="shared" si="6"/>
        <v>17552</v>
      </c>
      <c r="I9" s="12">
        <f t="shared" si="6"/>
        <v>17590</v>
      </c>
      <c r="J9" s="12">
        <f t="shared" si="6"/>
        <v>22735</v>
      </c>
      <c r="K9" s="12">
        <f t="shared" si="6"/>
        <v>17401</v>
      </c>
      <c r="L9" s="12">
        <f t="shared" si="6"/>
        <v>18183</v>
      </c>
      <c r="M9" s="12">
        <f t="shared" si="6"/>
        <v>18414</v>
      </c>
      <c r="N9" s="12">
        <f t="shared" si="6"/>
        <v>23132</v>
      </c>
      <c r="O9" s="12">
        <f t="shared" si="6"/>
        <v>19371</v>
      </c>
      <c r="P9" s="12">
        <f t="shared" si="6"/>
        <v>22696</v>
      </c>
      <c r="Q9" s="12">
        <f t="shared" si="6"/>
        <v>22336</v>
      </c>
      <c r="R9" s="12">
        <f t="shared" si="6"/>
        <v>27997</v>
      </c>
      <c r="S9" s="12">
        <f t="shared" si="6"/>
        <v>23879</v>
      </c>
      <c r="T9" s="12">
        <f t="shared" si="6"/>
        <v>24826</v>
      </c>
      <c r="U9" s="12">
        <f t="shared" si="6"/>
        <v>25290</v>
      </c>
      <c r="V9" s="12">
        <f t="shared" si="6"/>
        <v>30616</v>
      </c>
      <c r="W9" s="12">
        <f>SUM(W3:W8)</f>
        <v>24830</v>
      </c>
      <c r="X9" s="12">
        <f>SUM(X3:X8)</f>
        <v>25653</v>
      </c>
      <c r="Y9" s="12">
        <f t="shared" ref="Y9:AA9" si="7">SUM(Y3:Y8)</f>
        <v>26122</v>
      </c>
      <c r="Z9" s="12">
        <f t="shared" si="7"/>
        <v>30983</v>
      </c>
      <c r="AA9" s="12">
        <f t="shared" si="7"/>
        <v>24948</v>
      </c>
      <c r="AB9" s="12">
        <f>AA9*1.05</f>
        <v>26195.4</v>
      </c>
      <c r="AC9" s="12">
        <f>AB9*1.05</f>
        <v>27505.170000000002</v>
      </c>
      <c r="AD9" s="12">
        <f>AC9*1.09</f>
        <v>29980.635300000005</v>
      </c>
      <c r="AI9" s="12">
        <f t="shared" ref="AI9:AM9" si="8">SUM(AI3:AI8)</f>
        <v>71786</v>
      </c>
      <c r="AJ9" s="12">
        <f t="shared" si="8"/>
        <v>74433</v>
      </c>
      <c r="AK9" s="12">
        <f t="shared" si="8"/>
        <v>77130</v>
      </c>
      <c r="AL9" s="12">
        <f t="shared" si="8"/>
        <v>92400</v>
      </c>
      <c r="AM9" s="12">
        <f t="shared" si="8"/>
        <v>104611</v>
      </c>
      <c r="AN9" s="12">
        <f>SUM(AN3:AN8)</f>
        <v>107588</v>
      </c>
    </row>
    <row r="10" spans="1:46" s="6" customFormat="1" x14ac:dyDescent="0.25">
      <c r="B10" s="30"/>
      <c r="C10" s="7"/>
      <c r="D10" s="7"/>
      <c r="E10" s="7"/>
      <c r="F10" s="7"/>
      <c r="G10" s="7"/>
      <c r="H10" s="7"/>
      <c r="I10" s="7"/>
      <c r="J10" s="7"/>
      <c r="K10" s="7"/>
      <c r="L10" s="7"/>
      <c r="M10" s="7"/>
      <c r="N10" s="7"/>
      <c r="O10" s="7"/>
      <c r="P10" s="7"/>
      <c r="Q10" s="7"/>
      <c r="R10" s="7"/>
      <c r="S10" s="33"/>
      <c r="T10" s="33"/>
      <c r="U10" s="33"/>
      <c r="V10" s="33"/>
      <c r="W10" s="33"/>
      <c r="X10" s="33"/>
      <c r="Y10" s="33"/>
      <c r="Z10" s="33"/>
      <c r="AA10" s="33"/>
      <c r="AB10" s="33"/>
      <c r="AC10" s="33"/>
      <c r="AD10" s="33"/>
      <c r="AE10" s="25"/>
      <c r="AF10" s="25"/>
      <c r="AG10" s="25"/>
    </row>
    <row r="11" spans="1:46" s="6" customFormat="1" x14ac:dyDescent="0.25">
      <c r="B11" s="30" t="s">
        <v>82</v>
      </c>
      <c r="C11" s="7">
        <v>171</v>
      </c>
      <c r="D11" s="7">
        <v>172</v>
      </c>
      <c r="E11" s="7">
        <v>170</v>
      </c>
      <c r="F11" s="7">
        <f>694-SUM(C11:E11)</f>
        <v>181</v>
      </c>
      <c r="G11" s="7">
        <v>167</v>
      </c>
      <c r="H11" s="7">
        <v>167</v>
      </c>
      <c r="I11" s="7">
        <v>169</v>
      </c>
      <c r="J11" s="7">
        <f>673-SUM(G11:I11)</f>
        <v>170</v>
      </c>
      <c r="K11" s="7">
        <v>160</v>
      </c>
      <c r="L11" s="7">
        <v>168</v>
      </c>
      <c r="M11" s="7">
        <v>177</v>
      </c>
      <c r="N11" s="7">
        <f>680-SUM(K11:M11)</f>
        <v>175</v>
      </c>
      <c r="O11" s="7">
        <v>166</v>
      </c>
      <c r="P11" s="7">
        <v>158</v>
      </c>
      <c r="Q11" s="7">
        <v>164</v>
      </c>
      <c r="R11" s="7">
        <f>666-SUM(O11:Q11)</f>
        <v>178</v>
      </c>
      <c r="S11" s="33">
        <v>171</v>
      </c>
      <c r="T11" s="33">
        <v>172</v>
      </c>
      <c r="U11" s="33">
        <v>184</v>
      </c>
      <c r="V11" s="33">
        <f>710-SUM(S11:U11)</f>
        <v>183</v>
      </c>
      <c r="W11" s="33">
        <v>185</v>
      </c>
      <c r="X11" s="33">
        <v>181</v>
      </c>
      <c r="Y11" s="33">
        <v>184</v>
      </c>
      <c r="Z11" s="33">
        <f>734-SUM(W11:Y11)</f>
        <v>184</v>
      </c>
      <c r="AA11" s="33">
        <v>174</v>
      </c>
      <c r="AB11" s="33"/>
      <c r="AC11" s="33"/>
      <c r="AD11" s="33"/>
      <c r="AE11" s="25"/>
      <c r="AF11" s="25"/>
      <c r="AG11" s="25"/>
      <c r="AI11" s="7">
        <f t="shared" ref="AI11:AI12" si="9">SUM(C11:F11)</f>
        <v>694</v>
      </c>
      <c r="AJ11" s="7">
        <f t="shared" ref="AJ11:AJ12" si="10">SUM(G11:J11)</f>
        <v>673</v>
      </c>
      <c r="AK11" s="7">
        <f t="shared" ref="AK11:AK12" si="11">SUM(K11:N11)</f>
        <v>680</v>
      </c>
      <c r="AL11" s="7">
        <f>SUM(O11:R11)</f>
        <v>666</v>
      </c>
      <c r="AM11" s="7">
        <f>SUM(S11:V11)</f>
        <v>710</v>
      </c>
      <c r="AN11" s="7">
        <f>SUM(W11:Z11)</f>
        <v>734</v>
      </c>
    </row>
    <row r="12" spans="1:46" s="6" customFormat="1" x14ac:dyDescent="0.25">
      <c r="B12" s="30" t="s">
        <v>81</v>
      </c>
      <c r="C12" s="7">
        <v>57</v>
      </c>
      <c r="D12" s="7">
        <v>52</v>
      </c>
      <c r="E12" s="7">
        <v>57</v>
      </c>
      <c r="F12" s="7">
        <f>234-SUM(C12:E12)</f>
        <v>68</v>
      </c>
      <c r="G12" s="7">
        <v>58</v>
      </c>
      <c r="H12" s="7">
        <v>57</v>
      </c>
      <c r="I12" s="7">
        <v>62</v>
      </c>
      <c r="J12" s="7">
        <f>250-SUM(G12:I12)</f>
        <v>73</v>
      </c>
      <c r="K12" s="7">
        <v>66</v>
      </c>
      <c r="L12" s="7">
        <v>71</v>
      </c>
      <c r="M12" s="7">
        <v>74</v>
      </c>
      <c r="N12" s="7">
        <f>302-SUM(K12:M12)</f>
        <v>91</v>
      </c>
      <c r="O12" s="7">
        <v>78</v>
      </c>
      <c r="P12" s="7">
        <v>121</v>
      </c>
      <c r="Q12" s="7">
        <v>132</v>
      </c>
      <c r="R12" s="7">
        <f>495-SUM(O12:Q12)</f>
        <v>164</v>
      </c>
      <c r="S12" s="33">
        <v>147</v>
      </c>
      <c r="T12" s="33">
        <v>162</v>
      </c>
      <c r="U12" s="33">
        <v>178</v>
      </c>
      <c r="V12" s="33">
        <f>684-SUM(S12:U12)</f>
        <v>197</v>
      </c>
      <c r="W12" s="33">
        <v>155</v>
      </c>
      <c r="X12" s="33">
        <v>203</v>
      </c>
      <c r="Y12" s="33">
        <v>212</v>
      </c>
      <c r="Z12" s="33">
        <f>798-SUM(W12:Y12)</f>
        <v>228</v>
      </c>
      <c r="AA12" s="33">
        <v>200</v>
      </c>
      <c r="AB12" s="33"/>
      <c r="AC12" s="33"/>
      <c r="AD12" s="33"/>
      <c r="AE12" s="25"/>
      <c r="AF12" s="25"/>
      <c r="AG12" s="25"/>
      <c r="AI12" s="7">
        <f t="shared" si="9"/>
        <v>234</v>
      </c>
      <c r="AJ12" s="7">
        <f t="shared" si="10"/>
        <v>250</v>
      </c>
      <c r="AK12" s="7">
        <f t="shared" si="11"/>
        <v>302</v>
      </c>
      <c r="AL12" s="7">
        <f>SUM(O12:R12)</f>
        <v>495</v>
      </c>
      <c r="AM12" s="7">
        <f>SUM(S12:V12)</f>
        <v>684</v>
      </c>
      <c r="AN12" s="7">
        <f>SUM(W12:Z12)</f>
        <v>798</v>
      </c>
    </row>
    <row r="13" spans="1:46" s="31" customFormat="1" x14ac:dyDescent="0.25">
      <c r="B13" s="32" t="s">
        <v>83</v>
      </c>
      <c r="C13" s="12">
        <f t="shared" ref="C13:V13" si="12">C11+C12</f>
        <v>228</v>
      </c>
      <c r="D13" s="12">
        <f t="shared" si="12"/>
        <v>224</v>
      </c>
      <c r="E13" s="12">
        <f t="shared" si="12"/>
        <v>227</v>
      </c>
      <c r="F13" s="12">
        <f t="shared" si="12"/>
        <v>249</v>
      </c>
      <c r="G13" s="12">
        <f t="shared" si="12"/>
        <v>225</v>
      </c>
      <c r="H13" s="12">
        <f t="shared" si="12"/>
        <v>224</v>
      </c>
      <c r="I13" s="12">
        <f t="shared" si="12"/>
        <v>231</v>
      </c>
      <c r="J13" s="12">
        <f t="shared" si="12"/>
        <v>243</v>
      </c>
      <c r="K13" s="12">
        <f t="shared" si="12"/>
        <v>226</v>
      </c>
      <c r="L13" s="12">
        <f t="shared" si="12"/>
        <v>239</v>
      </c>
      <c r="M13" s="12">
        <f t="shared" si="12"/>
        <v>251</v>
      </c>
      <c r="N13" s="12">
        <f t="shared" si="12"/>
        <v>266</v>
      </c>
      <c r="O13" s="12">
        <f t="shared" si="12"/>
        <v>244</v>
      </c>
      <c r="P13" s="12">
        <f t="shared" si="12"/>
        <v>279</v>
      </c>
      <c r="Q13" s="12">
        <f t="shared" si="12"/>
        <v>296</v>
      </c>
      <c r="R13" s="12">
        <f t="shared" si="12"/>
        <v>342</v>
      </c>
      <c r="S13" s="12">
        <f t="shared" si="12"/>
        <v>318</v>
      </c>
      <c r="T13" s="12">
        <f t="shared" si="12"/>
        <v>334</v>
      </c>
      <c r="U13" s="12">
        <f t="shared" si="12"/>
        <v>362</v>
      </c>
      <c r="V13" s="12">
        <f t="shared" si="12"/>
        <v>380</v>
      </c>
      <c r="W13" s="12">
        <f>W11+W12</f>
        <v>340</v>
      </c>
      <c r="X13" s="12">
        <f>X11+X12</f>
        <v>384</v>
      </c>
      <c r="Y13" s="12">
        <f t="shared" ref="Y13:AA13" si="13">Y11+Y12</f>
        <v>396</v>
      </c>
      <c r="Z13" s="12">
        <f t="shared" si="13"/>
        <v>412</v>
      </c>
      <c r="AA13" s="12">
        <f t="shared" si="13"/>
        <v>374</v>
      </c>
      <c r="AB13" s="12">
        <f>X13*1.05</f>
        <v>403.20000000000005</v>
      </c>
      <c r="AC13" s="12">
        <f>Y13*1.05</f>
        <v>415.8</v>
      </c>
      <c r="AD13" s="12">
        <f>Z13*1.05</f>
        <v>432.6</v>
      </c>
      <c r="AI13" s="12">
        <f t="shared" ref="AI13:AL13" si="14">AI11+AI12</f>
        <v>928</v>
      </c>
      <c r="AJ13" s="12">
        <f t="shared" si="14"/>
        <v>923</v>
      </c>
      <c r="AK13" s="12">
        <f t="shared" si="14"/>
        <v>982</v>
      </c>
      <c r="AL13" s="12">
        <f t="shared" si="14"/>
        <v>1161</v>
      </c>
      <c r="AM13" s="12">
        <f>AM11+AM12</f>
        <v>1394</v>
      </c>
      <c r="AN13" s="12">
        <f>AN11+AN12</f>
        <v>1532</v>
      </c>
    </row>
    <row r="14" spans="1:46" s="6" customFormat="1" x14ac:dyDescent="0.25">
      <c r="C14" s="7"/>
      <c r="D14" s="7"/>
      <c r="E14" s="7"/>
      <c r="F14" s="7"/>
      <c r="G14" s="7"/>
      <c r="H14" s="7"/>
      <c r="I14" s="7"/>
      <c r="J14" s="7"/>
      <c r="K14" s="7"/>
      <c r="L14" s="7"/>
      <c r="M14" s="7"/>
      <c r="N14" s="7"/>
      <c r="O14" s="7"/>
      <c r="P14" s="7"/>
      <c r="Q14" s="7"/>
      <c r="R14" s="7"/>
      <c r="S14" s="33"/>
      <c r="T14" s="33"/>
      <c r="U14" s="33"/>
      <c r="V14" s="33"/>
      <c r="W14" s="33"/>
      <c r="X14" s="33"/>
      <c r="Y14" s="33"/>
      <c r="Z14" s="33"/>
      <c r="AA14" s="33"/>
      <c r="AB14" s="33"/>
      <c r="AC14" s="33"/>
      <c r="AD14" s="33"/>
      <c r="AE14" s="25"/>
      <c r="AF14" s="25"/>
      <c r="AG14" s="25"/>
    </row>
    <row r="15" spans="1:46" s="9" customFormat="1" x14ac:dyDescent="0.25">
      <c r="A15" s="8"/>
      <c r="B15" s="8" t="s">
        <v>23</v>
      </c>
      <c r="C15" s="9">
        <f t="shared" ref="C15:V15" si="15">C13+C9</f>
        <v>16223</v>
      </c>
      <c r="D15" s="9">
        <f t="shared" si="15"/>
        <v>16634</v>
      </c>
      <c r="E15" s="9">
        <f t="shared" si="15"/>
        <v>16874</v>
      </c>
      <c r="F15" s="9">
        <f t="shared" si="15"/>
        <v>22983</v>
      </c>
      <c r="G15" s="9">
        <f t="shared" si="15"/>
        <v>16781</v>
      </c>
      <c r="H15" s="9">
        <f t="shared" si="15"/>
        <v>17776</v>
      </c>
      <c r="I15" s="9">
        <f t="shared" si="15"/>
        <v>17821</v>
      </c>
      <c r="J15" s="9">
        <f t="shared" si="15"/>
        <v>22978</v>
      </c>
      <c r="K15" s="9">
        <f t="shared" si="15"/>
        <v>17627</v>
      </c>
      <c r="L15" s="9">
        <f t="shared" si="15"/>
        <v>18422</v>
      </c>
      <c r="M15" s="9">
        <f t="shared" si="15"/>
        <v>18665</v>
      </c>
      <c r="N15" s="9">
        <f t="shared" si="15"/>
        <v>23398</v>
      </c>
      <c r="O15" s="9">
        <f t="shared" si="15"/>
        <v>19615</v>
      </c>
      <c r="P15" s="9">
        <f t="shared" si="15"/>
        <v>22975</v>
      </c>
      <c r="Q15" s="9">
        <f t="shared" si="15"/>
        <v>22632</v>
      </c>
      <c r="R15" s="9">
        <f t="shared" si="15"/>
        <v>28339</v>
      </c>
      <c r="S15" s="9">
        <f t="shared" si="15"/>
        <v>24197</v>
      </c>
      <c r="T15" s="9">
        <f t="shared" si="15"/>
        <v>25160</v>
      </c>
      <c r="U15" s="9">
        <f t="shared" si="15"/>
        <v>25652</v>
      </c>
      <c r="V15" s="9">
        <f t="shared" si="15"/>
        <v>30996</v>
      </c>
      <c r="W15" s="9">
        <f>W13+W9</f>
        <v>25170</v>
      </c>
      <c r="X15" s="9">
        <f>X13+X9</f>
        <v>26037</v>
      </c>
      <c r="Y15" s="9">
        <f>Y13+Y9</f>
        <v>26518</v>
      </c>
      <c r="Z15" s="9">
        <f>Z13+Z9</f>
        <v>31395</v>
      </c>
      <c r="AA15" s="9">
        <f t="shared" ref="AA15" si="16">AA13+AA9</f>
        <v>25322</v>
      </c>
      <c r="AB15" s="9">
        <f>AB13+AB9</f>
        <v>26598.600000000002</v>
      </c>
      <c r="AC15" s="9">
        <f>AC13+AC9</f>
        <v>27920.97</v>
      </c>
      <c r="AD15" s="9">
        <f>AD13+AD9</f>
        <v>30413.235300000004</v>
      </c>
      <c r="AI15" s="9">
        <f>AI13+AI9</f>
        <v>72714</v>
      </c>
      <c r="AJ15" s="9">
        <f t="shared" ref="AJ15:AL15" si="17">AJ13+AJ9</f>
        <v>75356</v>
      </c>
      <c r="AK15" s="9">
        <f t="shared" si="17"/>
        <v>78112</v>
      </c>
      <c r="AL15" s="9">
        <f t="shared" si="17"/>
        <v>93561</v>
      </c>
      <c r="AM15" s="9">
        <f>AM13+AM9</f>
        <v>106005</v>
      </c>
      <c r="AN15" s="9">
        <f>AN13+AN9</f>
        <v>109120</v>
      </c>
      <c r="AO15" s="9">
        <f>SUM(AA15:AD15)</f>
        <v>110254.80530000001</v>
      </c>
      <c r="AP15" s="9">
        <f>AO15*1.03</f>
        <v>113562.44945900001</v>
      </c>
      <c r="AQ15" s="9">
        <f>AP15*1.04</f>
        <v>118104.94743736001</v>
      </c>
    </row>
    <row r="16" spans="1:46" x14ac:dyDescent="0.25">
      <c r="B16" s="1" t="s">
        <v>24</v>
      </c>
      <c r="C16" s="2">
        <v>11199</v>
      </c>
      <c r="D16" s="2">
        <v>11419</v>
      </c>
      <c r="E16" s="2">
        <v>11712</v>
      </c>
      <c r="F16" s="2">
        <v>16795</v>
      </c>
      <c r="G16" s="2">
        <v>11625</v>
      </c>
      <c r="H16" s="2">
        <v>12239</v>
      </c>
      <c r="I16" s="2">
        <v>12535</v>
      </c>
      <c r="J16" s="2">
        <v>16900</v>
      </c>
      <c r="K16" s="2">
        <v>12248</v>
      </c>
      <c r="L16" s="2">
        <v>12625</v>
      </c>
      <c r="M16" s="2">
        <v>12935</v>
      </c>
      <c r="N16" s="2">
        <v>17056</v>
      </c>
      <c r="O16" s="2">
        <v>14510</v>
      </c>
      <c r="P16" s="2">
        <v>15673</v>
      </c>
      <c r="Q16" s="2">
        <v>15509</v>
      </c>
      <c r="R16" s="2">
        <v>20485</v>
      </c>
      <c r="S16" s="2">
        <v>16716</v>
      </c>
      <c r="T16" s="2">
        <v>17280</v>
      </c>
      <c r="U16" s="2">
        <v>18206</v>
      </c>
      <c r="V16" s="2">
        <v>22761</v>
      </c>
      <c r="W16" s="2">
        <v>18461</v>
      </c>
      <c r="X16" s="2">
        <v>20142</v>
      </c>
      <c r="Y16" s="2">
        <v>19680</v>
      </c>
      <c r="Z16" s="2">
        <v>23946</v>
      </c>
      <c r="AA16" s="2">
        <v>18386</v>
      </c>
      <c r="AB16" s="2">
        <f>X16*1.05</f>
        <v>21149.100000000002</v>
      </c>
      <c r="AC16" s="2">
        <f t="shared" ref="AC16:AD16" si="18">Y16*1.05</f>
        <v>20664</v>
      </c>
      <c r="AD16" s="2">
        <f t="shared" si="18"/>
        <v>25143.3</v>
      </c>
      <c r="AI16" s="2">
        <f>SUM(C16:F16)</f>
        <v>51125</v>
      </c>
      <c r="AJ16" s="2">
        <f>SUM(G16:J16)</f>
        <v>53299</v>
      </c>
      <c r="AK16" s="2">
        <f>SUM(K16:N16)</f>
        <v>54864</v>
      </c>
      <c r="AL16" s="2">
        <f>SUM(O16:R16)</f>
        <v>66177</v>
      </c>
      <c r="AM16" s="2">
        <f>SUM(S16:V16)</f>
        <v>74963</v>
      </c>
      <c r="AN16" s="2">
        <f>SUM(W16:Z16)</f>
        <v>82229</v>
      </c>
      <c r="AO16" s="2">
        <f>AN16*1.03</f>
        <v>84695.87</v>
      </c>
      <c r="AP16" s="2">
        <f>AO16*1.03</f>
        <v>87236.746100000004</v>
      </c>
      <c r="AQ16" s="2">
        <f>AP16*1.03</f>
        <v>89853.848483000009</v>
      </c>
    </row>
    <row r="17" spans="1:428" x14ac:dyDescent="0.25">
      <c r="B17" s="1" t="s">
        <v>47</v>
      </c>
      <c r="C17" s="2">
        <f>+C15-C16</f>
        <v>5024</v>
      </c>
      <c r="D17" s="2">
        <f t="shared" ref="D17:P17" si="19">+D15-D16</f>
        <v>5215</v>
      </c>
      <c r="E17" s="2">
        <f t="shared" si="19"/>
        <v>5162</v>
      </c>
      <c r="F17" s="2">
        <f t="shared" si="19"/>
        <v>6188</v>
      </c>
      <c r="G17" s="2">
        <f t="shared" si="19"/>
        <v>5156</v>
      </c>
      <c r="H17" s="2">
        <f t="shared" si="19"/>
        <v>5537</v>
      </c>
      <c r="I17" s="2">
        <f t="shared" si="19"/>
        <v>5286</v>
      </c>
      <c r="J17" s="2">
        <f t="shared" si="19"/>
        <v>6078</v>
      </c>
      <c r="K17" s="2">
        <f t="shared" si="19"/>
        <v>5379</v>
      </c>
      <c r="L17" s="2">
        <f t="shared" si="19"/>
        <v>5797</v>
      </c>
      <c r="M17" s="2">
        <f t="shared" si="19"/>
        <v>5730</v>
      </c>
      <c r="N17" s="2">
        <f t="shared" si="19"/>
        <v>6342</v>
      </c>
      <c r="O17" s="2">
        <f t="shared" si="19"/>
        <v>5105</v>
      </c>
      <c r="P17" s="2">
        <f t="shared" si="19"/>
        <v>7302</v>
      </c>
      <c r="Q17" s="2">
        <f t="shared" ref="Q17:AD17" si="20">+Q15-Q16</f>
        <v>7123</v>
      </c>
      <c r="R17" s="2">
        <f t="shared" si="20"/>
        <v>7854</v>
      </c>
      <c r="S17" s="2">
        <f t="shared" si="20"/>
        <v>7481</v>
      </c>
      <c r="T17" s="2">
        <f t="shared" si="20"/>
        <v>7880</v>
      </c>
      <c r="U17" s="2">
        <f t="shared" si="20"/>
        <v>7446</v>
      </c>
      <c r="V17" s="2">
        <f t="shared" si="20"/>
        <v>8235</v>
      </c>
      <c r="W17" s="2">
        <f t="shared" si="20"/>
        <v>6709</v>
      </c>
      <c r="X17" s="2">
        <f t="shared" si="20"/>
        <v>5895</v>
      </c>
      <c r="Y17" s="2">
        <f t="shared" si="20"/>
        <v>6838</v>
      </c>
      <c r="Z17" s="2">
        <f t="shared" si="20"/>
        <v>7449</v>
      </c>
      <c r="AA17" s="2">
        <f t="shared" si="20"/>
        <v>6936</v>
      </c>
      <c r="AB17" s="2">
        <f t="shared" si="20"/>
        <v>5449.5</v>
      </c>
      <c r="AC17" s="2">
        <f t="shared" si="20"/>
        <v>7256.9700000000012</v>
      </c>
      <c r="AD17" s="2">
        <f t="shared" si="20"/>
        <v>5269.9353000000046</v>
      </c>
      <c r="AI17" s="2">
        <f t="shared" ref="AI17:AN17" si="21">+AI15-AI16</f>
        <v>21589</v>
      </c>
      <c r="AJ17" s="2">
        <f t="shared" si="21"/>
        <v>22057</v>
      </c>
      <c r="AK17" s="2">
        <f t="shared" si="21"/>
        <v>23248</v>
      </c>
      <c r="AL17" s="2">
        <f t="shared" si="21"/>
        <v>27384</v>
      </c>
      <c r="AM17" s="2">
        <f t="shared" si="21"/>
        <v>31042</v>
      </c>
      <c r="AN17" s="2">
        <f t="shared" si="21"/>
        <v>26891</v>
      </c>
      <c r="AO17" s="2">
        <f t="shared" ref="AO17:AQ17" si="22">+AO15-AO16</f>
        <v>25558.935300000012</v>
      </c>
      <c r="AP17" s="2">
        <f t="shared" si="22"/>
        <v>26325.703359000006</v>
      </c>
      <c r="AQ17" s="2">
        <f t="shared" si="22"/>
        <v>28251.098954360001</v>
      </c>
    </row>
    <row r="18" spans="1:428" x14ac:dyDescent="0.25">
      <c r="B18" s="1" t="s">
        <v>25</v>
      </c>
      <c r="C18" s="2">
        <v>3353</v>
      </c>
      <c r="D18" s="2">
        <v>3601</v>
      </c>
      <c r="E18" s="2">
        <v>3733</v>
      </c>
      <c r="F18" s="2">
        <v>4454</v>
      </c>
      <c r="G18" s="2">
        <v>3545</v>
      </c>
      <c r="H18" s="2">
        <v>3865</v>
      </c>
      <c r="I18" s="2">
        <v>3937</v>
      </c>
      <c r="J18" s="2">
        <v>4376</v>
      </c>
      <c r="K18" s="2">
        <v>3663</v>
      </c>
      <c r="L18" s="2">
        <v>3912</v>
      </c>
      <c r="M18" s="2">
        <v>4153</v>
      </c>
      <c r="N18" s="2">
        <v>4504</v>
      </c>
      <c r="O18" s="2">
        <v>4060</v>
      </c>
      <c r="P18" s="2">
        <v>4460</v>
      </c>
      <c r="Q18" s="2">
        <v>4647</v>
      </c>
      <c r="R18" s="2">
        <v>5448</v>
      </c>
      <c r="S18" s="2">
        <v>4509</v>
      </c>
      <c r="T18" s="2">
        <v>4849</v>
      </c>
      <c r="U18" s="2">
        <v>4859</v>
      </c>
      <c r="V18" s="2">
        <v>5535</v>
      </c>
      <c r="W18" s="2">
        <v>4762</v>
      </c>
      <c r="X18" s="2">
        <v>5002</v>
      </c>
      <c r="Y18" s="2">
        <v>5219</v>
      </c>
      <c r="Z18" s="2">
        <v>5675</v>
      </c>
      <c r="AA18" s="2">
        <v>5025</v>
      </c>
      <c r="AB18" s="2">
        <f>X18*1.05</f>
        <v>5252.1</v>
      </c>
      <c r="AC18" s="2">
        <f t="shared" ref="AC18:AD18" si="23">Y18*1.05</f>
        <v>5479.95</v>
      </c>
      <c r="AD18" s="2">
        <f t="shared" si="23"/>
        <v>5958.75</v>
      </c>
      <c r="AI18" s="2">
        <f>SUM(C18:F18)</f>
        <v>15141</v>
      </c>
      <c r="AJ18" s="2">
        <f>SUM(G18:J18)</f>
        <v>15723</v>
      </c>
      <c r="AK18" s="2">
        <f>SUM(K18:N18)</f>
        <v>16232</v>
      </c>
      <c r="AL18" s="2">
        <f>SUM(O18:R18)</f>
        <v>18615</v>
      </c>
      <c r="AM18" s="2">
        <f>SUM(S18:V18)</f>
        <v>19752</v>
      </c>
      <c r="AN18" s="2">
        <f>SUM(W18:Z18)</f>
        <v>20658</v>
      </c>
      <c r="AO18" s="2">
        <f>AN18*1.03</f>
        <v>21277.74</v>
      </c>
      <c r="AP18" s="2">
        <f t="shared" ref="AP18:AQ18" si="24">AO18*1.03</f>
        <v>21916.072200000002</v>
      </c>
      <c r="AQ18" s="2">
        <f t="shared" si="24"/>
        <v>22573.554366000004</v>
      </c>
    </row>
    <row r="19" spans="1:428" x14ac:dyDescent="0.25">
      <c r="B19" s="1" t="s">
        <v>26</v>
      </c>
      <c r="C19" s="2">
        <f t="shared" ref="C19:P19" si="25">+C18</f>
        <v>3353</v>
      </c>
      <c r="D19" s="2">
        <f t="shared" si="25"/>
        <v>3601</v>
      </c>
      <c r="E19" s="2">
        <f t="shared" si="25"/>
        <v>3733</v>
      </c>
      <c r="F19" s="2">
        <f t="shared" si="25"/>
        <v>4454</v>
      </c>
      <c r="G19" s="2">
        <f t="shared" si="25"/>
        <v>3545</v>
      </c>
      <c r="H19" s="2">
        <f t="shared" si="25"/>
        <v>3865</v>
      </c>
      <c r="I19" s="2">
        <f t="shared" si="25"/>
        <v>3937</v>
      </c>
      <c r="J19" s="2">
        <f t="shared" si="25"/>
        <v>4376</v>
      </c>
      <c r="K19" s="2">
        <f t="shared" si="25"/>
        <v>3663</v>
      </c>
      <c r="L19" s="2">
        <f t="shared" si="25"/>
        <v>3912</v>
      </c>
      <c r="M19" s="2">
        <f t="shared" si="25"/>
        <v>4153</v>
      </c>
      <c r="N19" s="2">
        <f t="shared" si="25"/>
        <v>4504</v>
      </c>
      <c r="O19" s="2">
        <f t="shared" si="25"/>
        <v>4060</v>
      </c>
      <c r="P19" s="2">
        <f t="shared" si="25"/>
        <v>4460</v>
      </c>
      <c r="Q19" s="2">
        <f t="shared" ref="Q19:W19" si="26">+Q18</f>
        <v>4647</v>
      </c>
      <c r="R19" s="2">
        <f t="shared" si="26"/>
        <v>5448</v>
      </c>
      <c r="S19" s="2">
        <f t="shared" si="26"/>
        <v>4509</v>
      </c>
      <c r="T19" s="2">
        <f t="shared" si="26"/>
        <v>4849</v>
      </c>
      <c r="U19" s="2">
        <f t="shared" si="26"/>
        <v>4859</v>
      </c>
      <c r="V19" s="2">
        <f t="shared" si="26"/>
        <v>5535</v>
      </c>
      <c r="W19" s="2">
        <f t="shared" si="26"/>
        <v>4762</v>
      </c>
      <c r="X19" s="2">
        <f t="shared" ref="X19:Z19" si="27">+X18</f>
        <v>5002</v>
      </c>
      <c r="Y19" s="2">
        <f t="shared" si="27"/>
        <v>5219</v>
      </c>
      <c r="Z19" s="2">
        <f t="shared" si="27"/>
        <v>5675</v>
      </c>
      <c r="AA19" s="2">
        <f t="shared" ref="AA19:AD19" si="28">+AA18</f>
        <v>5025</v>
      </c>
      <c r="AB19" s="2">
        <f t="shared" si="28"/>
        <v>5252.1</v>
      </c>
      <c r="AC19" s="2">
        <f t="shared" si="28"/>
        <v>5479.95</v>
      </c>
      <c r="AD19" s="2">
        <f t="shared" si="28"/>
        <v>5958.75</v>
      </c>
      <c r="AI19" s="2">
        <f t="shared" ref="AI19:AN19" si="29">+AI18</f>
        <v>15141</v>
      </c>
      <c r="AJ19" s="2">
        <f t="shared" si="29"/>
        <v>15723</v>
      </c>
      <c r="AK19" s="2">
        <f t="shared" si="29"/>
        <v>16232</v>
      </c>
      <c r="AL19" s="2">
        <f t="shared" si="29"/>
        <v>18615</v>
      </c>
      <c r="AM19" s="2">
        <f t="shared" si="29"/>
        <v>19752</v>
      </c>
      <c r="AN19" s="2">
        <f t="shared" si="29"/>
        <v>20658</v>
      </c>
      <c r="AO19" s="2">
        <f t="shared" ref="AO19:AQ19" si="30">+AO18</f>
        <v>21277.74</v>
      </c>
      <c r="AP19" s="2">
        <f t="shared" si="30"/>
        <v>21916.072200000002</v>
      </c>
      <c r="AQ19" s="2">
        <f t="shared" si="30"/>
        <v>22573.554366000004</v>
      </c>
    </row>
    <row r="20" spans="1:428" x14ac:dyDescent="0.25">
      <c r="B20" s="1" t="s">
        <v>27</v>
      </c>
      <c r="C20" s="2">
        <f t="shared" ref="C20:P20" si="31">+C17-C19</f>
        <v>1671</v>
      </c>
      <c r="D20" s="2">
        <f t="shared" si="31"/>
        <v>1614</v>
      </c>
      <c r="E20" s="2">
        <f t="shared" si="31"/>
        <v>1429</v>
      </c>
      <c r="F20" s="2">
        <f t="shared" si="31"/>
        <v>1734</v>
      </c>
      <c r="G20" s="2">
        <f t="shared" si="31"/>
        <v>1611</v>
      </c>
      <c r="H20" s="2">
        <f t="shared" si="31"/>
        <v>1672</v>
      </c>
      <c r="I20" s="2">
        <f t="shared" si="31"/>
        <v>1349</v>
      </c>
      <c r="J20" s="2">
        <f t="shared" si="31"/>
        <v>1702</v>
      </c>
      <c r="K20" s="2">
        <f t="shared" si="31"/>
        <v>1716</v>
      </c>
      <c r="L20" s="2">
        <f t="shared" si="31"/>
        <v>1885</v>
      </c>
      <c r="M20" s="2">
        <f t="shared" si="31"/>
        <v>1577</v>
      </c>
      <c r="N20" s="2">
        <f t="shared" si="31"/>
        <v>1838</v>
      </c>
      <c r="O20" s="2">
        <f t="shared" si="31"/>
        <v>1045</v>
      </c>
      <c r="P20" s="2">
        <f t="shared" si="31"/>
        <v>2842</v>
      </c>
      <c r="Q20" s="2">
        <f t="shared" ref="Q20:W20" si="32">+Q17-Q19</f>
        <v>2476</v>
      </c>
      <c r="R20" s="2">
        <f t="shared" si="32"/>
        <v>2406</v>
      </c>
      <c r="S20" s="2">
        <f t="shared" si="32"/>
        <v>2972</v>
      </c>
      <c r="T20" s="2">
        <f t="shared" si="32"/>
        <v>3031</v>
      </c>
      <c r="U20" s="2">
        <f t="shared" si="32"/>
        <v>2587</v>
      </c>
      <c r="V20" s="2">
        <f t="shared" si="32"/>
        <v>2700</v>
      </c>
      <c r="W20" s="2">
        <f t="shared" si="32"/>
        <v>1947</v>
      </c>
      <c r="X20" s="2">
        <f t="shared" ref="X20:Z20" si="33">+X17-X19</f>
        <v>893</v>
      </c>
      <c r="Y20" s="2">
        <f t="shared" si="33"/>
        <v>1619</v>
      </c>
      <c r="Z20" s="2">
        <f t="shared" si="33"/>
        <v>1774</v>
      </c>
      <c r="AA20" s="2">
        <f t="shared" ref="AA20:AD20" si="34">+AA17-AA19</f>
        <v>1911</v>
      </c>
      <c r="AB20" s="2">
        <f t="shared" si="34"/>
        <v>197.39999999999964</v>
      </c>
      <c r="AC20" s="2">
        <f t="shared" si="34"/>
        <v>1777.0200000000013</v>
      </c>
      <c r="AD20" s="2">
        <f t="shared" si="34"/>
        <v>-688.81469999999536</v>
      </c>
      <c r="AI20" s="2">
        <f t="shared" ref="AI20:AN20" si="35">+AI17-AI19</f>
        <v>6448</v>
      </c>
      <c r="AJ20" s="2">
        <f t="shared" si="35"/>
        <v>6334</v>
      </c>
      <c r="AK20" s="2">
        <f t="shared" si="35"/>
        <v>7016</v>
      </c>
      <c r="AL20" s="2">
        <f t="shared" si="35"/>
        <v>8769</v>
      </c>
      <c r="AM20" s="2">
        <f t="shared" si="35"/>
        <v>11290</v>
      </c>
      <c r="AN20" s="2">
        <f t="shared" si="35"/>
        <v>6233</v>
      </c>
      <c r="AO20" s="2">
        <f t="shared" ref="AO20:AQ20" si="36">+AO17-AO19</f>
        <v>4281.1953000000103</v>
      </c>
      <c r="AP20" s="2">
        <f t="shared" si="36"/>
        <v>4409.6311590000041</v>
      </c>
      <c r="AQ20" s="2">
        <f t="shared" si="36"/>
        <v>5677.5445883599969</v>
      </c>
    </row>
    <row r="21" spans="1:428" x14ac:dyDescent="0.25">
      <c r="B21" s="37" t="s">
        <v>110</v>
      </c>
      <c r="C21" s="2">
        <v>140</v>
      </c>
      <c r="D21" s="2">
        <v>131</v>
      </c>
      <c r="E21" s="2">
        <v>251</v>
      </c>
      <c r="F21" s="2">
        <v>131</v>
      </c>
      <c r="G21" s="2">
        <f>121</f>
        <v>121</v>
      </c>
      <c r="H21" s="2">
        <f>115</f>
        <v>115</v>
      </c>
      <c r="I21" s="2">
        <f>115</f>
        <v>115</v>
      </c>
      <c r="J21" s="2">
        <f>110</f>
        <v>110</v>
      </c>
      <c r="K21" s="29">
        <v>126</v>
      </c>
      <c r="L21" s="2">
        <f>120</f>
        <v>120</v>
      </c>
      <c r="M21" s="2">
        <f>113</f>
        <v>113</v>
      </c>
      <c r="N21" s="2">
        <f>118</f>
        <v>118</v>
      </c>
      <c r="O21" s="2">
        <f>117</f>
        <v>117</v>
      </c>
      <c r="P21" s="2">
        <f>122</f>
        <v>122</v>
      </c>
      <c r="Q21" s="2">
        <f>632</f>
        <v>632</v>
      </c>
      <c r="R21" s="2">
        <v>106</v>
      </c>
      <c r="S21" s="2">
        <f>108</f>
        <v>108</v>
      </c>
      <c r="T21" s="2">
        <f>104</f>
        <v>104</v>
      </c>
      <c r="U21" s="2">
        <f>105</f>
        <v>105</v>
      </c>
      <c r="V21" s="2">
        <f>104</f>
        <v>104</v>
      </c>
      <c r="W21" s="2">
        <f>112</f>
        <v>112</v>
      </c>
      <c r="X21" s="2">
        <v>112</v>
      </c>
      <c r="Y21" s="2">
        <v>125</v>
      </c>
      <c r="Z21" s="2">
        <v>129</v>
      </c>
      <c r="AA21" s="2">
        <v>147</v>
      </c>
      <c r="AB21" s="2">
        <f>X21*1.01</f>
        <v>113.12</v>
      </c>
      <c r="AC21" s="2">
        <f t="shared" ref="AC21:AC22" si="37">Y21*1.01</f>
        <v>126.25</v>
      </c>
      <c r="AD21" s="2">
        <f t="shared" ref="AD21:AD22" si="38">Z21*1.01</f>
        <v>130.29</v>
      </c>
      <c r="AI21" s="2">
        <f>SUM(C21:F21)</f>
        <v>653</v>
      </c>
      <c r="AJ21" s="2">
        <f>SUM(G21:J21)</f>
        <v>461</v>
      </c>
      <c r="AK21" s="2">
        <f>SUM(K21:N21)</f>
        <v>477</v>
      </c>
      <c r="AL21" s="2">
        <f>SUM(O21:R21)</f>
        <v>977</v>
      </c>
      <c r="AM21" s="2">
        <f>SUM(S21:V21)</f>
        <v>421</v>
      </c>
      <c r="AN21" s="2">
        <f>SUM(W21:Z21)</f>
        <v>478</v>
      </c>
      <c r="AO21" s="2">
        <v>400</v>
      </c>
      <c r="AP21" s="2">
        <v>400</v>
      </c>
      <c r="AQ21" s="2">
        <v>400</v>
      </c>
    </row>
    <row r="22" spans="1:428" x14ac:dyDescent="0.25">
      <c r="B22" s="28" t="s">
        <v>75</v>
      </c>
      <c r="C22" s="2">
        <f>-15-3</f>
        <v>-18</v>
      </c>
      <c r="D22" s="2">
        <f>-15-1</f>
        <v>-16</v>
      </c>
      <c r="E22" s="2">
        <f>-15-2</f>
        <v>-17</v>
      </c>
      <c r="F22" s="2">
        <f>-14+1</f>
        <v>-13</v>
      </c>
      <c r="G22" s="2">
        <f>-7-1</f>
        <v>-8</v>
      </c>
      <c r="H22" s="2">
        <v>-4</v>
      </c>
      <c r="I22" s="2">
        <f>-9-6</f>
        <v>-15</v>
      </c>
      <c r="J22" s="2">
        <f>-7-1</f>
        <v>-8</v>
      </c>
      <c r="K22" s="2">
        <f>-12-3</f>
        <v>-15</v>
      </c>
      <c r="L22" s="2">
        <v>-13</v>
      </c>
      <c r="M22" s="2">
        <f>-12-8</f>
        <v>-20</v>
      </c>
      <c r="N22" s="2">
        <f>29-1</f>
        <v>28</v>
      </c>
      <c r="O22" s="2">
        <v>22</v>
      </c>
      <c r="P22" s="2">
        <v>-11</v>
      </c>
      <c r="Q22" s="2">
        <v>5</v>
      </c>
      <c r="R22" s="2">
        <v>0</v>
      </c>
      <c r="S22" s="2">
        <v>-343</v>
      </c>
      <c r="T22" s="2">
        <v>-7</v>
      </c>
      <c r="U22" s="2">
        <v>-6</v>
      </c>
      <c r="V22" s="2">
        <v>-26</v>
      </c>
      <c r="W22" s="2">
        <v>-15</v>
      </c>
      <c r="X22" s="2">
        <v>-8</v>
      </c>
      <c r="Y22" s="2">
        <v>-12</v>
      </c>
      <c r="Z22" s="2">
        <v>-13</v>
      </c>
      <c r="AA22" s="2">
        <v>-23</v>
      </c>
      <c r="AB22" s="2">
        <f t="shared" ref="AB22" si="39">X22*1.01</f>
        <v>-8.08</v>
      </c>
      <c r="AC22" s="2">
        <f t="shared" si="37"/>
        <v>-12.120000000000001</v>
      </c>
      <c r="AD22" s="2">
        <f t="shared" si="38"/>
        <v>-13.13</v>
      </c>
      <c r="AI22" s="2">
        <f>SUM(C22:F22)</f>
        <v>-64</v>
      </c>
      <c r="AJ22" s="2">
        <f>SUM(G22:J22)</f>
        <v>-35</v>
      </c>
      <c r="AK22" s="2">
        <f>SUM(K22:N22)</f>
        <v>-20</v>
      </c>
      <c r="AL22" s="2">
        <f>SUM(O22:R22)</f>
        <v>16</v>
      </c>
      <c r="AM22" s="2">
        <f>SUM(S22:V22)</f>
        <v>-382</v>
      </c>
      <c r="AN22" s="2">
        <f>SUM(W22:Z22)</f>
        <v>-48</v>
      </c>
      <c r="AO22" s="2">
        <f>AN22*1.01</f>
        <v>-48.480000000000004</v>
      </c>
      <c r="AP22" s="2">
        <f>AO22*1.01</f>
        <v>-48.964800000000004</v>
      </c>
      <c r="AQ22" s="2">
        <f>AP22*1.01</f>
        <v>-49.454448000000006</v>
      </c>
    </row>
    <row r="23" spans="1:428" x14ac:dyDescent="0.25">
      <c r="B23" s="1" t="s">
        <v>28</v>
      </c>
      <c r="C23" s="2">
        <f>+C20-C21-C22</f>
        <v>1549</v>
      </c>
      <c r="D23" s="2">
        <f t="shared" ref="D23:AQ23" si="40">+D20-D21-D22</f>
        <v>1499</v>
      </c>
      <c r="E23" s="2">
        <f t="shared" si="40"/>
        <v>1195</v>
      </c>
      <c r="F23" s="2">
        <f t="shared" si="40"/>
        <v>1616</v>
      </c>
      <c r="G23" s="2">
        <f t="shared" si="40"/>
        <v>1498</v>
      </c>
      <c r="H23" s="2">
        <f t="shared" si="40"/>
        <v>1561</v>
      </c>
      <c r="I23" s="2">
        <f t="shared" si="40"/>
        <v>1249</v>
      </c>
      <c r="J23" s="2">
        <f t="shared" si="40"/>
        <v>1600</v>
      </c>
      <c r="K23" s="2">
        <f t="shared" si="40"/>
        <v>1605</v>
      </c>
      <c r="L23" s="2">
        <f t="shared" si="40"/>
        <v>1778</v>
      </c>
      <c r="M23" s="2">
        <f t="shared" si="40"/>
        <v>1484</v>
      </c>
      <c r="N23" s="2">
        <f t="shared" si="40"/>
        <v>1692</v>
      </c>
      <c r="O23" s="2">
        <f t="shared" si="40"/>
        <v>906</v>
      </c>
      <c r="P23" s="2">
        <f t="shared" si="40"/>
        <v>2731</v>
      </c>
      <c r="Q23" s="2">
        <f t="shared" si="40"/>
        <v>1839</v>
      </c>
      <c r="R23" s="2">
        <f t="shared" si="40"/>
        <v>2300</v>
      </c>
      <c r="S23" s="2">
        <f t="shared" si="40"/>
        <v>3207</v>
      </c>
      <c r="T23" s="2">
        <f t="shared" si="40"/>
        <v>2934</v>
      </c>
      <c r="U23" s="2">
        <f t="shared" si="40"/>
        <v>2488</v>
      </c>
      <c r="V23" s="2">
        <f t="shared" si="40"/>
        <v>2622</v>
      </c>
      <c r="W23" s="2">
        <f t="shared" si="40"/>
        <v>1850</v>
      </c>
      <c r="X23" s="2">
        <f t="shared" si="40"/>
        <v>789</v>
      </c>
      <c r="Y23" s="2">
        <f t="shared" si="40"/>
        <v>1506</v>
      </c>
      <c r="Z23" s="2">
        <f t="shared" si="40"/>
        <v>1658</v>
      </c>
      <c r="AA23" s="2">
        <f t="shared" si="40"/>
        <v>1787</v>
      </c>
      <c r="AB23" s="2">
        <f t="shared" si="40"/>
        <v>92.35999999999963</v>
      </c>
      <c r="AC23" s="2">
        <f t="shared" si="40"/>
        <v>1662.8900000000012</v>
      </c>
      <c r="AD23" s="2">
        <f t="shared" si="40"/>
        <v>-805.97469999999532</v>
      </c>
      <c r="AI23" s="2">
        <f t="shared" si="40"/>
        <v>5859</v>
      </c>
      <c r="AJ23" s="2">
        <f t="shared" si="40"/>
        <v>5908</v>
      </c>
      <c r="AK23" s="2">
        <f t="shared" si="40"/>
        <v>6559</v>
      </c>
      <c r="AL23" s="2">
        <f t="shared" si="40"/>
        <v>7776</v>
      </c>
      <c r="AM23" s="2">
        <f>+AM20-AM21-AM22</f>
        <v>11251</v>
      </c>
      <c r="AN23" s="2">
        <f>+AN20-AN21-AN22</f>
        <v>5803</v>
      </c>
      <c r="AO23" s="2">
        <f t="shared" si="40"/>
        <v>3929.6753000000103</v>
      </c>
      <c r="AP23" s="2">
        <f t="shared" si="40"/>
        <v>4058.5959590000043</v>
      </c>
      <c r="AQ23" s="2">
        <f t="shared" si="40"/>
        <v>5326.9990363599973</v>
      </c>
    </row>
    <row r="24" spans="1:428" x14ac:dyDescent="0.25">
      <c r="B24" s="1" t="s">
        <v>29</v>
      </c>
      <c r="C24" s="2">
        <v>355</v>
      </c>
      <c r="D24" s="2">
        <v>307</v>
      </c>
      <c r="E24" s="2">
        <v>135</v>
      </c>
      <c r="F24" s="2">
        <v>-76</v>
      </c>
      <c r="G24" s="2">
        <v>210</v>
      </c>
      <c r="H24" s="2">
        <v>223</v>
      </c>
      <c r="I24" s="2">
        <v>97</v>
      </c>
      <c r="J24" s="2">
        <v>216</v>
      </c>
      <c r="K24" s="2">
        <v>229</v>
      </c>
      <c r="L24" s="2">
        <v>279</v>
      </c>
      <c r="M24" s="2">
        <v>195</v>
      </c>
      <c r="N24" s="2">
        <v>218</v>
      </c>
      <c r="O24" s="2">
        <v>45</v>
      </c>
      <c r="P24" s="2">
        <v>499</v>
      </c>
      <c r="Q24" s="2">
        <v>284</v>
      </c>
      <c r="R24" s="2">
        <v>350</v>
      </c>
      <c r="S24" s="2">
        <v>512</v>
      </c>
      <c r="T24" s="2">
        <v>553</v>
      </c>
      <c r="U24" s="2">
        <v>423</v>
      </c>
      <c r="V24" s="2">
        <v>473</v>
      </c>
      <c r="W24" s="2">
        <v>240</v>
      </c>
      <c r="X24" s="2">
        <v>34</v>
      </c>
      <c r="Y24" s="2">
        <v>197</v>
      </c>
      <c r="Z24" s="2">
        <v>167</v>
      </c>
      <c r="AA24" s="2">
        <v>254</v>
      </c>
      <c r="AB24" s="2">
        <f>AB23*0.21</f>
        <v>19.39559999999992</v>
      </c>
      <c r="AC24" s="2">
        <f t="shared" ref="AC24:AD24" si="41">AC23*0.21</f>
        <v>349.20690000000025</v>
      </c>
      <c r="AD24" s="2">
        <f t="shared" si="41"/>
        <v>-169.25468699999902</v>
      </c>
      <c r="AI24" s="2">
        <f>SUM(C24:F24)</f>
        <v>721</v>
      </c>
      <c r="AJ24" s="2">
        <f>SUM(G24:J24)</f>
        <v>746</v>
      </c>
      <c r="AK24" s="2">
        <f>SUM(K24:N24)</f>
        <v>921</v>
      </c>
      <c r="AL24" s="2">
        <f>SUM(O24:R24)</f>
        <v>1178</v>
      </c>
      <c r="AM24" s="2">
        <f>SUM(S24:V24)</f>
        <v>1961</v>
      </c>
      <c r="AN24" s="2">
        <f>SUM(W24:Z24)</f>
        <v>638</v>
      </c>
      <c r="AO24" s="2">
        <f t="shared" ref="AO24:AQ24" si="42">AO23*0.21</f>
        <v>825.23181300000215</v>
      </c>
      <c r="AP24" s="2">
        <f t="shared" si="42"/>
        <v>852.3051513900009</v>
      </c>
      <c r="AQ24" s="2">
        <f t="shared" si="42"/>
        <v>1118.6697976355995</v>
      </c>
    </row>
    <row r="25" spans="1:428" s="9" customFormat="1" x14ac:dyDescent="0.25">
      <c r="A25" s="8"/>
      <c r="B25" s="8" t="s">
        <v>30</v>
      </c>
      <c r="C25" s="9">
        <f t="shared" ref="C25:P25" si="43">+C23-C24</f>
        <v>1194</v>
      </c>
      <c r="D25" s="9">
        <f t="shared" si="43"/>
        <v>1192</v>
      </c>
      <c r="E25" s="9">
        <f t="shared" si="43"/>
        <v>1060</v>
      </c>
      <c r="F25" s="9">
        <f t="shared" si="43"/>
        <v>1692</v>
      </c>
      <c r="G25" s="9">
        <f t="shared" si="43"/>
        <v>1288</v>
      </c>
      <c r="H25" s="9">
        <f t="shared" si="43"/>
        <v>1338</v>
      </c>
      <c r="I25" s="9">
        <f t="shared" si="43"/>
        <v>1152</v>
      </c>
      <c r="J25" s="9">
        <f t="shared" si="43"/>
        <v>1384</v>
      </c>
      <c r="K25" s="9">
        <f t="shared" si="43"/>
        <v>1376</v>
      </c>
      <c r="L25" s="9">
        <f t="shared" si="43"/>
        <v>1499</v>
      </c>
      <c r="M25" s="9">
        <f t="shared" si="43"/>
        <v>1289</v>
      </c>
      <c r="N25" s="9">
        <f t="shared" si="43"/>
        <v>1474</v>
      </c>
      <c r="O25" s="9">
        <f t="shared" si="43"/>
        <v>861</v>
      </c>
      <c r="P25" s="9">
        <f t="shared" si="43"/>
        <v>2232</v>
      </c>
      <c r="Q25" s="9">
        <f t="shared" ref="Q25:AD25" si="44">+Q23-Q24</f>
        <v>1555</v>
      </c>
      <c r="R25" s="9">
        <f t="shared" si="44"/>
        <v>1950</v>
      </c>
      <c r="S25" s="9">
        <f t="shared" si="44"/>
        <v>2695</v>
      </c>
      <c r="T25" s="9">
        <f t="shared" si="44"/>
        <v>2381</v>
      </c>
      <c r="U25" s="9">
        <f t="shared" si="44"/>
        <v>2065</v>
      </c>
      <c r="V25" s="9">
        <f t="shared" si="44"/>
        <v>2149</v>
      </c>
      <c r="W25" s="9">
        <f t="shared" si="44"/>
        <v>1610</v>
      </c>
      <c r="X25" s="9">
        <f t="shared" si="44"/>
        <v>755</v>
      </c>
      <c r="Y25" s="9">
        <f t="shared" si="44"/>
        <v>1309</v>
      </c>
      <c r="Z25" s="9">
        <f t="shared" si="44"/>
        <v>1491</v>
      </c>
      <c r="AA25" s="9">
        <f t="shared" si="44"/>
        <v>1533</v>
      </c>
      <c r="AB25" s="9">
        <f t="shared" si="44"/>
        <v>72.964399999999713</v>
      </c>
      <c r="AC25" s="9">
        <f t="shared" si="44"/>
        <v>1313.6831000000011</v>
      </c>
      <c r="AD25" s="9">
        <f t="shared" si="44"/>
        <v>-636.72001299999624</v>
      </c>
      <c r="AI25" s="9">
        <f t="shared" ref="AI25:AN25" si="45">+AI23-AI24</f>
        <v>5138</v>
      </c>
      <c r="AJ25" s="9">
        <f t="shared" si="45"/>
        <v>5162</v>
      </c>
      <c r="AK25" s="9">
        <f t="shared" si="45"/>
        <v>5638</v>
      </c>
      <c r="AL25" s="9">
        <f t="shared" si="45"/>
        <v>6598</v>
      </c>
      <c r="AM25" s="9">
        <f t="shared" si="45"/>
        <v>9290</v>
      </c>
      <c r="AN25" s="9">
        <f t="shared" si="45"/>
        <v>5165</v>
      </c>
      <c r="AO25" s="9">
        <f t="shared" ref="AO25:AP25" si="46">+AO23-AO24</f>
        <v>3104.4434870000082</v>
      </c>
      <c r="AP25" s="9">
        <f t="shared" si="46"/>
        <v>3206.2908076100034</v>
      </c>
      <c r="AQ25" s="9">
        <f>+AQ23-AQ24</f>
        <v>4208.3292387243982</v>
      </c>
      <c r="AR25" s="9">
        <f t="shared" ref="AR25:DC25" si="47">AQ25*(1+$AU$32)</f>
        <v>4166.2459463371542</v>
      </c>
      <c r="AS25" s="9">
        <f t="shared" si="47"/>
        <v>4124.5834868737829</v>
      </c>
      <c r="AT25" s="9">
        <f t="shared" si="47"/>
        <v>4083.3376520050451</v>
      </c>
      <c r="AU25" s="9">
        <f t="shared" si="47"/>
        <v>4042.5042754849947</v>
      </c>
      <c r="AV25" s="9">
        <f t="shared" si="47"/>
        <v>4002.0792327301447</v>
      </c>
      <c r="AW25" s="9">
        <f t="shared" si="47"/>
        <v>3962.0584404028432</v>
      </c>
      <c r="AX25" s="9">
        <f t="shared" si="47"/>
        <v>3922.4378559988149</v>
      </c>
      <c r="AY25" s="9">
        <f t="shared" si="47"/>
        <v>3883.2134774388269</v>
      </c>
      <c r="AZ25" s="9">
        <f t="shared" si="47"/>
        <v>3844.3813426644388</v>
      </c>
      <c r="BA25" s="9">
        <f t="shared" si="47"/>
        <v>3805.9375292377945</v>
      </c>
      <c r="BB25" s="9">
        <f t="shared" si="47"/>
        <v>3767.8781539454167</v>
      </c>
      <c r="BC25" s="9">
        <f t="shared" si="47"/>
        <v>3730.1993724059625</v>
      </c>
      <c r="BD25" s="9">
        <f t="shared" si="47"/>
        <v>3692.8973786819029</v>
      </c>
      <c r="BE25" s="9">
        <f t="shared" si="47"/>
        <v>3655.9684048950839</v>
      </c>
      <c r="BF25" s="9">
        <f t="shared" si="47"/>
        <v>3619.4087208461333</v>
      </c>
      <c r="BG25" s="9">
        <f t="shared" si="47"/>
        <v>3583.2146336376718</v>
      </c>
      <c r="BH25" s="9">
        <f t="shared" si="47"/>
        <v>3547.382487301295</v>
      </c>
      <c r="BI25" s="9">
        <f t="shared" si="47"/>
        <v>3511.9086624282818</v>
      </c>
      <c r="BJ25" s="9">
        <f t="shared" si="47"/>
        <v>3476.789575803999</v>
      </c>
      <c r="BK25" s="9">
        <f t="shared" si="47"/>
        <v>3442.0216800459589</v>
      </c>
      <c r="BL25" s="9">
        <f t="shared" si="47"/>
        <v>3407.6014632454994</v>
      </c>
      <c r="BM25" s="9">
        <f t="shared" si="47"/>
        <v>3373.5254486130443</v>
      </c>
      <c r="BN25" s="9">
        <f t="shared" si="47"/>
        <v>3339.7901941269138</v>
      </c>
      <c r="BO25" s="9">
        <f t="shared" si="47"/>
        <v>3306.3922921856447</v>
      </c>
      <c r="BP25" s="9">
        <f t="shared" si="47"/>
        <v>3273.3283692637883</v>
      </c>
      <c r="BQ25" s="9">
        <f t="shared" si="47"/>
        <v>3240.5950855711503</v>
      </c>
      <c r="BR25" s="9">
        <f t="shared" si="47"/>
        <v>3208.1891347154387</v>
      </c>
      <c r="BS25" s="9">
        <f t="shared" si="47"/>
        <v>3176.1072433682843</v>
      </c>
      <c r="BT25" s="9">
        <f t="shared" si="47"/>
        <v>3144.3461709346016</v>
      </c>
      <c r="BU25" s="9">
        <f t="shared" si="47"/>
        <v>3112.9027092252554</v>
      </c>
      <c r="BV25" s="9">
        <f t="shared" si="47"/>
        <v>3081.7736821330027</v>
      </c>
      <c r="BW25" s="9">
        <f t="shared" si="47"/>
        <v>3050.9559453116726</v>
      </c>
      <c r="BX25" s="9">
        <f t="shared" si="47"/>
        <v>3020.4463858585559</v>
      </c>
      <c r="BY25" s="9">
        <f t="shared" si="47"/>
        <v>2990.2419219999701</v>
      </c>
      <c r="BZ25" s="9">
        <f t="shared" si="47"/>
        <v>2960.3395027799706</v>
      </c>
      <c r="CA25" s="9">
        <f t="shared" si="47"/>
        <v>2930.7361077521709</v>
      </c>
      <c r="CB25" s="9">
        <f t="shared" si="47"/>
        <v>2901.4287466746491</v>
      </c>
      <c r="CC25" s="9">
        <f t="shared" si="47"/>
        <v>2872.4144592079024</v>
      </c>
      <c r="CD25" s="9">
        <f t="shared" si="47"/>
        <v>2843.6903146158234</v>
      </c>
      <c r="CE25" s="9">
        <f t="shared" si="47"/>
        <v>2815.253411469665</v>
      </c>
      <c r="CF25" s="9">
        <f t="shared" si="47"/>
        <v>2787.1008773549684</v>
      </c>
      <c r="CG25" s="9">
        <f t="shared" si="47"/>
        <v>2759.2298685814185</v>
      </c>
      <c r="CH25" s="9">
        <f t="shared" si="47"/>
        <v>2731.6375698956044</v>
      </c>
      <c r="CI25" s="9">
        <f t="shared" si="47"/>
        <v>2704.3211941966483</v>
      </c>
      <c r="CJ25" s="9">
        <f t="shared" si="47"/>
        <v>2677.2779822546818</v>
      </c>
      <c r="CK25" s="9">
        <f t="shared" si="47"/>
        <v>2650.5052024321349</v>
      </c>
      <c r="CL25" s="9">
        <f t="shared" si="47"/>
        <v>2624.0001504078136</v>
      </c>
      <c r="CM25" s="9">
        <f t="shared" si="47"/>
        <v>2597.7601489037356</v>
      </c>
      <c r="CN25" s="9">
        <f t="shared" si="47"/>
        <v>2571.7825474146985</v>
      </c>
      <c r="CO25" s="9">
        <f t="shared" si="47"/>
        <v>2546.0647219405514</v>
      </c>
      <c r="CP25" s="9">
        <f t="shared" si="47"/>
        <v>2520.6040747211459</v>
      </c>
      <c r="CQ25" s="9">
        <f t="shared" si="47"/>
        <v>2495.3980339739346</v>
      </c>
      <c r="CR25" s="9">
        <f t="shared" si="47"/>
        <v>2470.4440536341954</v>
      </c>
      <c r="CS25" s="9">
        <f t="shared" si="47"/>
        <v>2445.7396130978532</v>
      </c>
      <c r="CT25" s="9">
        <f t="shared" si="47"/>
        <v>2421.2822169668748</v>
      </c>
      <c r="CU25" s="9">
        <f t="shared" si="47"/>
        <v>2397.0693947972059</v>
      </c>
      <c r="CV25" s="9">
        <f t="shared" si="47"/>
        <v>2373.0987008492339</v>
      </c>
      <c r="CW25" s="9">
        <f t="shared" si="47"/>
        <v>2349.3677138407415</v>
      </c>
      <c r="CX25" s="9">
        <f t="shared" si="47"/>
        <v>2325.8740367023343</v>
      </c>
      <c r="CY25" s="9">
        <f t="shared" si="47"/>
        <v>2302.6152963353111</v>
      </c>
      <c r="CZ25" s="9">
        <f t="shared" si="47"/>
        <v>2279.589143371958</v>
      </c>
      <c r="DA25" s="9">
        <f t="shared" si="47"/>
        <v>2256.7932519382384</v>
      </c>
      <c r="DB25" s="9">
        <f t="shared" si="47"/>
        <v>2234.2253194188561</v>
      </c>
      <c r="DC25" s="9">
        <f t="shared" si="47"/>
        <v>2211.8830662246673</v>
      </c>
      <c r="DD25" s="9">
        <f t="shared" ref="DD25:FO25" si="48">DC25*(1+$AU$32)</f>
        <v>2189.7642355624207</v>
      </c>
      <c r="DE25" s="9">
        <f t="shared" si="48"/>
        <v>2167.8665932067966</v>
      </c>
      <c r="DF25" s="9">
        <f t="shared" si="48"/>
        <v>2146.1879272747287</v>
      </c>
      <c r="DG25" s="9">
        <f t="shared" si="48"/>
        <v>2124.7260480019813</v>
      </c>
      <c r="DH25" s="9">
        <f t="shared" si="48"/>
        <v>2103.4787875219613</v>
      </c>
      <c r="DI25" s="9">
        <f t="shared" si="48"/>
        <v>2082.4439996467418</v>
      </c>
      <c r="DJ25" s="9">
        <f t="shared" si="48"/>
        <v>2061.6195596502744</v>
      </c>
      <c r="DK25" s="9">
        <f t="shared" si="48"/>
        <v>2041.0033640537715</v>
      </c>
      <c r="DL25" s="9">
        <f t="shared" si="48"/>
        <v>2020.5933304132338</v>
      </c>
      <c r="DM25" s="9">
        <f t="shared" si="48"/>
        <v>2000.3873971091016</v>
      </c>
      <c r="DN25" s="9">
        <f t="shared" si="48"/>
        <v>1980.3835231380106</v>
      </c>
      <c r="DO25" s="9">
        <f t="shared" si="48"/>
        <v>1960.5796879066304</v>
      </c>
      <c r="DP25" s="9">
        <f t="shared" si="48"/>
        <v>1940.9738910275642</v>
      </c>
      <c r="DQ25" s="9">
        <f t="shared" si="48"/>
        <v>1921.5641521172886</v>
      </c>
      <c r="DR25" s="9">
        <f t="shared" si="48"/>
        <v>1902.3485105961156</v>
      </c>
      <c r="DS25" s="9">
        <f t="shared" si="48"/>
        <v>1883.3250254901545</v>
      </c>
      <c r="DT25" s="9">
        <f t="shared" si="48"/>
        <v>1864.491775235253</v>
      </c>
      <c r="DU25" s="9">
        <f t="shared" si="48"/>
        <v>1845.8468574829005</v>
      </c>
      <c r="DV25" s="9">
        <f t="shared" si="48"/>
        <v>1827.3883889080714</v>
      </c>
      <c r="DW25" s="9">
        <f t="shared" si="48"/>
        <v>1809.1145050189907</v>
      </c>
      <c r="DX25" s="9">
        <f t="shared" si="48"/>
        <v>1791.0233599688008</v>
      </c>
      <c r="DY25" s="9">
        <f t="shared" si="48"/>
        <v>1773.1131263691127</v>
      </c>
      <c r="DZ25" s="9">
        <f t="shared" si="48"/>
        <v>1755.3819951054215</v>
      </c>
      <c r="EA25" s="9">
        <f t="shared" si="48"/>
        <v>1737.8281751543673</v>
      </c>
      <c r="EB25" s="9">
        <f t="shared" si="48"/>
        <v>1720.4498934028236</v>
      </c>
      <c r="EC25" s="9">
        <f t="shared" si="48"/>
        <v>1703.2453944687954</v>
      </c>
      <c r="ED25" s="9">
        <f t="shared" si="48"/>
        <v>1686.2129405241076</v>
      </c>
      <c r="EE25" s="9">
        <f t="shared" si="48"/>
        <v>1669.3508111188664</v>
      </c>
      <c r="EF25" s="9">
        <f t="shared" si="48"/>
        <v>1652.6573030076777</v>
      </c>
      <c r="EG25" s="9">
        <f t="shared" si="48"/>
        <v>1636.1307299776008</v>
      </c>
      <c r="EH25" s="9">
        <f t="shared" si="48"/>
        <v>1619.7694226778249</v>
      </c>
      <c r="EI25" s="9">
        <f t="shared" si="48"/>
        <v>1603.5717284510465</v>
      </c>
      <c r="EJ25" s="9">
        <f t="shared" si="48"/>
        <v>1587.5360111665361</v>
      </c>
      <c r="EK25" s="9">
        <f t="shared" si="48"/>
        <v>1571.6606510548706</v>
      </c>
      <c r="EL25" s="9">
        <f t="shared" si="48"/>
        <v>1555.944044544322</v>
      </c>
      <c r="EM25" s="9">
        <f t="shared" si="48"/>
        <v>1540.3846040988788</v>
      </c>
      <c r="EN25" s="9">
        <f t="shared" si="48"/>
        <v>1524.9807580578899</v>
      </c>
      <c r="EO25" s="9">
        <f t="shared" si="48"/>
        <v>1509.7309504773111</v>
      </c>
      <c r="EP25" s="9">
        <f t="shared" si="48"/>
        <v>1494.6336409725379</v>
      </c>
      <c r="EQ25" s="9">
        <f t="shared" si="48"/>
        <v>1479.6873045628126</v>
      </c>
      <c r="ER25" s="9">
        <f t="shared" si="48"/>
        <v>1464.8904315171844</v>
      </c>
      <c r="ES25" s="9">
        <f t="shared" si="48"/>
        <v>1450.2415272020125</v>
      </c>
      <c r="ET25" s="9">
        <f t="shared" si="48"/>
        <v>1435.7391119299923</v>
      </c>
      <c r="EU25" s="9">
        <f t="shared" si="48"/>
        <v>1421.3817208106923</v>
      </c>
      <c r="EV25" s="9">
        <f t="shared" si="48"/>
        <v>1407.1679036025853</v>
      </c>
      <c r="EW25" s="9">
        <f t="shared" si="48"/>
        <v>1393.0962245665594</v>
      </c>
      <c r="EX25" s="9">
        <f t="shared" si="48"/>
        <v>1379.1652623208938</v>
      </c>
      <c r="EY25" s="9">
        <f t="shared" si="48"/>
        <v>1365.373609697685</v>
      </c>
      <c r="EZ25" s="9">
        <f t="shared" si="48"/>
        <v>1351.7198736007081</v>
      </c>
      <c r="FA25" s="9">
        <f t="shared" si="48"/>
        <v>1338.2026748647011</v>
      </c>
      <c r="FB25" s="9">
        <f t="shared" si="48"/>
        <v>1324.8206481160541</v>
      </c>
      <c r="FC25" s="9">
        <f t="shared" si="48"/>
        <v>1311.5724416348935</v>
      </c>
      <c r="FD25" s="9">
        <f t="shared" si="48"/>
        <v>1298.4567172185446</v>
      </c>
      <c r="FE25" s="9">
        <f t="shared" si="48"/>
        <v>1285.472150046359</v>
      </c>
      <c r="FF25" s="9">
        <f t="shared" si="48"/>
        <v>1272.6174285458953</v>
      </c>
      <c r="FG25" s="9">
        <f t="shared" si="48"/>
        <v>1259.8912542604364</v>
      </c>
      <c r="FH25" s="9">
        <f t="shared" si="48"/>
        <v>1247.292341717832</v>
      </c>
      <c r="FI25" s="9">
        <f t="shared" si="48"/>
        <v>1234.8194183006535</v>
      </c>
      <c r="FJ25" s="9">
        <f t="shared" si="48"/>
        <v>1222.4712241176469</v>
      </c>
      <c r="FK25" s="9">
        <f t="shared" si="48"/>
        <v>1210.2465118764703</v>
      </c>
      <c r="FL25" s="9">
        <f t="shared" si="48"/>
        <v>1198.1440467577056</v>
      </c>
      <c r="FM25" s="9">
        <f t="shared" si="48"/>
        <v>1186.1626062901285</v>
      </c>
      <c r="FN25" s="9">
        <f t="shared" si="48"/>
        <v>1174.3009802272272</v>
      </c>
      <c r="FO25" s="9">
        <f t="shared" si="48"/>
        <v>1162.5579704249549</v>
      </c>
      <c r="FP25" s="9">
        <f t="shared" ref="FP25:IA25" si="49">FO25*(1+$AU$32)</f>
        <v>1150.9323907207054</v>
      </c>
      <c r="FQ25" s="9">
        <f t="shared" si="49"/>
        <v>1139.4230668134983</v>
      </c>
      <c r="FR25" s="9">
        <f t="shared" si="49"/>
        <v>1128.0288361453634</v>
      </c>
      <c r="FS25" s="9">
        <f t="shared" si="49"/>
        <v>1116.7485477839098</v>
      </c>
      <c r="FT25" s="9">
        <f t="shared" si="49"/>
        <v>1105.5810623060706</v>
      </c>
      <c r="FU25" s="9">
        <f t="shared" si="49"/>
        <v>1094.5252516830099</v>
      </c>
      <c r="FV25" s="9">
        <f t="shared" si="49"/>
        <v>1083.5799991661797</v>
      </c>
      <c r="FW25" s="9">
        <f t="shared" si="49"/>
        <v>1072.7441991745179</v>
      </c>
      <c r="FX25" s="9">
        <f t="shared" si="49"/>
        <v>1062.0167571827728</v>
      </c>
      <c r="FY25" s="9">
        <f t="shared" si="49"/>
        <v>1051.3965896109451</v>
      </c>
      <c r="FZ25" s="9">
        <f t="shared" si="49"/>
        <v>1040.8826237148355</v>
      </c>
      <c r="GA25" s="9">
        <f t="shared" si="49"/>
        <v>1030.4737974776872</v>
      </c>
      <c r="GB25" s="9">
        <f t="shared" si="49"/>
        <v>1020.1690595029103</v>
      </c>
      <c r="GC25" s="9">
        <f t="shared" si="49"/>
        <v>1009.9673689078811</v>
      </c>
      <c r="GD25" s="9">
        <f t="shared" si="49"/>
        <v>999.86769521880228</v>
      </c>
      <c r="GE25" s="9">
        <f t="shared" si="49"/>
        <v>989.86901826661426</v>
      </c>
      <c r="GF25" s="9">
        <f t="shared" si="49"/>
        <v>979.97032808394806</v>
      </c>
      <c r="GG25" s="9">
        <f t="shared" si="49"/>
        <v>970.17062480310858</v>
      </c>
      <c r="GH25" s="9">
        <f t="shared" si="49"/>
        <v>960.46891855507749</v>
      </c>
      <c r="GI25" s="9">
        <f t="shared" si="49"/>
        <v>950.8642293695267</v>
      </c>
      <c r="GJ25" s="9">
        <f t="shared" si="49"/>
        <v>941.35558707583141</v>
      </c>
      <c r="GK25" s="9">
        <f t="shared" si="49"/>
        <v>931.94203120507314</v>
      </c>
      <c r="GL25" s="9">
        <f t="shared" si="49"/>
        <v>922.6226108930224</v>
      </c>
      <c r="GM25" s="9">
        <f t="shared" si="49"/>
        <v>913.39638478409222</v>
      </c>
      <c r="GN25" s="9">
        <f t="shared" si="49"/>
        <v>904.26242093625126</v>
      </c>
      <c r="GO25" s="9">
        <f t="shared" si="49"/>
        <v>895.21979672688872</v>
      </c>
      <c r="GP25" s="9">
        <f t="shared" si="49"/>
        <v>886.26759875961977</v>
      </c>
      <c r="GQ25" s="9">
        <f t="shared" si="49"/>
        <v>877.40492277202361</v>
      </c>
      <c r="GR25" s="9">
        <f t="shared" si="49"/>
        <v>868.63087354430331</v>
      </c>
      <c r="GS25" s="9">
        <f t="shared" si="49"/>
        <v>859.94456480886026</v>
      </c>
      <c r="GT25" s="9">
        <f t="shared" si="49"/>
        <v>851.34511916077167</v>
      </c>
      <c r="GU25" s="9">
        <f t="shared" si="49"/>
        <v>842.83166796916396</v>
      </c>
      <c r="GV25" s="9">
        <f t="shared" si="49"/>
        <v>834.40335128947231</v>
      </c>
      <c r="GW25" s="9">
        <f t="shared" si="49"/>
        <v>826.05931777657759</v>
      </c>
      <c r="GX25" s="9">
        <f t="shared" si="49"/>
        <v>817.79872459881176</v>
      </c>
      <c r="GY25" s="9">
        <f t="shared" si="49"/>
        <v>809.62073735282365</v>
      </c>
      <c r="GZ25" s="9">
        <f t="shared" si="49"/>
        <v>801.52452997929538</v>
      </c>
      <c r="HA25" s="9">
        <f t="shared" si="49"/>
        <v>793.50928467950246</v>
      </c>
      <c r="HB25" s="9">
        <f t="shared" si="49"/>
        <v>785.57419183270747</v>
      </c>
      <c r="HC25" s="9">
        <f t="shared" si="49"/>
        <v>777.71844991438036</v>
      </c>
      <c r="HD25" s="9">
        <f t="shared" si="49"/>
        <v>769.94126541523656</v>
      </c>
      <c r="HE25" s="9">
        <f t="shared" si="49"/>
        <v>762.24185276108415</v>
      </c>
      <c r="HF25" s="9">
        <f t="shared" si="49"/>
        <v>754.61943423347327</v>
      </c>
      <c r="HG25" s="9">
        <f t="shared" si="49"/>
        <v>747.07323989113854</v>
      </c>
      <c r="HH25" s="9">
        <f t="shared" si="49"/>
        <v>739.60250749222712</v>
      </c>
      <c r="HI25" s="9">
        <f t="shared" si="49"/>
        <v>732.20648241730487</v>
      </c>
      <c r="HJ25" s="9">
        <f t="shared" si="49"/>
        <v>724.88441759313184</v>
      </c>
      <c r="HK25" s="9">
        <f t="shared" si="49"/>
        <v>717.63557341720048</v>
      </c>
      <c r="HL25" s="9">
        <f t="shared" si="49"/>
        <v>710.45921768302844</v>
      </c>
      <c r="HM25" s="9">
        <f t="shared" si="49"/>
        <v>703.3546255061982</v>
      </c>
      <c r="HN25" s="9">
        <f t="shared" si="49"/>
        <v>696.32107925113621</v>
      </c>
      <c r="HO25" s="9">
        <f t="shared" si="49"/>
        <v>689.35786845862481</v>
      </c>
      <c r="HP25" s="9">
        <f t="shared" si="49"/>
        <v>682.46428977403855</v>
      </c>
      <c r="HQ25" s="9">
        <f t="shared" si="49"/>
        <v>675.63964687629812</v>
      </c>
      <c r="HR25" s="9">
        <f t="shared" si="49"/>
        <v>668.88325040753512</v>
      </c>
      <c r="HS25" s="9">
        <f t="shared" si="49"/>
        <v>662.19441790345979</v>
      </c>
      <c r="HT25" s="9">
        <f t="shared" si="49"/>
        <v>655.57247372442521</v>
      </c>
      <c r="HU25" s="9">
        <f t="shared" si="49"/>
        <v>649.0167489871809</v>
      </c>
      <c r="HV25" s="9">
        <f t="shared" si="49"/>
        <v>642.52658149730905</v>
      </c>
      <c r="HW25" s="9">
        <f t="shared" si="49"/>
        <v>636.10131568233601</v>
      </c>
      <c r="HX25" s="9">
        <f t="shared" si="49"/>
        <v>629.74030252551267</v>
      </c>
      <c r="HY25" s="9">
        <f t="shared" si="49"/>
        <v>623.44289950025757</v>
      </c>
      <c r="HZ25" s="9">
        <f t="shared" si="49"/>
        <v>617.20847050525504</v>
      </c>
      <c r="IA25" s="9">
        <f t="shared" si="49"/>
        <v>611.03638580020242</v>
      </c>
      <c r="IB25" s="9">
        <f t="shared" ref="IB25:KM25" si="50">IA25*(1+$AU$32)</f>
        <v>604.92602194220035</v>
      </c>
      <c r="IC25" s="9">
        <f t="shared" si="50"/>
        <v>598.87676172277838</v>
      </c>
      <c r="ID25" s="9">
        <f t="shared" si="50"/>
        <v>592.88799410555055</v>
      </c>
      <c r="IE25" s="9">
        <f t="shared" si="50"/>
        <v>586.95911416449508</v>
      </c>
      <c r="IF25" s="9">
        <f t="shared" si="50"/>
        <v>581.08952302285013</v>
      </c>
      <c r="IG25" s="9">
        <f t="shared" si="50"/>
        <v>575.27862779262159</v>
      </c>
      <c r="IH25" s="9">
        <f t="shared" si="50"/>
        <v>569.52584151469534</v>
      </c>
      <c r="II25" s="9">
        <f t="shared" si="50"/>
        <v>563.83058309954833</v>
      </c>
      <c r="IJ25" s="9">
        <f t="shared" si="50"/>
        <v>558.19227726855286</v>
      </c>
      <c r="IK25" s="9">
        <f t="shared" si="50"/>
        <v>552.61035449586734</v>
      </c>
      <c r="IL25" s="9">
        <f t="shared" si="50"/>
        <v>547.08425095090865</v>
      </c>
      <c r="IM25" s="9">
        <f t="shared" si="50"/>
        <v>541.61340844139954</v>
      </c>
      <c r="IN25" s="9">
        <f t="shared" si="50"/>
        <v>536.19727435698553</v>
      </c>
      <c r="IO25" s="9">
        <f t="shared" si="50"/>
        <v>530.83530161341571</v>
      </c>
      <c r="IP25" s="9">
        <f t="shared" si="50"/>
        <v>525.5269485972816</v>
      </c>
      <c r="IQ25" s="9">
        <f t="shared" si="50"/>
        <v>520.2716791113088</v>
      </c>
      <c r="IR25" s="9">
        <f t="shared" si="50"/>
        <v>515.06896232019574</v>
      </c>
      <c r="IS25" s="9">
        <f t="shared" si="50"/>
        <v>509.91827269699377</v>
      </c>
      <c r="IT25" s="9">
        <f t="shared" si="50"/>
        <v>504.81908997002381</v>
      </c>
      <c r="IU25" s="9">
        <f t="shared" si="50"/>
        <v>499.77089907032359</v>
      </c>
      <c r="IV25" s="9">
        <f t="shared" si="50"/>
        <v>494.77319007962035</v>
      </c>
      <c r="IW25" s="9">
        <f t="shared" si="50"/>
        <v>489.82545817882414</v>
      </c>
      <c r="IX25" s="9">
        <f t="shared" si="50"/>
        <v>484.92720359703588</v>
      </c>
      <c r="IY25" s="9">
        <f t="shared" si="50"/>
        <v>480.0779315610655</v>
      </c>
      <c r="IZ25" s="9">
        <f t="shared" si="50"/>
        <v>475.27715224545483</v>
      </c>
      <c r="JA25" s="9">
        <f t="shared" si="50"/>
        <v>470.52438072300026</v>
      </c>
      <c r="JB25" s="9">
        <f t="shared" si="50"/>
        <v>465.81913691577023</v>
      </c>
      <c r="JC25" s="9">
        <f t="shared" si="50"/>
        <v>461.16094554661254</v>
      </c>
      <c r="JD25" s="9">
        <f t="shared" si="50"/>
        <v>456.54933609114642</v>
      </c>
      <c r="JE25" s="9">
        <f t="shared" si="50"/>
        <v>451.98384273023493</v>
      </c>
      <c r="JF25" s="9">
        <f t="shared" si="50"/>
        <v>447.46400430293255</v>
      </c>
      <c r="JG25" s="9">
        <f t="shared" si="50"/>
        <v>442.9893642599032</v>
      </c>
      <c r="JH25" s="9">
        <f t="shared" si="50"/>
        <v>438.55947061730416</v>
      </c>
      <c r="JI25" s="9">
        <f t="shared" si="50"/>
        <v>434.17387591113112</v>
      </c>
      <c r="JJ25" s="9">
        <f t="shared" si="50"/>
        <v>429.83213715201981</v>
      </c>
      <c r="JK25" s="9">
        <f t="shared" si="50"/>
        <v>425.53381578049959</v>
      </c>
      <c r="JL25" s="9">
        <f t="shared" si="50"/>
        <v>421.2784776226946</v>
      </c>
      <c r="JM25" s="9">
        <f t="shared" si="50"/>
        <v>417.06569284646764</v>
      </c>
      <c r="JN25" s="9">
        <f t="shared" si="50"/>
        <v>412.89503591800297</v>
      </c>
      <c r="JO25" s="9">
        <f t="shared" si="50"/>
        <v>408.76608555882297</v>
      </c>
      <c r="JP25" s="9">
        <f t="shared" si="50"/>
        <v>404.67842470323473</v>
      </c>
      <c r="JQ25" s="9">
        <f t="shared" si="50"/>
        <v>400.63164045620238</v>
      </c>
      <c r="JR25" s="9">
        <f t="shared" si="50"/>
        <v>396.62532405164035</v>
      </c>
      <c r="JS25" s="9">
        <f t="shared" si="50"/>
        <v>392.65907081112397</v>
      </c>
      <c r="JT25" s="9">
        <f t="shared" si="50"/>
        <v>388.73248010301273</v>
      </c>
      <c r="JU25" s="9">
        <f t="shared" si="50"/>
        <v>384.84515530198263</v>
      </c>
      <c r="JV25" s="9">
        <f t="shared" si="50"/>
        <v>380.99670374896277</v>
      </c>
      <c r="JW25" s="9">
        <f t="shared" si="50"/>
        <v>377.18673671147315</v>
      </c>
      <c r="JX25" s="9">
        <f t="shared" si="50"/>
        <v>373.41486934435841</v>
      </c>
      <c r="JY25" s="9">
        <f t="shared" si="50"/>
        <v>369.68072065091479</v>
      </c>
      <c r="JZ25" s="9">
        <f t="shared" si="50"/>
        <v>365.98391344440563</v>
      </c>
      <c r="KA25" s="9">
        <f t="shared" si="50"/>
        <v>362.32407430996159</v>
      </c>
      <c r="KB25" s="9">
        <f t="shared" si="50"/>
        <v>358.70083356686195</v>
      </c>
      <c r="KC25" s="9">
        <f t="shared" si="50"/>
        <v>355.11382523119335</v>
      </c>
      <c r="KD25" s="9">
        <f t="shared" si="50"/>
        <v>351.5626869788814</v>
      </c>
      <c r="KE25" s="9">
        <f t="shared" si="50"/>
        <v>348.04706010909257</v>
      </c>
      <c r="KF25" s="9">
        <f t="shared" si="50"/>
        <v>344.56658950800164</v>
      </c>
      <c r="KG25" s="9">
        <f t="shared" si="50"/>
        <v>341.12092361292162</v>
      </c>
      <c r="KH25" s="9">
        <f t="shared" si="50"/>
        <v>337.70971437679242</v>
      </c>
      <c r="KI25" s="9">
        <f t="shared" si="50"/>
        <v>334.33261723302451</v>
      </c>
      <c r="KJ25" s="9">
        <f t="shared" si="50"/>
        <v>330.98929106069426</v>
      </c>
      <c r="KK25" s="9">
        <f t="shared" si="50"/>
        <v>327.67939815008731</v>
      </c>
      <c r="KL25" s="9">
        <f t="shared" si="50"/>
        <v>324.40260416858644</v>
      </c>
      <c r="KM25" s="9">
        <f t="shared" si="50"/>
        <v>321.15857812690058</v>
      </c>
      <c r="KN25" s="9">
        <f t="shared" ref="KN25:MY25" si="51">KM25*(1+$AU$32)</f>
        <v>317.94699234563154</v>
      </c>
      <c r="KO25" s="9">
        <f t="shared" si="51"/>
        <v>314.7675224221752</v>
      </c>
      <c r="KP25" s="9">
        <f t="shared" si="51"/>
        <v>311.61984719795345</v>
      </c>
      <c r="KQ25" s="9">
        <f t="shared" si="51"/>
        <v>308.5036487259739</v>
      </c>
      <c r="KR25" s="9">
        <f t="shared" si="51"/>
        <v>305.41861223871416</v>
      </c>
      <c r="KS25" s="9">
        <f t="shared" si="51"/>
        <v>302.36442611632702</v>
      </c>
      <c r="KT25" s="9">
        <f t="shared" si="51"/>
        <v>299.34078185516375</v>
      </c>
      <c r="KU25" s="9">
        <f t="shared" si="51"/>
        <v>296.34737403661211</v>
      </c>
      <c r="KV25" s="9">
        <f t="shared" si="51"/>
        <v>293.383900296246</v>
      </c>
      <c r="KW25" s="9">
        <f t="shared" si="51"/>
        <v>290.45006129328351</v>
      </c>
      <c r="KX25" s="9">
        <f t="shared" si="51"/>
        <v>287.54556068035066</v>
      </c>
      <c r="KY25" s="9">
        <f t="shared" si="51"/>
        <v>284.67010507354718</v>
      </c>
      <c r="KZ25" s="9">
        <f t="shared" si="51"/>
        <v>281.8234040228117</v>
      </c>
      <c r="LA25" s="9">
        <f t="shared" si="51"/>
        <v>279.0051699825836</v>
      </c>
      <c r="LB25" s="9">
        <f t="shared" si="51"/>
        <v>276.21511828275777</v>
      </c>
      <c r="LC25" s="9">
        <f t="shared" si="51"/>
        <v>273.45296709993016</v>
      </c>
      <c r="LD25" s="9">
        <f t="shared" si="51"/>
        <v>270.71843742893088</v>
      </c>
      <c r="LE25" s="9">
        <f t="shared" si="51"/>
        <v>268.0112530546416</v>
      </c>
      <c r="LF25" s="9">
        <f t="shared" si="51"/>
        <v>265.33114052409519</v>
      </c>
      <c r="LG25" s="9">
        <f t="shared" si="51"/>
        <v>262.67782911885422</v>
      </c>
      <c r="LH25" s="9">
        <f t="shared" si="51"/>
        <v>260.05105082766568</v>
      </c>
      <c r="LI25" s="9">
        <f t="shared" si="51"/>
        <v>257.45054031938901</v>
      </c>
      <c r="LJ25" s="9">
        <f t="shared" si="51"/>
        <v>254.87603491619512</v>
      </c>
      <c r="LK25" s="9">
        <f t="shared" si="51"/>
        <v>252.32727456703316</v>
      </c>
      <c r="LL25" s="9">
        <f t="shared" si="51"/>
        <v>249.80400182136282</v>
      </c>
      <c r="LM25" s="9">
        <f t="shared" si="51"/>
        <v>247.30596180314919</v>
      </c>
      <c r="LN25" s="9">
        <f t="shared" si="51"/>
        <v>244.83290218511769</v>
      </c>
      <c r="LO25" s="9">
        <f t="shared" si="51"/>
        <v>242.38457316326651</v>
      </c>
      <c r="LP25" s="9">
        <f t="shared" si="51"/>
        <v>239.96072743163384</v>
      </c>
      <c r="LQ25" s="9">
        <f t="shared" si="51"/>
        <v>237.5611201573175</v>
      </c>
      <c r="LR25" s="9">
        <f t="shared" si="51"/>
        <v>235.18550895574433</v>
      </c>
      <c r="LS25" s="9">
        <f t="shared" si="51"/>
        <v>232.83365386618689</v>
      </c>
      <c r="LT25" s="9">
        <f t="shared" si="51"/>
        <v>230.50531732752503</v>
      </c>
      <c r="LU25" s="9">
        <f t="shared" si="51"/>
        <v>228.20026415424979</v>
      </c>
      <c r="LV25" s="9">
        <f t="shared" si="51"/>
        <v>225.91826151270729</v>
      </c>
      <c r="LW25" s="9">
        <f t="shared" si="51"/>
        <v>223.6590788975802</v>
      </c>
      <c r="LX25" s="9">
        <f t="shared" si="51"/>
        <v>221.4224881086044</v>
      </c>
      <c r="LY25" s="9">
        <f t="shared" si="51"/>
        <v>219.20826322751836</v>
      </c>
      <c r="LZ25" s="9">
        <f t="shared" si="51"/>
        <v>217.01618059524318</v>
      </c>
      <c r="MA25" s="9">
        <f t="shared" si="51"/>
        <v>214.84601878929075</v>
      </c>
      <c r="MB25" s="9">
        <f t="shared" si="51"/>
        <v>212.69755860139784</v>
      </c>
      <c r="MC25" s="9">
        <f t="shared" si="51"/>
        <v>210.57058301538387</v>
      </c>
      <c r="MD25" s="9">
        <f t="shared" si="51"/>
        <v>208.46487718523002</v>
      </c>
      <c r="ME25" s="9">
        <f t="shared" si="51"/>
        <v>206.38022841337772</v>
      </c>
      <c r="MF25" s="9">
        <f t="shared" si="51"/>
        <v>204.31642612924395</v>
      </c>
      <c r="MG25" s="9">
        <f t="shared" si="51"/>
        <v>202.2732618679515</v>
      </c>
      <c r="MH25" s="9">
        <f t="shared" si="51"/>
        <v>200.25052924927198</v>
      </c>
      <c r="MI25" s="9">
        <f t="shared" si="51"/>
        <v>198.24802395677926</v>
      </c>
      <c r="MJ25" s="9">
        <f t="shared" si="51"/>
        <v>196.26554371721147</v>
      </c>
      <c r="MK25" s="9">
        <f t="shared" si="51"/>
        <v>194.30288828003935</v>
      </c>
      <c r="ML25" s="9">
        <f t="shared" si="51"/>
        <v>192.35985939723895</v>
      </c>
      <c r="MM25" s="9">
        <f t="shared" si="51"/>
        <v>190.43626080326655</v>
      </c>
      <c r="MN25" s="9">
        <f t="shared" si="51"/>
        <v>188.53189819523388</v>
      </c>
      <c r="MO25" s="9">
        <f t="shared" si="51"/>
        <v>186.64657921328154</v>
      </c>
      <c r="MP25" s="9">
        <f t="shared" si="51"/>
        <v>184.78011342114871</v>
      </c>
      <c r="MQ25" s="9">
        <f t="shared" si="51"/>
        <v>182.93231228693722</v>
      </c>
      <c r="MR25" s="9">
        <f t="shared" si="51"/>
        <v>181.10298916406785</v>
      </c>
      <c r="MS25" s="9">
        <f t="shared" si="51"/>
        <v>179.29195927242716</v>
      </c>
      <c r="MT25" s="9">
        <f t="shared" si="51"/>
        <v>177.49903967970289</v>
      </c>
      <c r="MU25" s="9">
        <f t="shared" si="51"/>
        <v>175.72404928290587</v>
      </c>
      <c r="MV25" s="9">
        <f t="shared" si="51"/>
        <v>173.96680879007681</v>
      </c>
      <c r="MW25" s="9">
        <f t="shared" si="51"/>
        <v>172.22714070217603</v>
      </c>
      <c r="MX25" s="9">
        <f t="shared" si="51"/>
        <v>170.50486929515426</v>
      </c>
      <c r="MY25" s="9">
        <f t="shared" si="51"/>
        <v>168.79982060220271</v>
      </c>
      <c r="MZ25" s="9">
        <f t="shared" ref="MZ25:PL25" si="52">MY25*(1+$AU$32)</f>
        <v>167.11182239618068</v>
      </c>
      <c r="NA25" s="9">
        <f t="shared" si="52"/>
        <v>165.44070417221889</v>
      </c>
      <c r="NB25" s="9">
        <f t="shared" si="52"/>
        <v>163.78629713049671</v>
      </c>
      <c r="NC25" s="9">
        <f t="shared" si="52"/>
        <v>162.14843415919174</v>
      </c>
      <c r="ND25" s="9">
        <f t="shared" si="52"/>
        <v>160.52694981759981</v>
      </c>
      <c r="NE25" s="9">
        <f t="shared" si="52"/>
        <v>158.92168031942381</v>
      </c>
      <c r="NF25" s="9">
        <f t="shared" si="52"/>
        <v>157.33246351622958</v>
      </c>
      <c r="NG25" s="9">
        <f t="shared" si="52"/>
        <v>155.75913888106729</v>
      </c>
      <c r="NH25" s="9">
        <f t="shared" si="52"/>
        <v>154.20154749225662</v>
      </c>
      <c r="NI25" s="9">
        <f t="shared" si="52"/>
        <v>152.65953201733404</v>
      </c>
      <c r="NJ25" s="9">
        <f t="shared" si="52"/>
        <v>151.13293669716072</v>
      </c>
      <c r="NK25" s="9">
        <f t="shared" si="52"/>
        <v>149.62160733018911</v>
      </c>
      <c r="NL25" s="9">
        <f t="shared" si="52"/>
        <v>148.12539125688721</v>
      </c>
      <c r="NM25" s="9">
        <f t="shared" si="52"/>
        <v>146.64413734431835</v>
      </c>
      <c r="NN25" s="9">
        <f t="shared" si="52"/>
        <v>145.17769597087516</v>
      </c>
      <c r="NO25" s="9">
        <f t="shared" si="52"/>
        <v>143.72591901116641</v>
      </c>
      <c r="NP25" s="9">
        <f t="shared" si="52"/>
        <v>142.28865982105475</v>
      </c>
      <c r="NQ25" s="9">
        <f t="shared" si="52"/>
        <v>140.86577322284421</v>
      </c>
      <c r="NR25" s="9">
        <f t="shared" si="52"/>
        <v>139.45711549061576</v>
      </c>
      <c r="NS25" s="9">
        <f t="shared" si="52"/>
        <v>138.06254433570962</v>
      </c>
      <c r="NT25" s="9">
        <f t="shared" si="52"/>
        <v>136.68191889235251</v>
      </c>
      <c r="NU25" s="9">
        <f t="shared" si="52"/>
        <v>135.31509970342898</v>
      </c>
      <c r="NV25" s="9">
        <f t="shared" si="52"/>
        <v>133.96194870639468</v>
      </c>
      <c r="NW25" s="9">
        <f t="shared" si="52"/>
        <v>132.62232921933074</v>
      </c>
      <c r="NX25" s="9">
        <f t="shared" si="52"/>
        <v>131.29610592713743</v>
      </c>
      <c r="NY25" s="9">
        <f t="shared" si="52"/>
        <v>129.98314486786606</v>
      </c>
      <c r="NZ25" s="9">
        <f t="shared" si="52"/>
        <v>128.68331341918739</v>
      </c>
      <c r="OA25" s="9">
        <f t="shared" si="52"/>
        <v>127.3964802849955</v>
      </c>
      <c r="OB25" s="9">
        <f t="shared" si="52"/>
        <v>126.12251548214554</v>
      </c>
      <c r="OC25" s="9">
        <f t="shared" si="52"/>
        <v>124.86129032732408</v>
      </c>
      <c r="OD25" s="9">
        <f t="shared" si="52"/>
        <v>123.61267742405084</v>
      </c>
      <c r="OE25" s="9">
        <f t="shared" si="52"/>
        <v>122.37655064981034</v>
      </c>
      <c r="OF25" s="9">
        <f t="shared" si="52"/>
        <v>121.15278514331223</v>
      </c>
      <c r="OG25" s="9">
        <f t="shared" si="52"/>
        <v>119.94125729187911</v>
      </c>
      <c r="OH25" s="9">
        <f t="shared" si="52"/>
        <v>118.74184471896032</v>
      </c>
      <c r="OI25" s="9">
        <f t="shared" si="52"/>
        <v>117.55442627177072</v>
      </c>
      <c r="OJ25" s="9">
        <f t="shared" si="52"/>
        <v>116.37888200905302</v>
      </c>
      <c r="OK25" s="9">
        <f t="shared" si="52"/>
        <v>115.21509318896248</v>
      </c>
      <c r="OL25" s="9">
        <f t="shared" si="52"/>
        <v>114.06294225707286</v>
      </c>
      <c r="OM25" s="9">
        <f t="shared" si="52"/>
        <v>112.92231283450214</v>
      </c>
      <c r="ON25" s="9">
        <f t="shared" si="52"/>
        <v>111.79308970615712</v>
      </c>
      <c r="OO25" s="9">
        <f t="shared" si="52"/>
        <v>110.67515880909555</v>
      </c>
      <c r="OP25" s="9">
        <f t="shared" si="52"/>
        <v>109.56840722100459</v>
      </c>
      <c r="OQ25" s="9">
        <f t="shared" si="52"/>
        <v>108.47272314879454</v>
      </c>
      <c r="OR25" s="9">
        <f t="shared" si="52"/>
        <v>107.3879959173066</v>
      </c>
      <c r="OS25" s="9">
        <f t="shared" si="52"/>
        <v>106.31411595813353</v>
      </c>
      <c r="OT25" s="9">
        <f t="shared" si="52"/>
        <v>105.25097479855219</v>
      </c>
      <c r="OU25" s="9">
        <f t="shared" si="52"/>
        <v>104.19846505056667</v>
      </c>
      <c r="OV25" s="9">
        <f t="shared" si="52"/>
        <v>103.156480400061</v>
      </c>
      <c r="OW25" s="9">
        <f t="shared" si="52"/>
        <v>102.12491559606039</v>
      </c>
      <c r="OX25" s="9">
        <f t="shared" si="52"/>
        <v>101.10366644009979</v>
      </c>
      <c r="OY25" s="9">
        <f t="shared" si="52"/>
        <v>100.09262977569878</v>
      </c>
      <c r="OZ25" s="9">
        <f t="shared" si="52"/>
        <v>99.091703477941792</v>
      </c>
      <c r="PA25" s="9">
        <f t="shared" si="52"/>
        <v>98.100786443162377</v>
      </c>
      <c r="PB25" s="9">
        <f t="shared" si="52"/>
        <v>97.119778578730759</v>
      </c>
      <c r="PC25" s="9">
        <f t="shared" si="52"/>
        <v>96.148580792943449</v>
      </c>
      <c r="PD25" s="9">
        <f t="shared" si="52"/>
        <v>95.187094985014014</v>
      </c>
      <c r="PE25" s="9">
        <f t="shared" si="52"/>
        <v>94.235224035163867</v>
      </c>
      <c r="PF25" s="9">
        <f t="shared" si="52"/>
        <v>93.292871794812228</v>
      </c>
      <c r="PG25" s="9">
        <f t="shared" si="52"/>
        <v>92.359943076864099</v>
      </c>
      <c r="PH25" s="9">
        <f t="shared" si="52"/>
        <v>91.436343646095452</v>
      </c>
      <c r="PI25" s="9">
        <f t="shared" si="52"/>
        <v>90.521980209634492</v>
      </c>
      <c r="PJ25" s="9">
        <f t="shared" si="52"/>
        <v>89.616760407538152</v>
      </c>
      <c r="PK25" s="9">
        <f t="shared" si="52"/>
        <v>88.720592803462765</v>
      </c>
      <c r="PL25" s="9">
        <f t="shared" si="52"/>
        <v>87.833386875428133</v>
      </c>
    </row>
    <row r="26" spans="1:428" x14ac:dyDescent="0.25">
      <c r="B26" s="1" t="s">
        <v>3</v>
      </c>
      <c r="C26" s="2">
        <v>555.20000000000005</v>
      </c>
      <c r="D26" s="2">
        <v>551.9</v>
      </c>
      <c r="E26" s="2">
        <v>547.9</v>
      </c>
      <c r="F26" s="2">
        <v>545.9</v>
      </c>
      <c r="G26" s="2">
        <v>541</v>
      </c>
      <c r="H26" s="2">
        <v>536.29999999999995</v>
      </c>
      <c r="I26" s="2">
        <v>531.20000000000005</v>
      </c>
      <c r="J26" s="2">
        <v>524.29999999999995</v>
      </c>
      <c r="K26" s="2">
        <v>519.5</v>
      </c>
      <c r="L26" s="2">
        <v>516.1</v>
      </c>
      <c r="M26" s="2">
        <v>514.79999999999995</v>
      </c>
      <c r="N26" s="2">
        <v>511.9</v>
      </c>
      <c r="O26" s="2">
        <v>505.8</v>
      </c>
      <c r="P26" s="2">
        <v>504.4</v>
      </c>
      <c r="Q26" s="2">
        <v>505.4</v>
      </c>
      <c r="R26" s="2">
        <v>506</v>
      </c>
      <c r="S26" s="2">
        <v>503.4</v>
      </c>
      <c r="T26" s="2">
        <v>497.5</v>
      </c>
      <c r="U26" s="2">
        <v>489.4</v>
      </c>
      <c r="V26" s="2">
        <v>480.6</v>
      </c>
      <c r="W26" s="2">
        <v>467.8</v>
      </c>
      <c r="X26" s="2">
        <v>463.6</v>
      </c>
      <c r="Y26" s="2">
        <v>462.5</v>
      </c>
      <c r="Z26" s="2">
        <v>462.7</v>
      </c>
      <c r="AA26" s="2">
        <v>462.9</v>
      </c>
      <c r="AI26" s="2">
        <f>F26</f>
        <v>545.9</v>
      </c>
      <c r="AJ26" s="2">
        <f>J26</f>
        <v>524.29999999999995</v>
      </c>
      <c r="AK26" s="2">
        <f>N26</f>
        <v>511.9</v>
      </c>
      <c r="AL26" s="2">
        <f>R26</f>
        <v>506</v>
      </c>
      <c r="AM26" s="2">
        <f>V26</f>
        <v>480.6</v>
      </c>
      <c r="AN26" s="2">
        <f>Z26</f>
        <v>462.7</v>
      </c>
      <c r="AO26" s="2">
        <f t="shared" ref="AO26:AQ26" si="53">AN26*0.98</f>
        <v>453.44599999999997</v>
      </c>
      <c r="AP26" s="2">
        <f t="shared" si="53"/>
        <v>444.37707999999998</v>
      </c>
      <c r="AQ26" s="2">
        <f t="shared" si="53"/>
        <v>435.48953839999996</v>
      </c>
    </row>
    <row r="27" spans="1:428" x14ac:dyDescent="0.25">
      <c r="B27" s="1" t="s">
        <v>31</v>
      </c>
      <c r="C27" s="10">
        <f t="shared" ref="C27:AD27" si="54">C25/C26</f>
        <v>2.1505763688760804</v>
      </c>
      <c r="D27" s="10">
        <f t="shared" si="54"/>
        <v>2.1598115600652292</v>
      </c>
      <c r="E27" s="10">
        <f t="shared" si="54"/>
        <v>1.934659609417777</v>
      </c>
      <c r="F27" s="10">
        <f t="shared" si="54"/>
        <v>3.0994687671734753</v>
      </c>
      <c r="G27" s="10">
        <f t="shared" si="54"/>
        <v>2.3807763401109057</v>
      </c>
      <c r="H27" s="10">
        <f t="shared" si="54"/>
        <v>2.4948722729815405</v>
      </c>
      <c r="I27" s="10">
        <f t="shared" si="54"/>
        <v>2.1686746987951806</v>
      </c>
      <c r="J27" s="10">
        <f t="shared" si="54"/>
        <v>2.6397100896433341</v>
      </c>
      <c r="K27" s="10">
        <f t="shared" si="54"/>
        <v>2.6487006737247354</v>
      </c>
      <c r="L27" s="10">
        <f t="shared" si="54"/>
        <v>2.9044758767680681</v>
      </c>
      <c r="M27" s="10">
        <f t="shared" si="54"/>
        <v>2.5038850038850042</v>
      </c>
      <c r="N27" s="10">
        <f t="shared" si="54"/>
        <v>2.8794686462199648</v>
      </c>
      <c r="O27" s="10">
        <f t="shared" si="54"/>
        <v>1.7022538552787663</v>
      </c>
      <c r="P27" s="10">
        <f t="shared" si="54"/>
        <v>4.4250594766058686</v>
      </c>
      <c r="Q27" s="10">
        <f t="shared" si="54"/>
        <v>3.0767708745548084</v>
      </c>
      <c r="R27" s="10">
        <f t="shared" si="54"/>
        <v>3.8537549407114624</v>
      </c>
      <c r="S27" s="10">
        <f t="shared" si="54"/>
        <v>5.3535955502582437</v>
      </c>
      <c r="T27" s="10">
        <f t="shared" si="54"/>
        <v>4.7859296482412059</v>
      </c>
      <c r="U27" s="10">
        <f t="shared" si="54"/>
        <v>4.2194523906824681</v>
      </c>
      <c r="V27" s="10">
        <f t="shared" si="54"/>
        <v>4.4714939658759878</v>
      </c>
      <c r="W27" s="10">
        <f t="shared" si="54"/>
        <v>3.4416417272338604</v>
      </c>
      <c r="X27" s="10">
        <f t="shared" si="54"/>
        <v>1.6285591026747195</v>
      </c>
      <c r="Y27" s="10">
        <f t="shared" si="54"/>
        <v>2.8302702702702702</v>
      </c>
      <c r="Z27" s="10">
        <f t="shared" si="54"/>
        <v>3.2223903177004538</v>
      </c>
      <c r="AA27" s="10">
        <f t="shared" si="54"/>
        <v>3.3117303953337656</v>
      </c>
      <c r="AB27" s="10" t="e">
        <f t="shared" si="54"/>
        <v>#DIV/0!</v>
      </c>
      <c r="AC27" s="10" t="e">
        <f t="shared" si="54"/>
        <v>#DIV/0!</v>
      </c>
      <c r="AD27" s="10" t="e">
        <f t="shared" si="54"/>
        <v>#DIV/0!</v>
      </c>
      <c r="AI27" s="10">
        <f t="shared" ref="AI27:AQ27" si="55">AI25/AI26</f>
        <v>9.411980216156806</v>
      </c>
      <c r="AJ27" s="10">
        <f t="shared" si="55"/>
        <v>9.8455082967766554</v>
      </c>
      <c r="AK27" s="10">
        <f t="shared" si="55"/>
        <v>11.013869896464154</v>
      </c>
      <c r="AL27" s="10">
        <f t="shared" si="55"/>
        <v>13.039525691699605</v>
      </c>
      <c r="AM27" s="10">
        <f t="shared" si="55"/>
        <v>19.330004161464835</v>
      </c>
      <c r="AN27" s="10">
        <f>AN25/AN26</f>
        <v>11.162740436567971</v>
      </c>
      <c r="AO27" s="10">
        <f t="shared" si="55"/>
        <v>6.8463355879200796</v>
      </c>
      <c r="AP27" s="10">
        <f t="shared" si="55"/>
        <v>7.2152479322515992</v>
      </c>
      <c r="AQ27" s="10">
        <f t="shared" si="55"/>
        <v>9.6634450834017986</v>
      </c>
    </row>
    <row r="28" spans="1:428" x14ac:dyDescent="0.25">
      <c r="C28" s="2"/>
    </row>
    <row r="29" spans="1:428" x14ac:dyDescent="0.25">
      <c r="B29" s="28" t="s">
        <v>73</v>
      </c>
      <c r="C29" s="2"/>
      <c r="D29" s="2"/>
    </row>
    <row r="30" spans="1:428" x14ac:dyDescent="0.25">
      <c r="B30" s="28" t="s">
        <v>74</v>
      </c>
    </row>
    <row r="31" spans="1:428" x14ac:dyDescent="0.25">
      <c r="AT31" s="36" t="s">
        <v>109</v>
      </c>
      <c r="AW31" s="36" t="s">
        <v>135</v>
      </c>
    </row>
    <row r="32" spans="1:428" x14ac:dyDescent="0.25">
      <c r="B32" s="1" t="s">
        <v>48</v>
      </c>
      <c r="G32" s="4">
        <f t="shared" ref="G32:P33" si="56">G15/C15-1</f>
        <v>3.4395611169327545E-2</v>
      </c>
      <c r="H32" s="4">
        <f t="shared" si="56"/>
        <v>6.8654562943369024E-2</v>
      </c>
      <c r="I32" s="4">
        <f t="shared" si="56"/>
        <v>5.6121844257437381E-2</v>
      </c>
      <c r="J32" s="4">
        <f t="shared" si="56"/>
        <v>-2.1755210372886857E-4</v>
      </c>
      <c r="K32" s="4">
        <f t="shared" si="56"/>
        <v>5.0414158870150771E-2</v>
      </c>
      <c r="L32" s="4">
        <f t="shared" si="56"/>
        <v>3.6341134113411444E-2</v>
      </c>
      <c r="M32" s="4">
        <f t="shared" si="56"/>
        <v>4.7359856349250773E-2</v>
      </c>
      <c r="N32" s="4">
        <f t="shared" si="56"/>
        <v>1.8278353207415776E-2</v>
      </c>
      <c r="O32" s="4">
        <f t="shared" si="56"/>
        <v>0.11278152833721</v>
      </c>
      <c r="P32" s="4">
        <f t="shared" si="56"/>
        <v>0.247150146563891</v>
      </c>
      <c r="Q32" s="4">
        <f t="shared" ref="Q32:AD33" si="57">Q15/M15-1</f>
        <v>0.21253683364586129</v>
      </c>
      <c r="R32" s="4">
        <f t="shared" si="57"/>
        <v>0.21117189503376355</v>
      </c>
      <c r="S32" s="4">
        <f t="shared" si="57"/>
        <v>0.23359673719092533</v>
      </c>
      <c r="T32" s="4">
        <f t="shared" si="57"/>
        <v>9.5103373231773647E-2</v>
      </c>
      <c r="U32" s="4">
        <f t="shared" si="57"/>
        <v>0.13343937787203952</v>
      </c>
      <c r="V32" s="4">
        <f t="shared" si="57"/>
        <v>9.3757719044426313E-2</v>
      </c>
      <c r="W32" s="4">
        <f t="shared" si="57"/>
        <v>4.0211596478902267E-2</v>
      </c>
      <c r="X32" s="4">
        <f>X15/T15-1</f>
        <v>3.4856915739268635E-2</v>
      </c>
      <c r="Y32" s="4">
        <f t="shared" si="57"/>
        <v>3.3759550912209502E-2</v>
      </c>
      <c r="Z32" s="4">
        <f t="shared" si="57"/>
        <v>1.287262872628725E-2</v>
      </c>
      <c r="AA32" s="4">
        <f t="shared" si="57"/>
        <v>6.0389352403655838E-3</v>
      </c>
      <c r="AB32" s="4">
        <f t="shared" si="57"/>
        <v>2.1569305219495405E-2</v>
      </c>
      <c r="AC32" s="4">
        <f t="shared" si="57"/>
        <v>5.2906327777358708E-2</v>
      </c>
      <c r="AD32" s="4">
        <f t="shared" si="57"/>
        <v>-3.1271371237458045E-2</v>
      </c>
      <c r="AI32" s="4"/>
      <c r="AJ32" s="4">
        <f t="shared" ref="AJ32:AQ33" si="58">AJ15/AI15-1</f>
        <v>3.6334130978903589E-2</v>
      </c>
      <c r="AK32" s="4">
        <f t="shared" si="58"/>
        <v>3.6573066510961372E-2</v>
      </c>
      <c r="AL32" s="4">
        <f t="shared" si="58"/>
        <v>0.19778011061040557</v>
      </c>
      <c r="AM32" s="4">
        <f t="shared" si="58"/>
        <v>0.13300413633885921</v>
      </c>
      <c r="AN32" s="4">
        <f t="shared" si="58"/>
        <v>2.9385406348757082E-2</v>
      </c>
      <c r="AO32" s="4">
        <f t="shared" si="58"/>
        <v>1.0399608687683415E-2</v>
      </c>
      <c r="AP32" s="4">
        <f t="shared" si="58"/>
        <v>3.0000000000000027E-2</v>
      </c>
      <c r="AQ32" s="4">
        <f t="shared" si="58"/>
        <v>4.0000000000000036E-2</v>
      </c>
      <c r="AT32" s="1" t="s">
        <v>56</v>
      </c>
      <c r="AU32" s="11">
        <v>-0.01</v>
      </c>
      <c r="AV32" s="7"/>
      <c r="AW32" s="40" t="s">
        <v>56</v>
      </c>
      <c r="AX32" s="11">
        <v>-0.01</v>
      </c>
      <c r="AY32" s="7"/>
      <c r="AZ32" s="7"/>
      <c r="BA32" s="7"/>
      <c r="BB32" s="7"/>
      <c r="BC32" s="7"/>
      <c r="BD32" s="1"/>
      <c r="BE32" s="1"/>
      <c r="BF32" s="1"/>
    </row>
    <row r="33" spans="1:58" x14ac:dyDescent="0.25">
      <c r="B33" s="1" t="s">
        <v>49</v>
      </c>
      <c r="G33" s="4">
        <f t="shared" si="56"/>
        <v>3.8039110634878082E-2</v>
      </c>
      <c r="H33" s="4">
        <f t="shared" si="56"/>
        <v>7.1810140993081806E-2</v>
      </c>
      <c r="I33" s="4">
        <f t="shared" si="56"/>
        <v>7.026980874316946E-2</v>
      </c>
      <c r="J33" s="4">
        <f t="shared" si="56"/>
        <v>6.2518606728192427E-3</v>
      </c>
      <c r="K33" s="4">
        <f t="shared" si="56"/>
        <v>5.359139784946243E-2</v>
      </c>
      <c r="L33" s="4">
        <f t="shared" si="56"/>
        <v>3.1538524389247424E-2</v>
      </c>
      <c r="M33" s="4">
        <f t="shared" si="56"/>
        <v>3.1910650179497457E-2</v>
      </c>
      <c r="N33" s="4">
        <f t="shared" si="56"/>
        <v>9.2307692307691536E-3</v>
      </c>
      <c r="O33" s="4">
        <f t="shared" si="56"/>
        <v>0.18468321358589157</v>
      </c>
      <c r="P33" s="4">
        <f t="shared" si="56"/>
        <v>0.24142574257425742</v>
      </c>
      <c r="Q33" s="4">
        <f t="shared" si="57"/>
        <v>0.19899497487437179</v>
      </c>
      <c r="R33" s="4">
        <f t="shared" si="57"/>
        <v>0.20104362101313322</v>
      </c>
      <c r="S33" s="4">
        <f t="shared" si="57"/>
        <v>0.15203308063404553</v>
      </c>
      <c r="T33" s="4">
        <f t="shared" si="57"/>
        <v>0.1025330185669624</v>
      </c>
      <c r="U33" s="4">
        <f t="shared" si="57"/>
        <v>0.17389902637178412</v>
      </c>
      <c r="V33" s="4">
        <f t="shared" si="57"/>
        <v>0.1111056870881133</v>
      </c>
      <c r="W33" s="4">
        <f t="shared" si="57"/>
        <v>0.10439100263220857</v>
      </c>
      <c r="X33" s="4">
        <f t="shared" si="57"/>
        <v>0.16562499999999991</v>
      </c>
      <c r="Y33" s="4">
        <f t="shared" si="57"/>
        <v>8.0962320114247976E-2</v>
      </c>
      <c r="Z33" s="4">
        <f t="shared" si="57"/>
        <v>5.2062738895479077E-2</v>
      </c>
      <c r="AA33" s="4">
        <f t="shared" si="57"/>
        <v>-4.0626184930393494E-3</v>
      </c>
      <c r="AB33" s="4">
        <f t="shared" si="57"/>
        <v>5.0000000000000044E-2</v>
      </c>
      <c r="AC33" s="4">
        <f t="shared" si="57"/>
        <v>5.0000000000000044E-2</v>
      </c>
      <c r="AD33" s="4">
        <f t="shared" si="57"/>
        <v>5.0000000000000044E-2</v>
      </c>
      <c r="AJ33" s="4">
        <f t="shared" si="58"/>
        <v>4.252322738386316E-2</v>
      </c>
      <c r="AK33" s="4">
        <f t="shared" si="58"/>
        <v>2.9362652207358453E-2</v>
      </c>
      <c r="AL33" s="4">
        <f t="shared" si="58"/>
        <v>0.20620078740157477</v>
      </c>
      <c r="AM33" s="4">
        <f t="shared" si="58"/>
        <v>0.13276516010094142</v>
      </c>
      <c r="AN33" s="4">
        <f t="shared" si="58"/>
        <v>9.6927817723410303E-2</v>
      </c>
      <c r="AO33" s="4">
        <f t="shared" si="58"/>
        <v>3.0000000000000027E-2</v>
      </c>
      <c r="AP33" s="4">
        <f t="shared" si="58"/>
        <v>3.0000000000000027E-2</v>
      </c>
      <c r="AQ33" s="4">
        <f t="shared" si="58"/>
        <v>3.0000000000000027E-2</v>
      </c>
      <c r="AT33" s="1" t="s">
        <v>57</v>
      </c>
      <c r="AU33" s="11">
        <f>WACC!C18</f>
        <v>5.2594931202662842E-2</v>
      </c>
      <c r="AV33" s="12"/>
      <c r="AW33" s="1" t="s">
        <v>57</v>
      </c>
      <c r="AX33" s="41">
        <f>WACC!C18</f>
        <v>5.2594931202662842E-2</v>
      </c>
      <c r="AY33" s="12"/>
      <c r="AZ33" s="12"/>
      <c r="BA33" s="12"/>
      <c r="BB33" s="12"/>
      <c r="BC33" s="12"/>
      <c r="BD33" s="8"/>
      <c r="BE33" s="8"/>
      <c r="BF33" s="8"/>
    </row>
    <row r="34" spans="1:58" x14ac:dyDescent="0.25">
      <c r="B34" s="1" t="s">
        <v>50</v>
      </c>
      <c r="G34" s="4">
        <f t="shared" ref="G34:AD34" si="59">G18/C18-1</f>
        <v>5.7262153295556173E-2</v>
      </c>
      <c r="H34" s="4">
        <f t="shared" si="59"/>
        <v>7.3312968619827723E-2</v>
      </c>
      <c r="I34" s="4">
        <f t="shared" si="59"/>
        <v>5.4647736405036174E-2</v>
      </c>
      <c r="J34" s="4">
        <f t="shared" si="59"/>
        <v>-1.7512348450830717E-2</v>
      </c>
      <c r="K34" s="4">
        <f t="shared" si="59"/>
        <v>3.328631875881527E-2</v>
      </c>
      <c r="L34" s="4">
        <f t="shared" si="59"/>
        <v>1.2160413971539441E-2</v>
      </c>
      <c r="M34" s="4">
        <f t="shared" si="59"/>
        <v>5.4864109728219423E-2</v>
      </c>
      <c r="N34" s="4">
        <f t="shared" si="59"/>
        <v>2.9250457038391131E-2</v>
      </c>
      <c r="O34" s="4">
        <f t="shared" si="59"/>
        <v>0.10838110838110837</v>
      </c>
      <c r="P34" s="4">
        <f t="shared" si="59"/>
        <v>0.14008179959100198</v>
      </c>
      <c r="Q34" s="4">
        <f t="shared" si="59"/>
        <v>0.11895015651336394</v>
      </c>
      <c r="R34" s="4">
        <f t="shared" si="59"/>
        <v>0.20959147424511548</v>
      </c>
      <c r="S34" s="4">
        <f t="shared" si="59"/>
        <v>0.11059113300492607</v>
      </c>
      <c r="T34" s="4">
        <f t="shared" si="59"/>
        <v>8.7219730941703988E-2</v>
      </c>
      <c r="U34" s="4">
        <f t="shared" si="59"/>
        <v>4.5620830643425814E-2</v>
      </c>
      <c r="V34" s="4">
        <f t="shared" si="59"/>
        <v>1.5969162995594699E-2</v>
      </c>
      <c r="W34" s="4">
        <f t="shared" si="59"/>
        <v>5.6110002217786725E-2</v>
      </c>
      <c r="X34" s="4">
        <f t="shared" si="59"/>
        <v>3.1552897504640187E-2</v>
      </c>
      <c r="Y34" s="4">
        <f t="shared" si="59"/>
        <v>7.408931878987457E-2</v>
      </c>
      <c r="Z34" s="4">
        <f t="shared" si="59"/>
        <v>2.5293586269196089E-2</v>
      </c>
      <c r="AA34" s="4">
        <f t="shared" si="59"/>
        <v>5.5228895422091639E-2</v>
      </c>
      <c r="AB34" s="4">
        <f t="shared" si="59"/>
        <v>5.0000000000000044E-2</v>
      </c>
      <c r="AC34" s="4">
        <f t="shared" si="59"/>
        <v>5.0000000000000044E-2</v>
      </c>
      <c r="AD34" s="4">
        <f t="shared" si="59"/>
        <v>5.0000000000000044E-2</v>
      </c>
      <c r="AJ34" s="4">
        <f t="shared" ref="AJ34:AQ34" si="60">AJ18/AI18-1</f>
        <v>3.8438676441450381E-2</v>
      </c>
      <c r="AK34" s="4">
        <f t="shared" si="60"/>
        <v>3.237295681485719E-2</v>
      </c>
      <c r="AL34" s="4">
        <f t="shared" si="60"/>
        <v>0.14680877279448001</v>
      </c>
      <c r="AM34" s="4">
        <f t="shared" si="60"/>
        <v>6.1079774375503604E-2</v>
      </c>
      <c r="AN34" s="4">
        <f t="shared" si="60"/>
        <v>4.586877278250312E-2</v>
      </c>
      <c r="AO34" s="4">
        <f t="shared" si="60"/>
        <v>3.0000000000000027E-2</v>
      </c>
      <c r="AP34" s="4">
        <f t="shared" si="60"/>
        <v>3.0000000000000027E-2</v>
      </c>
      <c r="AQ34" s="4">
        <f t="shared" si="60"/>
        <v>3.0000000000000027E-2</v>
      </c>
      <c r="AT34" s="1" t="s">
        <v>58</v>
      </c>
      <c r="AU34" s="7">
        <f>NPV(AU33,AM25:PL25)</f>
        <v>73529.221145438161</v>
      </c>
      <c r="AV34" s="12"/>
      <c r="AW34" s="1" t="s">
        <v>58</v>
      </c>
      <c r="AX34" s="39">
        <f>NPV(AX33,AM98:PL98)</f>
        <v>194456.63994882128</v>
      </c>
      <c r="AY34" s="12"/>
      <c r="AZ34" s="12"/>
      <c r="BA34" s="12"/>
      <c r="BB34" s="12"/>
      <c r="BC34" s="12"/>
      <c r="BD34" s="8"/>
      <c r="BE34" s="8"/>
      <c r="BF34" s="8"/>
    </row>
    <row r="35" spans="1:58" x14ac:dyDescent="0.25">
      <c r="B35" s="1" t="s">
        <v>51</v>
      </c>
      <c r="G35" s="4">
        <f t="shared" ref="G35:AD35" si="61">G25/C25-1</f>
        <v>7.8726968174204437E-2</v>
      </c>
      <c r="H35" s="4">
        <f t="shared" si="61"/>
        <v>0.12248322147651014</v>
      </c>
      <c r="I35" s="4">
        <f t="shared" si="61"/>
        <v>8.679245283018866E-2</v>
      </c>
      <c r="J35" s="4">
        <f t="shared" si="61"/>
        <v>-0.18203309692671399</v>
      </c>
      <c r="K35" s="4">
        <f t="shared" si="61"/>
        <v>6.8322981366459645E-2</v>
      </c>
      <c r="L35" s="4">
        <f t="shared" si="61"/>
        <v>0.12032884902840069</v>
      </c>
      <c r="M35" s="4">
        <f t="shared" si="61"/>
        <v>0.11892361111111116</v>
      </c>
      <c r="N35" s="4">
        <f t="shared" si="61"/>
        <v>6.5028901734104139E-2</v>
      </c>
      <c r="O35" s="4">
        <f t="shared" si="61"/>
        <v>-0.37427325581395354</v>
      </c>
      <c r="P35" s="4">
        <f t="shared" si="61"/>
        <v>0.48899266177451639</v>
      </c>
      <c r="Q35" s="4">
        <f t="shared" si="61"/>
        <v>0.20636152055857249</v>
      </c>
      <c r="R35" s="4">
        <f t="shared" si="61"/>
        <v>0.32293080054274093</v>
      </c>
      <c r="S35" s="4">
        <f t="shared" si="61"/>
        <v>2.1300813008130079</v>
      </c>
      <c r="T35" s="4">
        <f t="shared" si="61"/>
        <v>6.6756272401433669E-2</v>
      </c>
      <c r="U35" s="4">
        <f t="shared" si="61"/>
        <v>0.32797427652733124</v>
      </c>
      <c r="V35" s="4">
        <f t="shared" si="61"/>
        <v>0.102051282051282</v>
      </c>
      <c r="W35" s="4">
        <f t="shared" si="61"/>
        <v>-0.40259740259740262</v>
      </c>
      <c r="X35" s="4">
        <f t="shared" si="61"/>
        <v>-0.68290634187316246</v>
      </c>
      <c r="Y35" s="4">
        <f t="shared" si="61"/>
        <v>-0.36610169491525424</v>
      </c>
      <c r="Z35" s="4">
        <f t="shared" si="61"/>
        <v>-0.30618892508143325</v>
      </c>
      <c r="AA35" s="4">
        <f t="shared" si="61"/>
        <v>-4.7826086956521685E-2</v>
      </c>
      <c r="AB35" s="4">
        <f t="shared" si="61"/>
        <v>-0.90335841059602684</v>
      </c>
      <c r="AC35" s="4">
        <f t="shared" si="61"/>
        <v>3.5776165011467409E-3</v>
      </c>
      <c r="AD35" s="4">
        <f t="shared" si="61"/>
        <v>-1.4270422622401049</v>
      </c>
      <c r="AJ35" s="4">
        <f t="shared" ref="AJ35:AQ35" si="62">AJ25/AI25-1</f>
        <v>4.6710782405605666E-3</v>
      </c>
      <c r="AK35" s="4">
        <f t="shared" si="62"/>
        <v>9.2212320805889147E-2</v>
      </c>
      <c r="AL35" s="4">
        <f t="shared" si="62"/>
        <v>0.17027314650585312</v>
      </c>
      <c r="AM35" s="4">
        <f t="shared" si="62"/>
        <v>0.4080024249772658</v>
      </c>
      <c r="AN35" s="4">
        <f t="shared" si="62"/>
        <v>-0.44402583423035524</v>
      </c>
      <c r="AO35" s="4">
        <f t="shared" si="62"/>
        <v>-0.39894608189738467</v>
      </c>
      <c r="AP35" s="4">
        <f t="shared" si="62"/>
        <v>3.2806949469843971E-2</v>
      </c>
      <c r="AQ35" s="4">
        <f t="shared" si="62"/>
        <v>0.31252262855761437</v>
      </c>
      <c r="AT35" s="1" t="s">
        <v>59</v>
      </c>
      <c r="AU35" s="7">
        <f>+Main!C7-Main!C8</f>
        <v>-15490</v>
      </c>
      <c r="AV35" s="12"/>
      <c r="AW35" s="1" t="s">
        <v>59</v>
      </c>
      <c r="AX35" s="39">
        <f>Main!C7-Main!C8</f>
        <v>-15490</v>
      </c>
      <c r="AY35" s="12"/>
      <c r="AZ35" s="12"/>
      <c r="BA35" s="12"/>
      <c r="BB35" s="12"/>
      <c r="BC35" s="12"/>
      <c r="BD35" s="8"/>
      <c r="BE35" s="8"/>
      <c r="BF35" s="8"/>
    </row>
    <row r="36" spans="1:58" x14ac:dyDescent="0.25">
      <c r="B36" s="1" t="s">
        <v>52</v>
      </c>
      <c r="G36" s="4">
        <f>G26/C26-1</f>
        <v>-2.5576368876080724E-2</v>
      </c>
      <c r="H36" s="4">
        <f t="shared" ref="H36:R36" si="63">H26/D26-1</f>
        <v>-2.8265990215618819E-2</v>
      </c>
      <c r="I36" s="4">
        <f t="shared" si="63"/>
        <v>-3.048001460120453E-2</v>
      </c>
      <c r="J36" s="4">
        <f t="shared" si="63"/>
        <v>-3.9567686389448631E-2</v>
      </c>
      <c r="K36" s="4">
        <f t="shared" si="63"/>
        <v>-3.9741219963031371E-2</v>
      </c>
      <c r="L36" s="4">
        <f t="shared" si="63"/>
        <v>-3.7665485735595583E-2</v>
      </c>
      <c r="M36" s="4">
        <f t="shared" si="63"/>
        <v>-3.0873493975903776E-2</v>
      </c>
      <c r="N36" s="4">
        <f t="shared" si="63"/>
        <v>-2.3650581728018261E-2</v>
      </c>
      <c r="O36" s="4">
        <f t="shared" si="63"/>
        <v>-2.6371511068334907E-2</v>
      </c>
      <c r="P36" s="4">
        <f t="shared" si="63"/>
        <v>-2.267002518891692E-2</v>
      </c>
      <c r="Q36" s="4">
        <f t="shared" si="63"/>
        <v>-1.8259518259518215E-2</v>
      </c>
      <c r="R36" s="4">
        <f t="shared" si="63"/>
        <v>-1.152568861105685E-2</v>
      </c>
      <c r="S36" s="4">
        <f t="shared" ref="S36:S37" si="64">S26/O26-1</f>
        <v>-4.7449584816133816E-3</v>
      </c>
      <c r="T36" s="4">
        <f t="shared" ref="T36:T37" si="65">T26/P26-1</f>
        <v>-1.3679619349722394E-2</v>
      </c>
      <c r="U36" s="4">
        <f t="shared" ref="U36:U37" si="66">U26/Q26-1</f>
        <v>-3.1658092599920806E-2</v>
      </c>
      <c r="V36" s="4">
        <f t="shared" ref="V36:V37" si="67">V26/R26-1</f>
        <v>-5.0197628458497956E-2</v>
      </c>
      <c r="W36" s="4">
        <f t="shared" ref="W36:W37" si="68">W26/S26-1</f>
        <v>-7.071911005164877E-2</v>
      </c>
      <c r="X36" s="4">
        <f t="shared" ref="X36:X37" si="69">X26/T26-1</f>
        <v>-6.8140703517587942E-2</v>
      </c>
      <c r="Y36" s="4">
        <f t="shared" ref="Y36:Y37" si="70">Y26/U26-1</f>
        <v>-5.496526358806697E-2</v>
      </c>
      <c r="Z36" s="4">
        <f t="shared" ref="Z36:AD37" si="71">Z26/V26-1</f>
        <v>-3.7245110278818161E-2</v>
      </c>
      <c r="AA36" s="4">
        <f t="shared" si="71"/>
        <v>-1.0474561778537894E-2</v>
      </c>
      <c r="AB36" s="4">
        <f t="shared" si="71"/>
        <v>-1</v>
      </c>
      <c r="AC36" s="4">
        <f t="shared" si="71"/>
        <v>-1</v>
      </c>
      <c r="AD36" s="4">
        <f t="shared" si="71"/>
        <v>-1</v>
      </c>
      <c r="AJ36" s="4">
        <f t="shared" ref="AJ36:AL36" si="72">AJ26/AI26-1</f>
        <v>-3.9567686389448631E-2</v>
      </c>
      <c r="AK36" s="4">
        <f t="shared" si="72"/>
        <v>-2.3650581728018261E-2</v>
      </c>
      <c r="AL36" s="4">
        <f t="shared" si="72"/>
        <v>-1.152568861105685E-2</v>
      </c>
      <c r="AM36" s="4">
        <f t="shared" ref="AM36:AQ36" si="73">AM26/AL26-1</f>
        <v>-5.0197628458497956E-2</v>
      </c>
      <c r="AN36" s="4">
        <f t="shared" si="73"/>
        <v>-3.7245110278818161E-2</v>
      </c>
      <c r="AO36" s="4">
        <f t="shared" si="73"/>
        <v>-2.0000000000000018E-2</v>
      </c>
      <c r="AP36" s="4">
        <f t="shared" si="73"/>
        <v>-2.0000000000000018E-2</v>
      </c>
      <c r="AQ36" s="4">
        <f t="shared" si="73"/>
        <v>-2.0000000000000018E-2</v>
      </c>
      <c r="AT36" s="1" t="s">
        <v>60</v>
      </c>
      <c r="AU36" s="7">
        <f>+AU34+AU35</f>
        <v>58039.221145438161</v>
      </c>
      <c r="AV36" s="12"/>
      <c r="AW36" s="1" t="s">
        <v>60</v>
      </c>
      <c r="AX36" s="39">
        <f>AX34+AX35</f>
        <v>178966.63994882128</v>
      </c>
      <c r="AY36" s="12"/>
      <c r="AZ36" s="12"/>
      <c r="BA36" s="12"/>
      <c r="BB36" s="12"/>
      <c r="BC36" s="12"/>
      <c r="BD36" s="8"/>
      <c r="BE36" s="8"/>
      <c r="BF36" s="8"/>
    </row>
    <row r="37" spans="1:58" x14ac:dyDescent="0.25">
      <c r="B37" s="1" t="s">
        <v>53</v>
      </c>
      <c r="G37" s="4">
        <f>G27/C27-1</f>
        <v>0.10704105865123537</v>
      </c>
      <c r="H37" s="4">
        <f t="shared" ref="H37:R37" si="74">H27/D27-1</f>
        <v>0.15513423444506058</v>
      </c>
      <c r="I37" s="4">
        <f t="shared" si="74"/>
        <v>0.12095930893384854</v>
      </c>
      <c r="J37" s="4">
        <f t="shared" si="74"/>
        <v>-0.14833467025041613</v>
      </c>
      <c r="K37" s="4">
        <f t="shared" si="74"/>
        <v>0.1125365407492871</v>
      </c>
      <c r="L37" s="4">
        <f t="shared" si="74"/>
        <v>0.16417818588244759</v>
      </c>
      <c r="M37" s="4">
        <f t="shared" si="74"/>
        <v>0.15456919623586307</v>
      </c>
      <c r="N37" s="4">
        <f t="shared" si="74"/>
        <v>9.082760925804001E-2</v>
      </c>
      <c r="O37" s="4">
        <f t="shared" si="74"/>
        <v>-0.35732494344671584</v>
      </c>
      <c r="P37" s="4">
        <f t="shared" si="74"/>
        <v>0.52353115135176043</v>
      </c>
      <c r="Q37" s="4">
        <f t="shared" si="74"/>
        <v>0.22879879458558183</v>
      </c>
      <c r="R37" s="4">
        <f t="shared" si="74"/>
        <v>0.33835627825657921</v>
      </c>
      <c r="S37" s="4">
        <f t="shared" si="64"/>
        <v>2.1450042152388149</v>
      </c>
      <c r="T37" s="4">
        <f t="shared" si="65"/>
        <v>8.15514850236847E-2</v>
      </c>
      <c r="U37" s="4">
        <f t="shared" si="66"/>
        <v>0.37138986382695771</v>
      </c>
      <c r="V37" s="4">
        <f t="shared" si="67"/>
        <v>0.16029535729910238</v>
      </c>
      <c r="W37" s="4">
        <f t="shared" si="68"/>
        <v>-0.35713452857531525</v>
      </c>
      <c r="X37" s="4">
        <f t="shared" si="69"/>
        <v>-0.65971938110849515</v>
      </c>
      <c r="Y37" s="4">
        <f t="shared" si="70"/>
        <v>-0.32923279890059554</v>
      </c>
      <c r="Z37" s="4">
        <f t="shared" si="71"/>
        <v>-0.27934816813083374</v>
      </c>
      <c r="AA37" s="4">
        <f t="shared" si="71"/>
        <v>-3.7746907492462345E-2</v>
      </c>
      <c r="AB37" s="4" t="e">
        <f t="shared" si="71"/>
        <v>#DIV/0!</v>
      </c>
      <c r="AC37" s="4" t="e">
        <f t="shared" si="71"/>
        <v>#DIV/0!</v>
      </c>
      <c r="AD37" s="4" t="e">
        <f t="shared" si="71"/>
        <v>#DIV/0!</v>
      </c>
      <c r="AJ37" s="4">
        <f t="shared" ref="AJ37:AL37" si="75">AJ27/AI27-1</f>
        <v>4.6061303855658986E-2</v>
      </c>
      <c r="AK37" s="4">
        <f t="shared" si="75"/>
        <v>0.11866950536926679</v>
      </c>
      <c r="AL37" s="4">
        <f t="shared" si="75"/>
        <v>0.18391862390582259</v>
      </c>
      <c r="AM37" s="4">
        <f t="shared" ref="AM37:AQ37" si="76">AM27/AL27-1</f>
        <v>0.48241620274343822</v>
      </c>
      <c r="AN37" s="4">
        <f>AN27/AM27-1</f>
        <v>-0.42251743231274841</v>
      </c>
      <c r="AO37" s="4">
        <f t="shared" si="76"/>
        <v>-0.38667967540549453</v>
      </c>
      <c r="AP37" s="4">
        <f t="shared" si="76"/>
        <v>5.3884642316167186E-2</v>
      </c>
      <c r="AQ37" s="4">
        <f t="shared" si="76"/>
        <v>0.33930880465062718</v>
      </c>
      <c r="AT37" s="1" t="s">
        <v>61</v>
      </c>
      <c r="AU37" s="13">
        <f>AU36/Main!C5</f>
        <v>125.49020788202846</v>
      </c>
      <c r="AV37" s="12"/>
      <c r="AW37" s="1" t="s">
        <v>61</v>
      </c>
      <c r="AX37" s="42">
        <f>AX36/Main!C5</f>
        <v>386.95489718664061</v>
      </c>
      <c r="AY37" s="12"/>
      <c r="AZ37" s="12"/>
      <c r="BA37" s="12"/>
      <c r="BB37" s="12"/>
      <c r="BC37" s="12"/>
      <c r="BD37" s="8"/>
      <c r="BE37" s="8"/>
      <c r="BF37" s="8"/>
    </row>
    <row r="38" spans="1:58" x14ac:dyDescent="0.25">
      <c r="B38" s="1" t="s">
        <v>54</v>
      </c>
      <c r="C38" s="4">
        <f t="shared" ref="C38:Z38" si="77">C17/C15</f>
        <v>0.30968378228441101</v>
      </c>
      <c r="D38" s="4">
        <f t="shared" si="77"/>
        <v>0.31351448839725865</v>
      </c>
      <c r="E38" s="4">
        <f t="shared" si="77"/>
        <v>0.30591442455849238</v>
      </c>
      <c r="F38" s="4">
        <f t="shared" si="77"/>
        <v>0.26924248357481617</v>
      </c>
      <c r="G38" s="4">
        <f t="shared" si="77"/>
        <v>0.30725224956796376</v>
      </c>
      <c r="H38" s="4">
        <f t="shared" si="77"/>
        <v>0.31148739873987397</v>
      </c>
      <c r="I38" s="4">
        <f t="shared" si="77"/>
        <v>0.29661635149542676</v>
      </c>
      <c r="J38" s="4">
        <f t="shared" si="77"/>
        <v>0.26451388284445992</v>
      </c>
      <c r="K38" s="4">
        <f t="shared" si="77"/>
        <v>0.30515686163272254</v>
      </c>
      <c r="L38" s="4">
        <f t="shared" si="77"/>
        <v>0.31467810226902615</v>
      </c>
      <c r="M38" s="4">
        <f t="shared" si="77"/>
        <v>0.30699169568711493</v>
      </c>
      <c r="N38" s="4">
        <f t="shared" si="77"/>
        <v>0.27104880759039235</v>
      </c>
      <c r="O38" s="4">
        <f t="shared" si="77"/>
        <v>0.26026000509813918</v>
      </c>
      <c r="P38" s="4">
        <f t="shared" si="77"/>
        <v>0.31782372143634385</v>
      </c>
      <c r="Q38" s="4">
        <f t="shared" si="77"/>
        <v>0.31473135383527751</v>
      </c>
      <c r="R38" s="4">
        <f t="shared" si="77"/>
        <v>0.27714457108578283</v>
      </c>
      <c r="S38" s="4">
        <f t="shared" si="77"/>
        <v>0.30917055833367774</v>
      </c>
      <c r="T38" s="4">
        <f t="shared" si="77"/>
        <v>0.31319554848966613</v>
      </c>
      <c r="U38" s="4">
        <f t="shared" si="77"/>
        <v>0.29026976454077652</v>
      </c>
      <c r="V38" s="4">
        <f t="shared" si="77"/>
        <v>0.26567944250871078</v>
      </c>
      <c r="W38" s="4">
        <f t="shared" si="77"/>
        <v>0.26654747715534366</v>
      </c>
      <c r="X38" s="4">
        <f t="shared" si="77"/>
        <v>0.22640857241617698</v>
      </c>
      <c r="Y38" s="4">
        <f t="shared" si="77"/>
        <v>0.25786258390527189</v>
      </c>
      <c r="Z38" s="4">
        <f t="shared" si="77"/>
        <v>0.23726708074534161</v>
      </c>
      <c r="AA38" s="4">
        <f t="shared" ref="AA38:AD38" si="78">AA17/AA15</f>
        <v>0.27391201326909409</v>
      </c>
      <c r="AB38" s="4">
        <f t="shared" si="78"/>
        <v>0.20487920416864044</v>
      </c>
      <c r="AC38" s="4">
        <f t="shared" si="78"/>
        <v>0.25991109907714527</v>
      </c>
      <c r="AD38" s="4">
        <f t="shared" si="78"/>
        <v>0.17327769466210008</v>
      </c>
      <c r="AI38" s="4">
        <f t="shared" ref="AI38:AQ38" si="79">AI17/AI15</f>
        <v>0.29690293478559837</v>
      </c>
      <c r="AJ38" s="4">
        <f t="shared" si="79"/>
        <v>0.2927039651786188</v>
      </c>
      <c r="AK38" s="4">
        <f t="shared" si="79"/>
        <v>0.29762392462105697</v>
      </c>
      <c r="AL38" s="4">
        <f t="shared" si="79"/>
        <v>0.29268605508705553</v>
      </c>
      <c r="AM38" s="4">
        <f t="shared" si="79"/>
        <v>0.29283524362058394</v>
      </c>
      <c r="AN38" s="4">
        <f t="shared" si="79"/>
        <v>0.24643511730205278</v>
      </c>
      <c r="AO38" s="4">
        <f t="shared" si="79"/>
        <v>0.23181697369520465</v>
      </c>
      <c r="AP38" s="4">
        <f t="shared" si="79"/>
        <v>0.2318169736952046</v>
      </c>
      <c r="AQ38" s="4">
        <f t="shared" si="79"/>
        <v>0.23920334894813527</v>
      </c>
      <c r="AT38" s="1" t="s">
        <v>62</v>
      </c>
      <c r="AU38" s="6">
        <f>Main!C4</f>
        <v>137.01</v>
      </c>
      <c r="AV38" s="7"/>
      <c r="AW38" s="1" t="s">
        <v>62</v>
      </c>
      <c r="AX38" s="43">
        <f>Main!C4</f>
        <v>137.01</v>
      </c>
      <c r="AY38" s="7"/>
      <c r="AZ38" s="7"/>
      <c r="BA38" s="7"/>
      <c r="BB38" s="7"/>
      <c r="BC38" s="7"/>
      <c r="BD38" s="1"/>
      <c r="BE38" s="1"/>
      <c r="BF38" s="1"/>
    </row>
    <row r="39" spans="1:58" x14ac:dyDescent="0.25">
      <c r="B39" s="1" t="s">
        <v>55</v>
      </c>
      <c r="C39" s="4">
        <f t="shared" ref="C39:Z39" si="80">C20/C15</f>
        <v>0.10300191086728719</v>
      </c>
      <c r="D39" s="4">
        <f t="shared" si="80"/>
        <v>9.7030179151136223E-2</v>
      </c>
      <c r="E39" s="4">
        <f t="shared" si="80"/>
        <v>8.4686499940737223E-2</v>
      </c>
      <c r="F39" s="4">
        <f t="shared" si="80"/>
        <v>7.5447069573162773E-2</v>
      </c>
      <c r="G39" s="4">
        <f t="shared" si="80"/>
        <v>9.6001430188904113E-2</v>
      </c>
      <c r="H39" s="4">
        <f t="shared" si="80"/>
        <v>9.405940594059406E-2</v>
      </c>
      <c r="I39" s="4">
        <f t="shared" si="80"/>
        <v>7.5697211155378488E-2</v>
      </c>
      <c r="J39" s="4">
        <f t="shared" si="80"/>
        <v>7.4070850378623029E-2</v>
      </c>
      <c r="K39" s="4">
        <f t="shared" si="80"/>
        <v>9.7350655244794915E-2</v>
      </c>
      <c r="L39" s="4">
        <f t="shared" si="80"/>
        <v>0.10232330908696124</v>
      </c>
      <c r="M39" s="4">
        <f t="shared" si="80"/>
        <v>8.4489686579158854E-2</v>
      </c>
      <c r="N39" s="4">
        <f t="shared" si="80"/>
        <v>7.8553722540388074E-2</v>
      </c>
      <c r="O39" s="4">
        <f t="shared" si="80"/>
        <v>5.3275554422635735E-2</v>
      </c>
      <c r="P39" s="4">
        <f t="shared" si="80"/>
        <v>0.12369967355821546</v>
      </c>
      <c r="Q39" s="4">
        <f t="shared" si="80"/>
        <v>0.10940261576528809</v>
      </c>
      <c r="R39" s="4">
        <f t="shared" si="80"/>
        <v>8.4900666925438448E-2</v>
      </c>
      <c r="S39" s="4">
        <f t="shared" si="80"/>
        <v>0.12282514361284456</v>
      </c>
      <c r="T39" s="4">
        <f t="shared" si="80"/>
        <v>0.12046899841017487</v>
      </c>
      <c r="U39" s="4">
        <f t="shared" si="80"/>
        <v>0.1008498362700764</v>
      </c>
      <c r="V39" s="4">
        <f t="shared" si="80"/>
        <v>8.7108013937282236E-2</v>
      </c>
      <c r="W39" s="4">
        <f t="shared" si="80"/>
        <v>7.7353992848629316E-2</v>
      </c>
      <c r="X39" s="4">
        <f t="shared" si="80"/>
        <v>3.4297346084418326E-2</v>
      </c>
      <c r="Y39" s="4">
        <f t="shared" si="80"/>
        <v>6.1052869748849839E-2</v>
      </c>
      <c r="Z39" s="4">
        <f t="shared" si="80"/>
        <v>5.6505813027552157E-2</v>
      </c>
      <c r="AA39" s="4">
        <f t="shared" ref="AA39:AD39" si="81">AA20/AA15</f>
        <v>7.5467972514019432E-2</v>
      </c>
      <c r="AB39" s="4">
        <f t="shared" si="81"/>
        <v>7.4214432338543992E-3</v>
      </c>
      <c r="AC39" s="4">
        <f t="shared" si="81"/>
        <v>6.3644636987898393E-2</v>
      </c>
      <c r="AD39" s="4">
        <f t="shared" si="81"/>
        <v>-2.2648517765553055E-2</v>
      </c>
      <c r="AI39" s="4">
        <f t="shared" ref="AI39:AQ39" si="82">AI20/AI15</f>
        <v>8.8676183403471137E-2</v>
      </c>
      <c r="AJ39" s="4">
        <f t="shared" si="82"/>
        <v>8.405435532671586E-2</v>
      </c>
      <c r="AK39" s="4">
        <f t="shared" si="82"/>
        <v>8.9819746005735349E-2</v>
      </c>
      <c r="AL39" s="4">
        <f t="shared" si="82"/>
        <v>9.3724949498188354E-2</v>
      </c>
      <c r="AM39" s="4">
        <f t="shared" si="82"/>
        <v>0.10650441016933164</v>
      </c>
      <c r="AN39" s="4">
        <f t="shared" si="82"/>
        <v>5.7120601173020528E-2</v>
      </c>
      <c r="AO39" s="4">
        <f t="shared" si="82"/>
        <v>3.8830010976401499E-2</v>
      </c>
      <c r="AP39" s="4">
        <f t="shared" si="82"/>
        <v>3.8830010976401437E-2</v>
      </c>
      <c r="AQ39" s="4">
        <f t="shared" si="82"/>
        <v>4.8072030101628284E-2</v>
      </c>
      <c r="AT39" s="1" t="s">
        <v>63</v>
      </c>
      <c r="AU39" s="14">
        <f>AU37/AU38-1</f>
        <v>-8.407993663215485E-2</v>
      </c>
      <c r="AV39" s="12"/>
      <c r="AW39" s="1" t="s">
        <v>63</v>
      </c>
      <c r="AX39" s="14">
        <f>AX37/AX38-1</f>
        <v>1.8242821486507599</v>
      </c>
      <c r="AY39" s="12"/>
      <c r="AZ39" s="12"/>
      <c r="BA39" s="12"/>
      <c r="BB39" s="12"/>
      <c r="BC39" s="12"/>
      <c r="BD39" s="8"/>
      <c r="BE39" s="8"/>
      <c r="BF39" s="8"/>
    </row>
    <row r="40" spans="1:58" x14ac:dyDescent="0.25">
      <c r="B40" s="1" t="s">
        <v>29</v>
      </c>
      <c r="C40" s="4">
        <f t="shared" ref="C40:Z40" si="83">C24/C23</f>
        <v>0.22918011620400258</v>
      </c>
      <c r="D40" s="4">
        <f t="shared" si="83"/>
        <v>0.2048032021347565</v>
      </c>
      <c r="E40" s="4">
        <f t="shared" si="83"/>
        <v>0.11297071129707113</v>
      </c>
      <c r="F40" s="4">
        <f t="shared" si="83"/>
        <v>-4.702970297029703E-2</v>
      </c>
      <c r="G40" s="4">
        <f t="shared" si="83"/>
        <v>0.14018691588785046</v>
      </c>
      <c r="H40" s="4">
        <f t="shared" si="83"/>
        <v>0.14285714285714285</v>
      </c>
      <c r="I40" s="4">
        <f t="shared" si="83"/>
        <v>7.7662129703763016E-2</v>
      </c>
      <c r="J40" s="4">
        <f t="shared" si="83"/>
        <v>0.13500000000000001</v>
      </c>
      <c r="K40" s="4">
        <f t="shared" si="83"/>
        <v>0.1426791277258567</v>
      </c>
      <c r="L40" s="4">
        <f t="shared" si="83"/>
        <v>0.15691788526434194</v>
      </c>
      <c r="M40" s="4">
        <f t="shared" si="83"/>
        <v>0.13140161725067384</v>
      </c>
      <c r="N40" s="4">
        <f t="shared" si="83"/>
        <v>0.12884160756501181</v>
      </c>
      <c r="O40" s="4">
        <f t="shared" si="83"/>
        <v>4.9668874172185427E-2</v>
      </c>
      <c r="P40" s="4">
        <f t="shared" si="83"/>
        <v>0.18271695349688757</v>
      </c>
      <c r="Q40" s="4">
        <f t="shared" si="83"/>
        <v>0.15443175638934203</v>
      </c>
      <c r="R40" s="4">
        <f t="shared" si="83"/>
        <v>0.15217391304347827</v>
      </c>
      <c r="S40" s="4">
        <f t="shared" si="83"/>
        <v>0.15965076395385094</v>
      </c>
      <c r="T40" s="4">
        <f t="shared" si="83"/>
        <v>0.18847989093387865</v>
      </c>
      <c r="U40" s="4">
        <f t="shared" si="83"/>
        <v>0.170016077170418</v>
      </c>
      <c r="V40" s="4">
        <f t="shared" si="83"/>
        <v>0.18039664378337147</v>
      </c>
      <c r="W40" s="4">
        <f t="shared" si="83"/>
        <v>0.12972972972972974</v>
      </c>
      <c r="X40" s="4">
        <f t="shared" si="83"/>
        <v>4.3092522179974654E-2</v>
      </c>
      <c r="Y40" s="4">
        <f t="shared" si="83"/>
        <v>0.13081009296148738</v>
      </c>
      <c r="Z40" s="4">
        <f t="shared" si="83"/>
        <v>0.10072376357056695</v>
      </c>
      <c r="AA40" s="4">
        <f t="shared" ref="AA40:AD40" si="84">AA24/AA23</f>
        <v>0.14213766088416341</v>
      </c>
      <c r="AB40" s="4">
        <f t="shared" si="84"/>
        <v>0.20999999999999996</v>
      </c>
      <c r="AC40" s="4">
        <f t="shared" si="84"/>
        <v>0.21</v>
      </c>
      <c r="AD40" s="4">
        <f t="shared" si="84"/>
        <v>0.21000000000000002</v>
      </c>
      <c r="AI40" s="4">
        <f t="shared" ref="AI40:AQ40" si="85">AI24/AI23</f>
        <v>0.12305854241338113</v>
      </c>
      <c r="AJ40" s="4">
        <f t="shared" si="85"/>
        <v>0.12626946513202436</v>
      </c>
      <c r="AK40" s="4">
        <f t="shared" si="85"/>
        <v>0.14041774660771458</v>
      </c>
      <c r="AL40" s="4">
        <f t="shared" si="85"/>
        <v>0.1514917695473251</v>
      </c>
      <c r="AM40" s="4">
        <f t="shared" si="85"/>
        <v>0.17429561816727401</v>
      </c>
      <c r="AN40" s="4">
        <f t="shared" si="85"/>
        <v>0.1099431328623126</v>
      </c>
      <c r="AO40" s="4">
        <f t="shared" si="85"/>
        <v>0.21</v>
      </c>
      <c r="AP40" s="4">
        <f t="shared" si="85"/>
        <v>0.21</v>
      </c>
      <c r="AQ40" s="4">
        <f t="shared" si="85"/>
        <v>0.21000000000000002</v>
      </c>
      <c r="AT40" s="1"/>
      <c r="AU40" s="6"/>
      <c r="AV40" s="7"/>
      <c r="AW40" s="7"/>
      <c r="AX40" s="7"/>
      <c r="AY40" s="7"/>
      <c r="AZ40" s="7"/>
      <c r="BA40" s="7"/>
      <c r="BB40" s="7"/>
      <c r="BC40" s="7"/>
      <c r="BD40" s="1"/>
      <c r="BE40" s="1"/>
      <c r="BF40" s="1"/>
    </row>
    <row r="41" spans="1:58" x14ac:dyDescent="0.25">
      <c r="AV41" s="7"/>
      <c r="AW41" s="7"/>
      <c r="AX41" s="7"/>
      <c r="AY41" s="7"/>
      <c r="AZ41" s="7"/>
      <c r="BA41" s="7"/>
      <c r="BB41" s="7"/>
      <c r="BC41" s="7"/>
      <c r="BD41" s="1"/>
      <c r="BE41" s="1"/>
      <c r="BF41" s="1"/>
    </row>
    <row r="42" spans="1:58" x14ac:dyDescent="0.25">
      <c r="AV42" s="7"/>
      <c r="AW42" s="7"/>
      <c r="AX42" s="7"/>
      <c r="AY42" s="7"/>
      <c r="AZ42" s="7"/>
      <c r="BA42" s="7"/>
      <c r="BB42" s="7"/>
      <c r="BC42" s="7"/>
      <c r="BD42" s="1"/>
      <c r="BE42" s="1"/>
      <c r="BF42" s="1"/>
    </row>
    <row r="43" spans="1:58" s="9" customFormat="1" x14ac:dyDescent="0.25">
      <c r="A43" s="8"/>
      <c r="B43" s="8" t="s">
        <v>59</v>
      </c>
      <c r="C43" s="9">
        <f t="shared" ref="C43:V43" si="86">C44-C60-C62</f>
        <v>-9965</v>
      </c>
      <c r="D43" s="9">
        <f t="shared" si="86"/>
        <v>-9780</v>
      </c>
      <c r="E43" s="9">
        <f t="shared" si="86"/>
        <v>-9731</v>
      </c>
      <c r="F43" s="9">
        <f t="shared" si="86"/>
        <v>-8755</v>
      </c>
      <c r="G43" s="9">
        <f t="shared" si="86"/>
        <v>-10330</v>
      </c>
      <c r="H43" s="9">
        <f t="shared" si="86"/>
        <v>-9972</v>
      </c>
      <c r="I43" s="9">
        <f t="shared" si="86"/>
        <v>-10814</v>
      </c>
      <c r="J43" s="9">
        <f t="shared" si="86"/>
        <v>-9719</v>
      </c>
      <c r="K43" s="9">
        <f t="shared" si="86"/>
        <v>-11240</v>
      </c>
      <c r="L43" s="9">
        <f t="shared" si="86"/>
        <v>-9862</v>
      </c>
      <c r="M43" s="9">
        <f t="shared" si="86"/>
        <v>-10703</v>
      </c>
      <c r="N43" s="9">
        <f t="shared" si="86"/>
        <v>-8922</v>
      </c>
      <c r="O43" s="9">
        <f t="shared" si="86"/>
        <v>-9675</v>
      </c>
      <c r="P43" s="9">
        <f t="shared" si="86"/>
        <v>-7013</v>
      </c>
      <c r="Q43" s="9">
        <f t="shared" si="86"/>
        <v>-6625</v>
      </c>
      <c r="R43" s="9">
        <f t="shared" si="86"/>
        <v>-4169</v>
      </c>
      <c r="S43" s="9">
        <f t="shared" si="86"/>
        <v>-4866</v>
      </c>
      <c r="T43" s="9">
        <f t="shared" si="86"/>
        <v>-5411</v>
      </c>
      <c r="U43" s="9">
        <f t="shared" si="86"/>
        <v>-7009</v>
      </c>
      <c r="V43" s="9">
        <f t="shared" si="86"/>
        <v>-7809</v>
      </c>
      <c r="W43" s="9">
        <f>W44-W60-W62</f>
        <v>-13356</v>
      </c>
      <c r="X43" s="9">
        <f t="shared" ref="X43:Z43" si="87">X44-X60-X62</f>
        <v>-13985</v>
      </c>
      <c r="Y43" s="9">
        <f t="shared" si="87"/>
        <v>-15490</v>
      </c>
      <c r="Z43" s="9">
        <f t="shared" si="87"/>
        <v>0</v>
      </c>
      <c r="AI43" s="9">
        <f t="shared" ref="AI43:AM43" si="88">AI44-AI60-AI62</f>
        <v>-8755</v>
      </c>
      <c r="AJ43" s="9">
        <f t="shared" si="88"/>
        <v>-9719</v>
      </c>
      <c r="AK43" s="9">
        <f t="shared" si="88"/>
        <v>-8922</v>
      </c>
      <c r="AL43" s="9">
        <f t="shared" si="88"/>
        <v>-4169</v>
      </c>
      <c r="AM43" s="9">
        <f t="shared" si="88"/>
        <v>-7809</v>
      </c>
    </row>
    <row r="44" spans="1:58" x14ac:dyDescent="0.25">
      <c r="B44" s="34" t="s">
        <v>84</v>
      </c>
      <c r="C44" s="2">
        <v>2680</v>
      </c>
      <c r="D44" s="2">
        <v>2291</v>
      </c>
      <c r="E44" s="2">
        <v>2725</v>
      </c>
      <c r="F44" s="2">
        <v>2643</v>
      </c>
      <c r="G44" s="2">
        <v>1060</v>
      </c>
      <c r="H44" s="2">
        <v>1180</v>
      </c>
      <c r="I44" s="2">
        <v>825</v>
      </c>
      <c r="J44" s="2">
        <v>1556</v>
      </c>
      <c r="K44" s="2">
        <v>1173</v>
      </c>
      <c r="L44" s="2">
        <v>1656</v>
      </c>
      <c r="M44" s="2">
        <v>969</v>
      </c>
      <c r="N44" s="2">
        <v>2577</v>
      </c>
      <c r="O44" s="2">
        <v>4566</v>
      </c>
      <c r="P44" s="2">
        <v>7284</v>
      </c>
      <c r="Q44" s="2">
        <v>5996</v>
      </c>
      <c r="R44" s="2">
        <v>8511</v>
      </c>
      <c r="S44" s="2">
        <v>7816</v>
      </c>
      <c r="T44" s="2">
        <v>7368</v>
      </c>
      <c r="U44" s="2">
        <v>5753</v>
      </c>
      <c r="V44" s="2">
        <v>5911</v>
      </c>
      <c r="W44" s="2">
        <v>1112</v>
      </c>
      <c r="X44" s="2">
        <v>1117</v>
      </c>
      <c r="Y44" s="2">
        <v>954</v>
      </c>
      <c r="AI44" s="2">
        <f>F44</f>
        <v>2643</v>
      </c>
      <c r="AJ44" s="2">
        <f>J44</f>
        <v>1556</v>
      </c>
      <c r="AK44" s="2">
        <f>N44</f>
        <v>2577</v>
      </c>
      <c r="AL44" s="2">
        <f>R44</f>
        <v>8511</v>
      </c>
      <c r="AM44" s="2">
        <f>V44</f>
        <v>5911</v>
      </c>
    </row>
    <row r="45" spans="1:58" x14ac:dyDescent="0.25">
      <c r="B45" s="34" t="s">
        <v>85</v>
      </c>
      <c r="C45" s="2">
        <v>7920</v>
      </c>
      <c r="D45" s="2">
        <v>8192</v>
      </c>
      <c r="E45" s="2">
        <v>10517</v>
      </c>
      <c r="F45" s="2">
        <v>8597</v>
      </c>
      <c r="G45" s="2">
        <v>8652</v>
      </c>
      <c r="H45" s="2">
        <v>9112</v>
      </c>
      <c r="I45" s="2">
        <v>12393</v>
      </c>
      <c r="J45" s="2">
        <v>9497</v>
      </c>
      <c r="K45" s="2">
        <v>9060</v>
      </c>
      <c r="L45" s="2">
        <v>9122</v>
      </c>
      <c r="M45" s="2">
        <v>11396</v>
      </c>
      <c r="N45" s="2">
        <v>8992</v>
      </c>
      <c r="O45" s="2">
        <v>8584</v>
      </c>
      <c r="P45" s="2">
        <v>8876</v>
      </c>
      <c r="Q45" s="2">
        <v>12712</v>
      </c>
      <c r="R45" s="2">
        <v>10653</v>
      </c>
      <c r="S45" s="2">
        <v>10539</v>
      </c>
      <c r="T45" s="2">
        <v>11259</v>
      </c>
      <c r="U45" s="2">
        <v>14958</v>
      </c>
      <c r="V45" s="2">
        <v>13902</v>
      </c>
      <c r="W45" s="2">
        <v>15083</v>
      </c>
      <c r="X45" s="2">
        <v>15320</v>
      </c>
      <c r="Y45" s="2">
        <v>17117</v>
      </c>
      <c r="AI45" s="2">
        <f>F45</f>
        <v>8597</v>
      </c>
      <c r="AJ45" s="2">
        <f t="shared" ref="AJ45:AJ46" si="89">J45</f>
        <v>9497</v>
      </c>
      <c r="AK45" s="2">
        <f>N45</f>
        <v>8992</v>
      </c>
      <c r="AL45" s="2">
        <f t="shared" ref="AL45:AL46" si="90">R45</f>
        <v>10653</v>
      </c>
      <c r="AM45" s="2">
        <f>V45</f>
        <v>13902</v>
      </c>
    </row>
    <row r="46" spans="1:58" x14ac:dyDescent="0.25">
      <c r="B46" s="34" t="s">
        <v>86</v>
      </c>
      <c r="C46" s="2">
        <v>1116</v>
      </c>
      <c r="D46" s="2">
        <v>1114</v>
      </c>
      <c r="E46" s="2">
        <v>1444</v>
      </c>
      <c r="F46" s="2">
        <v>1300</v>
      </c>
      <c r="G46" s="2">
        <v>1164</v>
      </c>
      <c r="H46" s="2">
        <v>1211</v>
      </c>
      <c r="I46" s="2">
        <v>1421</v>
      </c>
      <c r="J46" s="2">
        <v>1466</v>
      </c>
      <c r="K46" s="2">
        <v>1374</v>
      </c>
      <c r="L46" s="2">
        <v>1341</v>
      </c>
      <c r="M46" s="2">
        <v>1440</v>
      </c>
      <c r="N46" s="2">
        <v>1333</v>
      </c>
      <c r="O46" s="2">
        <v>1465</v>
      </c>
      <c r="P46" s="2">
        <v>1463</v>
      </c>
      <c r="Q46" s="2">
        <v>1601</v>
      </c>
      <c r="R46" s="2">
        <v>1592</v>
      </c>
      <c r="S46" s="2">
        <v>1576</v>
      </c>
      <c r="T46" s="2">
        <v>1604</v>
      </c>
      <c r="U46" s="2">
        <v>1865</v>
      </c>
      <c r="V46" s="2">
        <v>1760</v>
      </c>
      <c r="W46" s="2">
        <v>1758</v>
      </c>
      <c r="X46" s="2">
        <v>2016</v>
      </c>
      <c r="Y46" s="2">
        <v>2322</v>
      </c>
      <c r="AI46" s="2">
        <f t="shared" ref="AI46:AI56" si="91">F46</f>
        <v>1300</v>
      </c>
      <c r="AJ46" s="2">
        <f t="shared" si="89"/>
        <v>1466</v>
      </c>
      <c r="AK46" s="2">
        <f>N46</f>
        <v>1333</v>
      </c>
      <c r="AL46" s="2">
        <f t="shared" si="90"/>
        <v>1592</v>
      </c>
      <c r="AM46" s="2">
        <f>V46</f>
        <v>1760</v>
      </c>
    </row>
    <row r="47" spans="1:58" x14ac:dyDescent="0.25">
      <c r="B47" s="34" t="s">
        <v>87</v>
      </c>
      <c r="C47" s="2">
        <f t="shared" ref="C47:V47" si="92">SUM(C44:C46)</f>
        <v>11716</v>
      </c>
      <c r="D47" s="2">
        <f t="shared" si="92"/>
        <v>11597</v>
      </c>
      <c r="E47" s="2">
        <f t="shared" si="92"/>
        <v>14686</v>
      </c>
      <c r="F47" s="2">
        <f t="shared" si="92"/>
        <v>12540</v>
      </c>
      <c r="G47" s="2">
        <f t="shared" si="92"/>
        <v>10876</v>
      </c>
      <c r="H47" s="2">
        <f t="shared" si="92"/>
        <v>11503</v>
      </c>
      <c r="I47" s="2">
        <f t="shared" si="92"/>
        <v>14639</v>
      </c>
      <c r="J47" s="2">
        <f t="shared" si="92"/>
        <v>12519</v>
      </c>
      <c r="K47" s="2">
        <f t="shared" si="92"/>
        <v>11607</v>
      </c>
      <c r="L47" s="2">
        <f t="shared" si="92"/>
        <v>12119</v>
      </c>
      <c r="M47" s="2">
        <f t="shared" si="92"/>
        <v>13805</v>
      </c>
      <c r="N47" s="2">
        <f t="shared" si="92"/>
        <v>12902</v>
      </c>
      <c r="O47" s="2">
        <f t="shared" si="92"/>
        <v>14615</v>
      </c>
      <c r="P47" s="2">
        <f t="shared" si="92"/>
        <v>17623</v>
      </c>
      <c r="Q47" s="2">
        <f t="shared" si="92"/>
        <v>20309</v>
      </c>
      <c r="R47" s="2">
        <f t="shared" si="92"/>
        <v>20756</v>
      </c>
      <c r="S47" s="2">
        <f t="shared" si="92"/>
        <v>19931</v>
      </c>
      <c r="T47" s="2">
        <f t="shared" si="92"/>
        <v>20231</v>
      </c>
      <c r="U47" s="2">
        <f t="shared" si="92"/>
        <v>22576</v>
      </c>
      <c r="V47" s="2">
        <f t="shared" si="92"/>
        <v>21573</v>
      </c>
      <c r="W47" s="2">
        <f>SUM(W44:W46)</f>
        <v>17953</v>
      </c>
      <c r="X47" s="2">
        <f t="shared" ref="X47:Z47" si="93">SUM(X44:X46)</f>
        <v>18453</v>
      </c>
      <c r="Y47" s="2">
        <f t="shared" si="93"/>
        <v>20393</v>
      </c>
      <c r="Z47" s="2">
        <f t="shared" si="93"/>
        <v>0</v>
      </c>
      <c r="AI47" s="2">
        <f>SUM(AI44:AI46)</f>
        <v>12540</v>
      </c>
      <c r="AJ47" s="2">
        <f t="shared" ref="AJ47:AM47" si="94">SUM(AJ44:AJ46)</f>
        <v>12519</v>
      </c>
      <c r="AK47" s="2">
        <f t="shared" si="94"/>
        <v>12902</v>
      </c>
      <c r="AL47" s="2">
        <f t="shared" si="94"/>
        <v>20756</v>
      </c>
      <c r="AM47" s="2">
        <f t="shared" si="94"/>
        <v>21573</v>
      </c>
    </row>
    <row r="48" spans="1:58" x14ac:dyDescent="0.25">
      <c r="B48" s="34" t="s">
        <v>88</v>
      </c>
      <c r="C48" s="2">
        <v>6105</v>
      </c>
      <c r="D48" s="2">
        <v>6089</v>
      </c>
      <c r="E48" s="2">
        <v>6087</v>
      </c>
      <c r="F48" s="2">
        <v>6095</v>
      </c>
      <c r="G48" s="2">
        <v>6090</v>
      </c>
      <c r="H48" s="2">
        <v>6074</v>
      </c>
      <c r="I48" s="2">
        <v>6069</v>
      </c>
      <c r="J48" s="2">
        <v>6064</v>
      </c>
      <c r="K48" s="2">
        <v>6061</v>
      </c>
      <c r="L48" s="2">
        <v>6054</v>
      </c>
      <c r="M48" s="2">
        <v>6040</v>
      </c>
      <c r="N48" s="2">
        <v>6036</v>
      </c>
      <c r="O48" s="2">
        <v>6034</v>
      </c>
      <c r="P48" s="2">
        <v>6027</v>
      </c>
      <c r="Q48" s="2">
        <v>6063</v>
      </c>
      <c r="R48" s="2">
        <v>6141</v>
      </c>
      <c r="S48" s="2">
        <v>6146</v>
      </c>
      <c r="T48" s="2">
        <v>6148</v>
      </c>
      <c r="U48" s="2">
        <v>6146</v>
      </c>
      <c r="V48" s="2">
        <v>6164</v>
      </c>
      <c r="W48" s="2">
        <v>6164</v>
      </c>
      <c r="X48" s="2">
        <v>6161</v>
      </c>
      <c r="Y48" s="2">
        <v>6214</v>
      </c>
      <c r="AI48" s="2">
        <f t="shared" si="91"/>
        <v>6095</v>
      </c>
      <c r="AJ48" s="2">
        <f t="shared" ref="AJ48:AJ56" si="95">J48</f>
        <v>6064</v>
      </c>
      <c r="AK48" s="2">
        <f t="shared" ref="AK48:AK56" si="96">N48</f>
        <v>6036</v>
      </c>
      <c r="AL48" s="2">
        <f t="shared" ref="AL48:AL56" si="97">R48</f>
        <v>6141</v>
      </c>
      <c r="AM48" s="2">
        <f t="shared" ref="AM48:AM56" si="98">V48</f>
        <v>6164</v>
      </c>
    </row>
    <row r="49" spans="1:39" x14ac:dyDescent="0.25">
      <c r="B49" s="34" t="s">
        <v>89</v>
      </c>
      <c r="C49" s="2">
        <v>27320</v>
      </c>
      <c r="D49" s="2">
        <v>27616</v>
      </c>
      <c r="E49" s="2">
        <v>27946</v>
      </c>
      <c r="F49" s="2">
        <v>28131</v>
      </c>
      <c r="G49" s="2">
        <v>28363</v>
      </c>
      <c r="H49" s="2">
        <v>28629</v>
      </c>
      <c r="I49" s="2">
        <v>29090</v>
      </c>
      <c r="J49" s="2">
        <v>29240</v>
      </c>
      <c r="K49" s="2">
        <v>29573</v>
      </c>
      <c r="L49" s="2">
        <v>29908</v>
      </c>
      <c r="M49" s="2">
        <v>30467</v>
      </c>
      <c r="N49" s="2">
        <v>30603</v>
      </c>
      <c r="O49" s="2">
        <v>30756</v>
      </c>
      <c r="P49" s="2">
        <v>30946</v>
      </c>
      <c r="Q49" s="2">
        <v>31398</v>
      </c>
      <c r="R49" s="2">
        <v>31557</v>
      </c>
      <c r="S49" s="2">
        <v>31710</v>
      </c>
      <c r="T49" s="2">
        <v>32133</v>
      </c>
      <c r="U49" s="2">
        <v>32478</v>
      </c>
      <c r="V49" s="2">
        <v>32985</v>
      </c>
      <c r="W49" s="2">
        <v>33300</v>
      </c>
      <c r="X49" s="2">
        <v>33694</v>
      </c>
      <c r="Y49" s="2">
        <v>34279</v>
      </c>
      <c r="AI49" s="2">
        <f t="shared" si="91"/>
        <v>28131</v>
      </c>
      <c r="AJ49" s="2">
        <f t="shared" si="95"/>
        <v>29240</v>
      </c>
      <c r="AK49" s="2">
        <f t="shared" si="96"/>
        <v>30603</v>
      </c>
      <c r="AL49" s="2">
        <f t="shared" si="97"/>
        <v>31557</v>
      </c>
      <c r="AM49" s="2">
        <f t="shared" si="98"/>
        <v>32985</v>
      </c>
    </row>
    <row r="50" spans="1:39" x14ac:dyDescent="0.25">
      <c r="B50" s="34" t="s">
        <v>90</v>
      </c>
      <c r="C50" s="2">
        <v>5177</v>
      </c>
      <c r="D50" s="2">
        <v>5361</v>
      </c>
      <c r="E50" s="2">
        <v>5548</v>
      </c>
      <c r="F50" s="2">
        <v>5623</v>
      </c>
      <c r="G50" s="2">
        <v>5135</v>
      </c>
      <c r="H50" s="2">
        <v>5356</v>
      </c>
      <c r="I50" s="2">
        <v>5784</v>
      </c>
      <c r="J50" s="2">
        <v>5912</v>
      </c>
      <c r="K50" s="2">
        <v>5401</v>
      </c>
      <c r="L50" s="2">
        <v>5622</v>
      </c>
      <c r="M50" s="2">
        <v>6032</v>
      </c>
      <c r="N50" s="2">
        <v>6083</v>
      </c>
      <c r="O50" s="2">
        <v>5486</v>
      </c>
      <c r="P50" s="2">
        <v>5665</v>
      </c>
      <c r="Q50" s="2">
        <v>5843</v>
      </c>
      <c r="R50" s="2">
        <v>5914</v>
      </c>
      <c r="S50" s="2">
        <v>5496</v>
      </c>
      <c r="T50" s="2">
        <v>5892</v>
      </c>
      <c r="U50" s="2">
        <v>6144</v>
      </c>
      <c r="V50" s="2">
        <v>6407</v>
      </c>
      <c r="W50" s="2">
        <v>6459</v>
      </c>
      <c r="X50" s="2">
        <v>6744</v>
      </c>
      <c r="Y50" s="2">
        <v>7184</v>
      </c>
      <c r="AI50" s="2">
        <f t="shared" si="91"/>
        <v>5623</v>
      </c>
      <c r="AJ50" s="2">
        <f t="shared" si="95"/>
        <v>5912</v>
      </c>
      <c r="AK50" s="2">
        <f t="shared" si="96"/>
        <v>6083</v>
      </c>
      <c r="AL50" s="2">
        <f t="shared" si="97"/>
        <v>5914</v>
      </c>
      <c r="AM50" s="2">
        <f t="shared" si="98"/>
        <v>6407</v>
      </c>
    </row>
    <row r="51" spans="1:39" x14ac:dyDescent="0.25">
      <c r="B51" s="34" t="s">
        <v>91</v>
      </c>
      <c r="C51" s="2">
        <v>2546</v>
      </c>
      <c r="D51" s="2">
        <v>2518</v>
      </c>
      <c r="E51" s="2">
        <v>2658</v>
      </c>
      <c r="F51" s="2">
        <v>2645</v>
      </c>
      <c r="G51" s="2">
        <v>2511</v>
      </c>
      <c r="H51" s="2">
        <v>2575</v>
      </c>
      <c r="I51" s="2">
        <v>2660</v>
      </c>
      <c r="J51" s="2">
        <v>2544</v>
      </c>
      <c r="K51" s="2">
        <v>2553</v>
      </c>
      <c r="L51" s="2">
        <v>2627</v>
      </c>
      <c r="M51" s="2">
        <v>2636</v>
      </c>
      <c r="N51" s="2">
        <v>2692</v>
      </c>
      <c r="O51" s="2">
        <v>2597</v>
      </c>
      <c r="P51" s="2">
        <v>2631</v>
      </c>
      <c r="Q51" s="2">
        <v>2706</v>
      </c>
      <c r="R51" s="2">
        <v>2765</v>
      </c>
      <c r="S51" s="2">
        <v>2256</v>
      </c>
      <c r="T51" s="2">
        <v>2260</v>
      </c>
      <c r="U51" s="2">
        <v>2447</v>
      </c>
      <c r="V51" s="2">
        <v>2505</v>
      </c>
      <c r="W51" s="2">
        <v>2588</v>
      </c>
      <c r="X51" s="2">
        <v>2684</v>
      </c>
      <c r="Y51" s="2">
        <v>2899</v>
      </c>
      <c r="AI51" s="2">
        <f t="shared" si="91"/>
        <v>2645</v>
      </c>
      <c r="AJ51" s="2">
        <f t="shared" si="95"/>
        <v>2544</v>
      </c>
      <c r="AK51" s="2">
        <f t="shared" si="96"/>
        <v>2692</v>
      </c>
      <c r="AL51" s="2">
        <f t="shared" si="97"/>
        <v>2765</v>
      </c>
      <c r="AM51" s="2">
        <f t="shared" si="98"/>
        <v>2505</v>
      </c>
    </row>
    <row r="52" spans="1:39" x14ac:dyDescent="0.25">
      <c r="B52" s="34" t="s">
        <v>92</v>
      </c>
      <c r="C52" s="2">
        <v>379</v>
      </c>
      <c r="D52" s="2">
        <v>423</v>
      </c>
      <c r="E52" s="2">
        <v>389</v>
      </c>
      <c r="F52" s="2">
        <v>440</v>
      </c>
      <c r="G52" s="2">
        <v>639</v>
      </c>
      <c r="H52" s="2">
        <v>685</v>
      </c>
      <c r="I52" s="2">
        <v>384</v>
      </c>
      <c r="J52" s="2">
        <v>460</v>
      </c>
      <c r="K52" s="2">
        <v>574</v>
      </c>
      <c r="L52" s="2">
        <v>667</v>
      </c>
      <c r="M52" s="2">
        <v>298</v>
      </c>
      <c r="N52" s="2">
        <v>533</v>
      </c>
      <c r="O52" s="2">
        <v>803</v>
      </c>
      <c r="P52" s="2">
        <v>811</v>
      </c>
      <c r="Q52" s="2">
        <v>518</v>
      </c>
      <c r="R52" s="2">
        <v>780</v>
      </c>
      <c r="S52" s="2">
        <v>973</v>
      </c>
      <c r="T52" s="2">
        <v>944</v>
      </c>
      <c r="U52" s="2">
        <v>1302</v>
      </c>
      <c r="V52" s="2">
        <v>1257</v>
      </c>
      <c r="W52" s="2">
        <v>1444</v>
      </c>
      <c r="X52" s="2">
        <v>2245</v>
      </c>
      <c r="Y52" s="2">
        <v>2358</v>
      </c>
      <c r="AI52" s="2">
        <f t="shared" si="91"/>
        <v>440</v>
      </c>
      <c r="AJ52" s="2">
        <f t="shared" si="95"/>
        <v>460</v>
      </c>
      <c r="AK52" s="2">
        <f t="shared" si="96"/>
        <v>533</v>
      </c>
      <c r="AL52" s="2">
        <f t="shared" si="97"/>
        <v>780</v>
      </c>
      <c r="AM52" s="2">
        <f t="shared" si="98"/>
        <v>1257</v>
      </c>
    </row>
    <row r="53" spans="1:39" x14ac:dyDescent="0.25">
      <c r="B53" s="34" t="s">
        <v>93</v>
      </c>
      <c r="C53" s="2">
        <v>-17285</v>
      </c>
      <c r="D53" s="2">
        <v>-17603</v>
      </c>
      <c r="E53" s="2">
        <v>-17979</v>
      </c>
      <c r="F53" s="2">
        <v>-18398</v>
      </c>
      <c r="G53" s="2">
        <v>-17971</v>
      </c>
      <c r="H53" s="2">
        <v>-18147</v>
      </c>
      <c r="I53" s="2">
        <v>-18380</v>
      </c>
      <c r="J53" s="2">
        <v>-18687</v>
      </c>
      <c r="K53" s="2">
        <v>-18456</v>
      </c>
      <c r="L53" s="2">
        <v>-18866</v>
      </c>
      <c r="M53" s="2">
        <v>-19089</v>
      </c>
      <c r="N53" s="2">
        <v>-19664</v>
      </c>
      <c r="O53" s="2">
        <v>-19087</v>
      </c>
      <c r="P53" s="2">
        <v>-19341</v>
      </c>
      <c r="Q53" s="2">
        <v>-19755</v>
      </c>
      <c r="R53" s="2">
        <v>-20278</v>
      </c>
      <c r="S53" s="2">
        <v>-19777</v>
      </c>
      <c r="T53" s="2">
        <v>-20133</v>
      </c>
      <c r="U53" s="2">
        <v>-20602</v>
      </c>
      <c r="V53" s="2">
        <v>-21137</v>
      </c>
      <c r="W53" s="2">
        <v>-21285</v>
      </c>
      <c r="X53" s="2">
        <v>-21708</v>
      </c>
      <c r="Y53" s="2">
        <v>-22013</v>
      </c>
      <c r="AI53" s="2">
        <f t="shared" si="91"/>
        <v>-18398</v>
      </c>
      <c r="AJ53" s="2">
        <f t="shared" si="95"/>
        <v>-18687</v>
      </c>
      <c r="AK53" s="2">
        <f t="shared" si="96"/>
        <v>-19664</v>
      </c>
      <c r="AL53" s="2">
        <f t="shared" si="97"/>
        <v>-20278</v>
      </c>
      <c r="AM53" s="2">
        <f t="shared" si="98"/>
        <v>-21137</v>
      </c>
    </row>
    <row r="54" spans="1:39" x14ac:dyDescent="0.25">
      <c r="B54" s="34" t="s">
        <v>94</v>
      </c>
      <c r="C54" s="2">
        <f t="shared" ref="C54:V54" si="99">SUM(C48:C53)</f>
        <v>24242</v>
      </c>
      <c r="D54" s="2">
        <f t="shared" si="99"/>
        <v>24404</v>
      </c>
      <c r="E54" s="2">
        <f t="shared" si="99"/>
        <v>24649</v>
      </c>
      <c r="F54" s="2">
        <f t="shared" si="99"/>
        <v>24536</v>
      </c>
      <c r="G54" s="2">
        <f t="shared" si="99"/>
        <v>24767</v>
      </c>
      <c r="H54" s="2">
        <f t="shared" si="99"/>
        <v>25172</v>
      </c>
      <c r="I54" s="2">
        <f t="shared" si="99"/>
        <v>25607</v>
      </c>
      <c r="J54" s="2">
        <f t="shared" si="99"/>
        <v>25533</v>
      </c>
      <c r="K54" s="2">
        <f t="shared" si="99"/>
        <v>25706</v>
      </c>
      <c r="L54" s="2">
        <f t="shared" si="99"/>
        <v>26012</v>
      </c>
      <c r="M54" s="2">
        <f t="shared" si="99"/>
        <v>26384</v>
      </c>
      <c r="N54" s="2">
        <f t="shared" si="99"/>
        <v>26283</v>
      </c>
      <c r="O54" s="2">
        <f t="shared" si="99"/>
        <v>26589</v>
      </c>
      <c r="P54" s="2">
        <f t="shared" si="99"/>
        <v>26739</v>
      </c>
      <c r="Q54" s="2">
        <f t="shared" si="99"/>
        <v>26773</v>
      </c>
      <c r="R54" s="2">
        <f t="shared" si="99"/>
        <v>26879</v>
      </c>
      <c r="S54" s="2">
        <f t="shared" si="99"/>
        <v>26804</v>
      </c>
      <c r="T54" s="2">
        <f t="shared" si="99"/>
        <v>27244</v>
      </c>
      <c r="U54" s="2">
        <f t="shared" si="99"/>
        <v>27915</v>
      </c>
      <c r="V54" s="2">
        <f t="shared" si="99"/>
        <v>28181</v>
      </c>
      <c r="W54" s="2">
        <f>SUM(W48:W53)</f>
        <v>28670</v>
      </c>
      <c r="X54" s="2">
        <f>SUM(X48:X53)</f>
        <v>29820</v>
      </c>
      <c r="Y54" s="2">
        <f>SUM(Y48:Y53)</f>
        <v>30921</v>
      </c>
      <c r="AI54" s="2">
        <f t="shared" si="91"/>
        <v>24536</v>
      </c>
      <c r="AJ54" s="2">
        <f t="shared" si="95"/>
        <v>25533</v>
      </c>
      <c r="AK54" s="2">
        <f t="shared" si="96"/>
        <v>26283</v>
      </c>
      <c r="AL54" s="2">
        <f t="shared" si="97"/>
        <v>26879</v>
      </c>
      <c r="AM54" s="2">
        <f t="shared" si="98"/>
        <v>28181</v>
      </c>
    </row>
    <row r="55" spans="1:39" x14ac:dyDescent="0.25">
      <c r="B55" s="34" t="s">
        <v>95</v>
      </c>
      <c r="C55" s="2">
        <v>1879</v>
      </c>
      <c r="D55" s="2">
        <v>1857</v>
      </c>
      <c r="E55" s="2">
        <v>1861</v>
      </c>
      <c r="F55" s="2">
        <v>1884</v>
      </c>
      <c r="G55" s="2">
        <v>1958</v>
      </c>
      <c r="H55" s="2">
        <v>1976</v>
      </c>
      <c r="I55" s="2">
        <v>1997</v>
      </c>
      <c r="J55" s="2">
        <v>1965</v>
      </c>
      <c r="K55" s="2">
        <v>2019</v>
      </c>
      <c r="L55" s="2">
        <v>2062</v>
      </c>
      <c r="M55" s="2">
        <v>2151</v>
      </c>
      <c r="N55" s="2">
        <v>2236</v>
      </c>
      <c r="O55" s="2">
        <v>2235</v>
      </c>
      <c r="P55" s="2">
        <v>2233</v>
      </c>
      <c r="Q55" s="2">
        <v>2208</v>
      </c>
      <c r="R55" s="2">
        <v>2227</v>
      </c>
      <c r="S55" s="2">
        <v>2362</v>
      </c>
      <c r="T55" s="2">
        <v>2503</v>
      </c>
      <c r="U55" s="2">
        <v>2539</v>
      </c>
      <c r="V55" s="2">
        <v>2556</v>
      </c>
      <c r="W55" s="2">
        <v>2571</v>
      </c>
      <c r="X55" s="2">
        <v>2542</v>
      </c>
      <c r="Y55" s="2">
        <v>2596</v>
      </c>
      <c r="AI55" s="2">
        <f t="shared" si="91"/>
        <v>1884</v>
      </c>
      <c r="AJ55" s="2">
        <f t="shared" si="95"/>
        <v>1965</v>
      </c>
      <c r="AK55" s="2">
        <f t="shared" si="96"/>
        <v>2236</v>
      </c>
      <c r="AL55" s="2">
        <f t="shared" si="97"/>
        <v>2227</v>
      </c>
      <c r="AM55" s="2">
        <f t="shared" si="98"/>
        <v>2556</v>
      </c>
    </row>
    <row r="56" spans="1:39" x14ac:dyDescent="0.25">
      <c r="B56" s="34" t="s">
        <v>96</v>
      </c>
      <c r="C56" s="2">
        <v>723</v>
      </c>
      <c r="D56" s="2">
        <v>809</v>
      </c>
      <c r="E56" s="2">
        <v>813</v>
      </c>
      <c r="F56" s="2">
        <v>1343</v>
      </c>
      <c r="G56" s="2">
        <v>1328</v>
      </c>
      <c r="H56" s="2">
        <v>1345</v>
      </c>
      <c r="I56" s="2">
        <v>1329</v>
      </c>
      <c r="J56" s="2">
        <v>1273</v>
      </c>
      <c r="K56" s="2">
        <v>1287</v>
      </c>
      <c r="L56" s="2">
        <v>1373</v>
      </c>
      <c r="M56" s="2">
        <v>1401</v>
      </c>
      <c r="N56" s="2">
        <v>1358</v>
      </c>
      <c r="O56" s="2">
        <v>1367</v>
      </c>
      <c r="P56" s="2">
        <v>1405</v>
      </c>
      <c r="Q56" s="2">
        <v>1371</v>
      </c>
      <c r="R56" s="2">
        <v>1386</v>
      </c>
      <c r="S56" s="2">
        <v>1374</v>
      </c>
      <c r="T56" s="2">
        <v>1407</v>
      </c>
      <c r="U56" s="2">
        <v>1381</v>
      </c>
      <c r="V56" s="2">
        <v>1501</v>
      </c>
      <c r="W56" s="2">
        <v>1648</v>
      </c>
      <c r="X56" s="2">
        <v>1655</v>
      </c>
      <c r="Y56" s="2">
        <v>1705</v>
      </c>
      <c r="AI56" s="2">
        <f t="shared" si="91"/>
        <v>1343</v>
      </c>
      <c r="AJ56" s="2">
        <f t="shared" si="95"/>
        <v>1273</v>
      </c>
      <c r="AK56" s="2">
        <f t="shared" si="96"/>
        <v>1358</v>
      </c>
      <c r="AL56" s="2">
        <f t="shared" si="97"/>
        <v>1386</v>
      </c>
      <c r="AM56" s="2">
        <f t="shared" si="98"/>
        <v>1501</v>
      </c>
    </row>
    <row r="57" spans="1:39" s="9" customFormat="1" x14ac:dyDescent="0.25">
      <c r="A57" s="8"/>
      <c r="B57" s="8" t="s">
        <v>97</v>
      </c>
      <c r="C57" s="9">
        <f t="shared" ref="C57:V57" si="100">C47+C54+C55+C56</f>
        <v>38560</v>
      </c>
      <c r="D57" s="9">
        <f t="shared" si="100"/>
        <v>38667</v>
      </c>
      <c r="E57" s="9">
        <f t="shared" si="100"/>
        <v>42009</v>
      </c>
      <c r="F57" s="9">
        <f t="shared" si="100"/>
        <v>40303</v>
      </c>
      <c r="G57" s="9">
        <f t="shared" si="100"/>
        <v>38929</v>
      </c>
      <c r="H57" s="9">
        <f t="shared" si="100"/>
        <v>39996</v>
      </c>
      <c r="I57" s="9">
        <f t="shared" si="100"/>
        <v>43572</v>
      </c>
      <c r="J57" s="9">
        <f t="shared" si="100"/>
        <v>41290</v>
      </c>
      <c r="K57" s="9">
        <f t="shared" si="100"/>
        <v>40619</v>
      </c>
      <c r="L57" s="9">
        <f t="shared" si="100"/>
        <v>41566</v>
      </c>
      <c r="M57" s="9">
        <f t="shared" si="100"/>
        <v>43741</v>
      </c>
      <c r="N57" s="9">
        <f t="shared" si="100"/>
        <v>42779</v>
      </c>
      <c r="O57" s="9">
        <f t="shared" si="100"/>
        <v>44806</v>
      </c>
      <c r="P57" s="9">
        <f t="shared" si="100"/>
        <v>48000</v>
      </c>
      <c r="Q57" s="9">
        <f t="shared" si="100"/>
        <v>50661</v>
      </c>
      <c r="R57" s="9">
        <f t="shared" si="100"/>
        <v>51248</v>
      </c>
      <c r="S57" s="9">
        <f t="shared" si="100"/>
        <v>50471</v>
      </c>
      <c r="T57" s="9">
        <f t="shared" si="100"/>
        <v>51385</v>
      </c>
      <c r="U57" s="9">
        <f t="shared" si="100"/>
        <v>54411</v>
      </c>
      <c r="V57" s="9">
        <f t="shared" si="100"/>
        <v>53811</v>
      </c>
      <c r="W57" s="9">
        <f>W47+W54+W55+W56</f>
        <v>50842</v>
      </c>
      <c r="X57" s="9">
        <f t="shared" ref="X57:Z57" si="101">X47+X54+X55+X56</f>
        <v>52470</v>
      </c>
      <c r="Y57" s="9">
        <f t="shared" si="101"/>
        <v>55615</v>
      </c>
      <c r="Z57" s="9">
        <f t="shared" si="101"/>
        <v>0</v>
      </c>
      <c r="AI57" s="9">
        <f>AI47+AI54+AI55+AI56</f>
        <v>40303</v>
      </c>
      <c r="AJ57" s="9">
        <f t="shared" ref="AJ57:AM57" si="102">AJ47+AJ54+AJ55+AJ56</f>
        <v>41290</v>
      </c>
      <c r="AK57" s="9">
        <f t="shared" si="102"/>
        <v>42779</v>
      </c>
      <c r="AL57" s="9">
        <f t="shared" si="102"/>
        <v>51248</v>
      </c>
      <c r="AM57" s="9">
        <f t="shared" si="102"/>
        <v>53811</v>
      </c>
    </row>
    <row r="58" spans="1:39" x14ac:dyDescent="0.25">
      <c r="B58" s="34" t="s">
        <v>98</v>
      </c>
      <c r="C58" s="2">
        <v>6537</v>
      </c>
      <c r="D58" s="2">
        <v>7584</v>
      </c>
      <c r="E58" s="2">
        <v>9986</v>
      </c>
      <c r="F58" s="2">
        <v>8677</v>
      </c>
      <c r="G58" s="2">
        <v>8131</v>
      </c>
      <c r="H58" s="2">
        <v>9116</v>
      </c>
      <c r="I58" s="2">
        <v>11959</v>
      </c>
      <c r="J58" s="2">
        <v>9761</v>
      </c>
      <c r="K58" s="2">
        <v>8360</v>
      </c>
      <c r="L58" s="2">
        <v>9152</v>
      </c>
      <c r="M58" s="2">
        <v>11258</v>
      </c>
      <c r="N58" s="2">
        <v>9920</v>
      </c>
      <c r="O58" s="2">
        <v>9625</v>
      </c>
      <c r="P58" s="2">
        <v>10726</v>
      </c>
      <c r="Q58" s="2">
        <v>14203</v>
      </c>
      <c r="R58" s="2">
        <v>12859</v>
      </c>
      <c r="S58" s="2">
        <v>11637</v>
      </c>
      <c r="T58" s="2">
        <v>12632</v>
      </c>
      <c r="U58" s="2">
        <v>16250</v>
      </c>
      <c r="V58" s="2">
        <v>15478</v>
      </c>
      <c r="W58" s="2">
        <v>14053</v>
      </c>
      <c r="X58" s="2">
        <v>14891</v>
      </c>
      <c r="Y58" s="2">
        <v>15438</v>
      </c>
      <c r="AI58" s="2">
        <f t="shared" ref="AI58:AI67" si="103">F58</f>
        <v>8677</v>
      </c>
      <c r="AJ58" s="2">
        <f t="shared" ref="AJ58:AJ65" si="104">J58</f>
        <v>9761</v>
      </c>
      <c r="AK58" s="2">
        <f t="shared" ref="AK58:AK65" si="105">N58</f>
        <v>9920</v>
      </c>
      <c r="AL58" s="2">
        <f t="shared" ref="AL58:AL65" si="106">R58</f>
        <v>12859</v>
      </c>
      <c r="AM58" s="2">
        <f t="shared" ref="AM58:AM65" si="107">V58</f>
        <v>15478</v>
      </c>
    </row>
    <row r="59" spans="1:39" x14ac:dyDescent="0.25">
      <c r="B59" s="34" t="s">
        <v>99</v>
      </c>
      <c r="C59" s="2">
        <v>3973</v>
      </c>
      <c r="D59" s="2">
        <v>3627</v>
      </c>
      <c r="E59" s="2">
        <v>3875</v>
      </c>
      <c r="F59" s="2">
        <v>4094</v>
      </c>
      <c r="G59" s="2">
        <v>3630</v>
      </c>
      <c r="H59" s="2">
        <v>3878</v>
      </c>
      <c r="I59" s="2">
        <v>4096</v>
      </c>
      <c r="J59" s="2">
        <v>4201</v>
      </c>
      <c r="K59" s="2">
        <v>3823</v>
      </c>
      <c r="L59" s="2">
        <v>4059</v>
      </c>
      <c r="M59" s="2">
        <v>4191</v>
      </c>
      <c r="N59" s="2">
        <v>4406</v>
      </c>
      <c r="O59" s="2">
        <v>4619</v>
      </c>
      <c r="P59" s="2">
        <v>5057</v>
      </c>
      <c r="Q59" s="2">
        <v>5023</v>
      </c>
      <c r="R59" s="2">
        <v>6122</v>
      </c>
      <c r="S59" s="2">
        <v>5788</v>
      </c>
      <c r="T59" s="2">
        <v>5600</v>
      </c>
      <c r="U59" s="2">
        <v>5925</v>
      </c>
      <c r="V59" s="2">
        <v>6098</v>
      </c>
      <c r="W59" s="2">
        <v>5582</v>
      </c>
      <c r="X59" s="2">
        <v>5905</v>
      </c>
      <c r="Y59" s="2">
        <v>6138</v>
      </c>
      <c r="AI59" s="2">
        <f t="shared" si="103"/>
        <v>4094</v>
      </c>
      <c r="AJ59" s="2">
        <f t="shared" si="104"/>
        <v>4201</v>
      </c>
      <c r="AK59" s="2">
        <f t="shared" si="105"/>
        <v>4406</v>
      </c>
      <c r="AL59" s="2">
        <f t="shared" si="106"/>
        <v>6122</v>
      </c>
      <c r="AM59" s="2">
        <f t="shared" si="107"/>
        <v>6098</v>
      </c>
    </row>
    <row r="60" spans="1:39" x14ac:dyDescent="0.25">
      <c r="B60" s="34" t="s">
        <v>100</v>
      </c>
      <c r="C60" s="2">
        <v>1729</v>
      </c>
      <c r="D60" s="2">
        <v>1365</v>
      </c>
      <c r="E60" s="2">
        <v>1366</v>
      </c>
      <c r="F60" s="2">
        <v>281</v>
      </c>
      <c r="G60" s="2">
        <v>283</v>
      </c>
      <c r="H60" s="2">
        <v>1044</v>
      </c>
      <c r="I60" s="2">
        <v>1535</v>
      </c>
      <c r="J60" s="2">
        <v>1052</v>
      </c>
      <c r="K60" s="2">
        <v>1056</v>
      </c>
      <c r="L60" s="2">
        <v>1153</v>
      </c>
      <c r="M60" s="2">
        <v>1159</v>
      </c>
      <c r="N60" s="2">
        <v>161</v>
      </c>
      <c r="O60" s="2">
        <v>168</v>
      </c>
      <c r="P60" s="2">
        <v>109</v>
      </c>
      <c r="Q60" s="2">
        <v>131</v>
      </c>
      <c r="R60" s="2">
        <v>1144</v>
      </c>
      <c r="S60" s="2">
        <v>1173</v>
      </c>
      <c r="T60" s="2">
        <v>1190</v>
      </c>
      <c r="U60" s="2">
        <v>1176</v>
      </c>
      <c r="V60" s="2">
        <v>171</v>
      </c>
      <c r="W60" s="2">
        <v>1089</v>
      </c>
      <c r="X60" s="2">
        <v>1649</v>
      </c>
      <c r="Y60" s="2">
        <v>2207</v>
      </c>
      <c r="AI60" s="2">
        <f t="shared" si="103"/>
        <v>281</v>
      </c>
      <c r="AJ60" s="2">
        <f t="shared" si="104"/>
        <v>1052</v>
      </c>
      <c r="AK60" s="2">
        <f t="shared" si="105"/>
        <v>161</v>
      </c>
      <c r="AL60" s="2">
        <f t="shared" si="106"/>
        <v>1144</v>
      </c>
      <c r="AM60" s="2">
        <f t="shared" si="107"/>
        <v>171</v>
      </c>
    </row>
    <row r="61" spans="1:39" x14ac:dyDescent="0.25">
      <c r="B61" s="34" t="s">
        <v>101</v>
      </c>
      <c r="C61" s="2">
        <f t="shared" ref="C61:V61" si="108">SUM(C58:C60)</f>
        <v>12239</v>
      </c>
      <c r="D61" s="2">
        <f t="shared" si="108"/>
        <v>12576</v>
      </c>
      <c r="E61" s="2">
        <f t="shared" si="108"/>
        <v>15227</v>
      </c>
      <c r="F61" s="2">
        <f t="shared" si="108"/>
        <v>13052</v>
      </c>
      <c r="G61" s="2">
        <f t="shared" si="108"/>
        <v>12044</v>
      </c>
      <c r="H61" s="2">
        <f t="shared" si="108"/>
        <v>14038</v>
      </c>
      <c r="I61" s="2">
        <f t="shared" si="108"/>
        <v>17590</v>
      </c>
      <c r="J61" s="2">
        <f t="shared" si="108"/>
        <v>15014</v>
      </c>
      <c r="K61" s="2">
        <f t="shared" si="108"/>
        <v>13239</v>
      </c>
      <c r="L61" s="2">
        <f t="shared" si="108"/>
        <v>14364</v>
      </c>
      <c r="M61" s="2">
        <f t="shared" si="108"/>
        <v>16608</v>
      </c>
      <c r="N61" s="2">
        <f t="shared" si="108"/>
        <v>14487</v>
      </c>
      <c r="O61" s="2">
        <f t="shared" si="108"/>
        <v>14412</v>
      </c>
      <c r="P61" s="2">
        <f t="shared" si="108"/>
        <v>15892</v>
      </c>
      <c r="Q61" s="2">
        <f t="shared" si="108"/>
        <v>19357</v>
      </c>
      <c r="R61" s="2">
        <f t="shared" si="108"/>
        <v>20125</v>
      </c>
      <c r="S61" s="2">
        <f t="shared" si="108"/>
        <v>18598</v>
      </c>
      <c r="T61" s="2">
        <f t="shared" si="108"/>
        <v>19422</v>
      </c>
      <c r="U61" s="2">
        <f t="shared" si="108"/>
        <v>23351</v>
      </c>
      <c r="V61" s="2">
        <f t="shared" si="108"/>
        <v>21747</v>
      </c>
      <c r="W61" s="2">
        <f>SUM(W58:W60)</f>
        <v>20724</v>
      </c>
      <c r="X61" s="2">
        <f t="shared" ref="X61:Z61" si="109">SUM(X58:X60)</f>
        <v>22445</v>
      </c>
      <c r="Y61" s="2">
        <f t="shared" si="109"/>
        <v>23783</v>
      </c>
      <c r="Z61" s="2">
        <f t="shared" si="109"/>
        <v>0</v>
      </c>
      <c r="AI61" s="2">
        <f t="shared" si="103"/>
        <v>13052</v>
      </c>
      <c r="AJ61" s="2">
        <f t="shared" si="104"/>
        <v>15014</v>
      </c>
      <c r="AK61" s="2">
        <f t="shared" si="105"/>
        <v>14487</v>
      </c>
      <c r="AL61" s="2">
        <f t="shared" si="106"/>
        <v>20125</v>
      </c>
      <c r="AM61" s="2">
        <f t="shared" si="107"/>
        <v>21747</v>
      </c>
    </row>
    <row r="62" spans="1:39" x14ac:dyDescent="0.25">
      <c r="B62" s="34" t="s">
        <v>102</v>
      </c>
      <c r="C62" s="2">
        <v>10916</v>
      </c>
      <c r="D62" s="2">
        <v>10706</v>
      </c>
      <c r="E62" s="2">
        <v>11090</v>
      </c>
      <c r="F62" s="2">
        <v>11117</v>
      </c>
      <c r="G62" s="2">
        <v>11107</v>
      </c>
      <c r="H62" s="2">
        <v>10108</v>
      </c>
      <c r="I62" s="2">
        <v>10104</v>
      </c>
      <c r="J62" s="2">
        <v>10223</v>
      </c>
      <c r="K62" s="2">
        <v>11357</v>
      </c>
      <c r="L62" s="2">
        <v>10365</v>
      </c>
      <c r="M62" s="2">
        <v>10513</v>
      </c>
      <c r="N62" s="2">
        <v>11338</v>
      </c>
      <c r="O62" s="2">
        <v>14073</v>
      </c>
      <c r="P62" s="2">
        <v>14188</v>
      </c>
      <c r="Q62" s="2">
        <v>12490</v>
      </c>
      <c r="R62" s="2">
        <v>11536</v>
      </c>
      <c r="S62" s="2">
        <v>11509</v>
      </c>
      <c r="T62" s="2">
        <v>11589</v>
      </c>
      <c r="U62" s="2">
        <v>11586</v>
      </c>
      <c r="V62" s="2">
        <v>13549</v>
      </c>
      <c r="W62" s="2">
        <v>13379</v>
      </c>
      <c r="X62" s="2">
        <v>13453</v>
      </c>
      <c r="Y62" s="2">
        <v>14237</v>
      </c>
      <c r="AI62" s="2">
        <f t="shared" si="103"/>
        <v>11117</v>
      </c>
      <c r="AJ62" s="2">
        <f t="shared" si="104"/>
        <v>10223</v>
      </c>
      <c r="AK62" s="2">
        <f t="shared" si="105"/>
        <v>11338</v>
      </c>
      <c r="AL62" s="2">
        <f t="shared" si="106"/>
        <v>11536</v>
      </c>
      <c r="AM62" s="2">
        <f t="shared" si="107"/>
        <v>13549</v>
      </c>
    </row>
    <row r="63" spans="1:39" x14ac:dyDescent="0.25">
      <c r="B63" s="34" t="s">
        <v>103</v>
      </c>
      <c r="C63" s="2">
        <v>1923</v>
      </c>
      <c r="D63" s="2">
        <v>1897</v>
      </c>
      <c r="E63" s="2">
        <v>1901</v>
      </c>
      <c r="F63" s="2">
        <v>1924</v>
      </c>
      <c r="G63" s="2">
        <v>2007</v>
      </c>
      <c r="H63" s="2">
        <v>2028</v>
      </c>
      <c r="I63" s="2">
        <v>2046</v>
      </c>
      <c r="J63" s="2">
        <v>2004</v>
      </c>
      <c r="K63" s="2">
        <v>2064</v>
      </c>
      <c r="L63" s="2">
        <v>2111</v>
      </c>
      <c r="M63" s="2">
        <v>2208</v>
      </c>
      <c r="N63" s="2">
        <v>2275</v>
      </c>
      <c r="O63" s="2">
        <v>2249</v>
      </c>
      <c r="P63" s="2">
        <v>2241</v>
      </c>
      <c r="Q63" s="2">
        <v>2196</v>
      </c>
      <c r="R63" s="2">
        <v>2218</v>
      </c>
      <c r="S63" s="2">
        <v>2337</v>
      </c>
      <c r="T63" s="2">
        <v>2462</v>
      </c>
      <c r="U63" s="2">
        <v>2494</v>
      </c>
      <c r="V63" s="2">
        <v>2493</v>
      </c>
      <c r="W63" s="2">
        <v>2581</v>
      </c>
      <c r="X63" s="2">
        <v>2543</v>
      </c>
      <c r="Y63" s="2">
        <v>2590</v>
      </c>
      <c r="AI63" s="2">
        <f t="shared" si="103"/>
        <v>1924</v>
      </c>
      <c r="AJ63" s="2">
        <f t="shared" si="104"/>
        <v>2004</v>
      </c>
      <c r="AK63" s="2">
        <f t="shared" si="105"/>
        <v>2275</v>
      </c>
      <c r="AL63" s="2">
        <f t="shared" si="106"/>
        <v>2218</v>
      </c>
      <c r="AM63" s="2">
        <f t="shared" si="107"/>
        <v>2493</v>
      </c>
    </row>
    <row r="64" spans="1:39" x14ac:dyDescent="0.25">
      <c r="B64" s="34" t="s">
        <v>104</v>
      </c>
      <c r="C64" s="2">
        <v>843</v>
      </c>
      <c r="D64" s="2">
        <v>757</v>
      </c>
      <c r="E64" s="2">
        <v>915</v>
      </c>
      <c r="F64" s="2">
        <v>693</v>
      </c>
      <c r="G64" s="2">
        <v>744</v>
      </c>
      <c r="H64" s="2">
        <v>828</v>
      </c>
      <c r="I64" s="2">
        <v>970</v>
      </c>
      <c r="J64" s="2">
        <v>972</v>
      </c>
      <c r="K64" s="2">
        <v>1034</v>
      </c>
      <c r="L64" s="2">
        <v>1082</v>
      </c>
      <c r="M64" s="2">
        <v>1215</v>
      </c>
      <c r="N64" s="2">
        <v>1122</v>
      </c>
      <c r="O64" s="2">
        <v>1122</v>
      </c>
      <c r="P64" s="2">
        <v>1121</v>
      </c>
      <c r="Q64" s="2">
        <v>1171</v>
      </c>
      <c r="R64" s="2">
        <v>990</v>
      </c>
      <c r="S64" s="2">
        <v>1169</v>
      </c>
      <c r="T64" s="2">
        <v>1146</v>
      </c>
      <c r="U64" s="2">
        <v>1246</v>
      </c>
      <c r="V64" s="2">
        <v>1566</v>
      </c>
      <c r="W64" s="2">
        <v>1752</v>
      </c>
      <c r="X64" s="2">
        <v>1862</v>
      </c>
      <c r="Y64" s="2">
        <v>2240</v>
      </c>
      <c r="AI64" s="2">
        <f t="shared" si="103"/>
        <v>693</v>
      </c>
      <c r="AJ64" s="2">
        <f t="shared" si="104"/>
        <v>972</v>
      </c>
      <c r="AK64" s="2">
        <f t="shared" si="105"/>
        <v>1122</v>
      </c>
      <c r="AL64" s="2">
        <f t="shared" si="106"/>
        <v>990</v>
      </c>
      <c r="AM64" s="2">
        <f t="shared" si="107"/>
        <v>1566</v>
      </c>
    </row>
    <row r="65" spans="1:39" x14ac:dyDescent="0.25">
      <c r="B65" s="34" t="s">
        <v>105</v>
      </c>
      <c r="C65" s="2">
        <v>1660</v>
      </c>
      <c r="D65" s="2">
        <v>1676</v>
      </c>
      <c r="E65" s="2">
        <v>1784</v>
      </c>
      <c r="F65" s="2">
        <v>1866</v>
      </c>
      <c r="G65" s="2">
        <v>1869</v>
      </c>
      <c r="H65" s="2">
        <v>1827</v>
      </c>
      <c r="I65" s="2">
        <v>1782</v>
      </c>
      <c r="J65" s="2">
        <v>1780</v>
      </c>
      <c r="K65" s="2">
        <v>1808</v>
      </c>
      <c r="L65" s="2">
        <v>1808</v>
      </c>
      <c r="M65" s="2">
        <v>1652</v>
      </c>
      <c r="N65" s="2">
        <v>1724</v>
      </c>
      <c r="O65" s="2">
        <v>1781</v>
      </c>
      <c r="P65" s="2">
        <v>1980</v>
      </c>
      <c r="Q65" s="2">
        <v>2128</v>
      </c>
      <c r="R65" s="2">
        <v>1939</v>
      </c>
      <c r="S65" s="2">
        <v>1899</v>
      </c>
      <c r="T65" s="2">
        <v>1906</v>
      </c>
      <c r="U65" s="2">
        <v>1931</v>
      </c>
      <c r="V65" s="2">
        <v>1629</v>
      </c>
      <c r="W65" s="2">
        <v>1632</v>
      </c>
      <c r="X65" s="2">
        <v>1575</v>
      </c>
      <c r="Y65" s="2">
        <v>1746</v>
      </c>
      <c r="AI65" s="2">
        <f t="shared" si="103"/>
        <v>1866</v>
      </c>
      <c r="AJ65" s="2">
        <f t="shared" si="104"/>
        <v>1780</v>
      </c>
      <c r="AK65" s="2">
        <f t="shared" si="105"/>
        <v>1724</v>
      </c>
      <c r="AL65" s="2">
        <f t="shared" si="106"/>
        <v>1939</v>
      </c>
      <c r="AM65" s="2">
        <f t="shared" si="107"/>
        <v>1629</v>
      </c>
    </row>
    <row r="66" spans="1:39" s="9" customFormat="1" x14ac:dyDescent="0.25">
      <c r="A66" s="8"/>
      <c r="B66" s="8" t="s">
        <v>106</v>
      </c>
      <c r="C66" s="9">
        <f t="shared" ref="C66:V66" si="110">SUM(C61:C65)</f>
        <v>27581</v>
      </c>
      <c r="D66" s="9">
        <f t="shared" si="110"/>
        <v>27612</v>
      </c>
      <c r="E66" s="9">
        <f t="shared" si="110"/>
        <v>30917</v>
      </c>
      <c r="F66" s="9">
        <f t="shared" si="110"/>
        <v>28652</v>
      </c>
      <c r="G66" s="9">
        <f t="shared" si="110"/>
        <v>27771</v>
      </c>
      <c r="H66" s="9">
        <f t="shared" si="110"/>
        <v>28829</v>
      </c>
      <c r="I66" s="9">
        <f t="shared" si="110"/>
        <v>32492</v>
      </c>
      <c r="J66" s="9">
        <f t="shared" si="110"/>
        <v>29993</v>
      </c>
      <c r="K66" s="9">
        <f t="shared" si="110"/>
        <v>29502</v>
      </c>
      <c r="L66" s="9">
        <f t="shared" si="110"/>
        <v>29730</v>
      </c>
      <c r="M66" s="9">
        <f t="shared" si="110"/>
        <v>32196</v>
      </c>
      <c r="N66" s="9">
        <f t="shared" si="110"/>
        <v>30946</v>
      </c>
      <c r="O66" s="9">
        <f t="shared" si="110"/>
        <v>33637</v>
      </c>
      <c r="P66" s="9">
        <f t="shared" si="110"/>
        <v>35422</v>
      </c>
      <c r="Q66" s="9">
        <f t="shared" si="110"/>
        <v>37342</v>
      </c>
      <c r="R66" s="9">
        <f t="shared" si="110"/>
        <v>36808</v>
      </c>
      <c r="S66" s="9">
        <f t="shared" si="110"/>
        <v>35512</v>
      </c>
      <c r="T66" s="9">
        <f t="shared" si="110"/>
        <v>36525</v>
      </c>
      <c r="U66" s="9">
        <f t="shared" si="110"/>
        <v>40608</v>
      </c>
      <c r="V66" s="9">
        <f t="shared" si="110"/>
        <v>40984</v>
      </c>
      <c r="W66" s="9">
        <f>SUM(W61:W65)</f>
        <v>40068</v>
      </c>
      <c r="X66" s="9">
        <f t="shared" ref="X66:Z66" si="111">SUM(X61:X65)</f>
        <v>41878</v>
      </c>
      <c r="Y66" s="9">
        <f t="shared" si="111"/>
        <v>44596</v>
      </c>
      <c r="Z66" s="9">
        <f t="shared" si="111"/>
        <v>0</v>
      </c>
      <c r="AI66" s="9">
        <f>SUM(AI61:AI65)</f>
        <v>28652</v>
      </c>
      <c r="AJ66" s="9">
        <f t="shared" ref="AJ66:AM66" si="112">SUM(AJ61:AJ65)</f>
        <v>29993</v>
      </c>
      <c r="AK66" s="9">
        <f t="shared" si="112"/>
        <v>30946</v>
      </c>
      <c r="AL66" s="9">
        <f t="shared" si="112"/>
        <v>36808</v>
      </c>
      <c r="AM66" s="9">
        <f t="shared" si="112"/>
        <v>40984</v>
      </c>
    </row>
    <row r="67" spans="1:39" x14ac:dyDescent="0.25">
      <c r="B67" s="34" t="s">
        <v>107</v>
      </c>
      <c r="C67" s="2">
        <v>10979</v>
      </c>
      <c r="D67" s="2">
        <v>11055</v>
      </c>
      <c r="E67" s="2">
        <v>11092</v>
      </c>
      <c r="F67" s="2">
        <v>11651</v>
      </c>
      <c r="G67" s="2">
        <v>11158</v>
      </c>
      <c r="H67" s="2">
        <v>11167</v>
      </c>
      <c r="I67" s="2">
        <v>11080</v>
      </c>
      <c r="J67" s="2">
        <v>11297</v>
      </c>
      <c r="K67" s="2">
        <v>11117</v>
      </c>
      <c r="L67" s="2">
        <v>11836</v>
      </c>
      <c r="M67" s="2">
        <v>11545</v>
      </c>
      <c r="N67" s="2">
        <v>11833</v>
      </c>
      <c r="O67" s="2">
        <v>11169</v>
      </c>
      <c r="P67" s="2">
        <v>12578</v>
      </c>
      <c r="Q67" s="2">
        <v>13319</v>
      </c>
      <c r="R67" s="2">
        <v>14440</v>
      </c>
      <c r="S67" s="2">
        <v>14959</v>
      </c>
      <c r="T67" s="2">
        <v>14860</v>
      </c>
      <c r="U67" s="2">
        <v>13803</v>
      </c>
      <c r="V67" s="2">
        <v>12827</v>
      </c>
      <c r="W67" s="2">
        <v>10774</v>
      </c>
      <c r="X67" s="2">
        <v>10592</v>
      </c>
      <c r="Y67" s="2">
        <v>11019</v>
      </c>
      <c r="AI67" s="2">
        <f t="shared" si="103"/>
        <v>11651</v>
      </c>
      <c r="AJ67" s="2">
        <f>J67</f>
        <v>11297</v>
      </c>
      <c r="AK67" s="2">
        <f>N67</f>
        <v>11833</v>
      </c>
      <c r="AL67" s="2">
        <f>R67</f>
        <v>14440</v>
      </c>
      <c r="AM67" s="2">
        <f>V67</f>
        <v>12827</v>
      </c>
    </row>
    <row r="68" spans="1:39" s="9" customFormat="1" x14ac:dyDescent="0.25">
      <c r="A68" s="8"/>
      <c r="B68" s="8" t="s">
        <v>108</v>
      </c>
      <c r="C68" s="9">
        <f t="shared" ref="C68:V68" si="113">C66+C67</f>
        <v>38560</v>
      </c>
      <c r="D68" s="9">
        <f t="shared" si="113"/>
        <v>38667</v>
      </c>
      <c r="E68" s="9">
        <f t="shared" si="113"/>
        <v>42009</v>
      </c>
      <c r="F68" s="9">
        <f t="shared" si="113"/>
        <v>40303</v>
      </c>
      <c r="G68" s="9">
        <f t="shared" si="113"/>
        <v>38929</v>
      </c>
      <c r="H68" s="9">
        <f t="shared" si="113"/>
        <v>39996</v>
      </c>
      <c r="I68" s="9">
        <f t="shared" si="113"/>
        <v>43572</v>
      </c>
      <c r="J68" s="9">
        <f t="shared" si="113"/>
        <v>41290</v>
      </c>
      <c r="K68" s="9">
        <f t="shared" si="113"/>
        <v>40619</v>
      </c>
      <c r="L68" s="9">
        <f t="shared" si="113"/>
        <v>41566</v>
      </c>
      <c r="M68" s="9">
        <f t="shared" si="113"/>
        <v>43741</v>
      </c>
      <c r="N68" s="9">
        <f t="shared" si="113"/>
        <v>42779</v>
      </c>
      <c r="O68" s="9">
        <f t="shared" si="113"/>
        <v>44806</v>
      </c>
      <c r="P68" s="9">
        <f t="shared" si="113"/>
        <v>48000</v>
      </c>
      <c r="Q68" s="9">
        <f t="shared" si="113"/>
        <v>50661</v>
      </c>
      <c r="R68" s="9">
        <f t="shared" si="113"/>
        <v>51248</v>
      </c>
      <c r="S68" s="9">
        <f t="shared" si="113"/>
        <v>50471</v>
      </c>
      <c r="T68" s="9">
        <f t="shared" si="113"/>
        <v>51385</v>
      </c>
      <c r="U68" s="9">
        <f t="shared" si="113"/>
        <v>54411</v>
      </c>
      <c r="V68" s="9">
        <f t="shared" si="113"/>
        <v>53811</v>
      </c>
      <c r="W68" s="9">
        <f>W66+W67</f>
        <v>50842</v>
      </c>
      <c r="X68" s="9">
        <f t="shared" ref="X68:Z68" si="114">X66+X67</f>
        <v>52470</v>
      </c>
      <c r="Y68" s="9">
        <f t="shared" si="114"/>
        <v>55615</v>
      </c>
      <c r="Z68" s="9">
        <f t="shared" si="114"/>
        <v>0</v>
      </c>
      <c r="AI68" s="9">
        <f>AI66+AI67</f>
        <v>40303</v>
      </c>
      <c r="AJ68" s="9">
        <f t="shared" ref="AJ68:AM68" si="115">AJ66+AJ67</f>
        <v>41290</v>
      </c>
      <c r="AK68" s="9">
        <f t="shared" si="115"/>
        <v>42779</v>
      </c>
      <c r="AL68" s="9">
        <f t="shared" si="115"/>
        <v>51248</v>
      </c>
      <c r="AM68" s="9">
        <f t="shared" si="115"/>
        <v>53811</v>
      </c>
    </row>
    <row r="71" spans="1:39" x14ac:dyDescent="0.25">
      <c r="B71" s="37" t="s">
        <v>111</v>
      </c>
      <c r="C71" s="2">
        <f>C25</f>
        <v>1194</v>
      </c>
      <c r="D71" s="2">
        <f t="shared" ref="D71:W71" si="116">D25</f>
        <v>1192</v>
      </c>
      <c r="E71" s="2">
        <f t="shared" si="116"/>
        <v>1060</v>
      </c>
      <c r="F71" s="2">
        <f t="shared" si="116"/>
        <v>1692</v>
      </c>
      <c r="G71" s="2">
        <f t="shared" si="116"/>
        <v>1288</v>
      </c>
      <c r="H71" s="2">
        <f t="shared" si="116"/>
        <v>1338</v>
      </c>
      <c r="I71" s="2">
        <f t="shared" si="116"/>
        <v>1152</v>
      </c>
      <c r="J71" s="2">
        <f t="shared" si="116"/>
        <v>1384</v>
      </c>
      <c r="K71" s="2">
        <f t="shared" si="116"/>
        <v>1376</v>
      </c>
      <c r="L71" s="2">
        <f t="shared" si="116"/>
        <v>1499</v>
      </c>
      <c r="M71" s="2">
        <f t="shared" si="116"/>
        <v>1289</v>
      </c>
      <c r="N71" s="2">
        <f t="shared" si="116"/>
        <v>1474</v>
      </c>
      <c r="O71" s="2">
        <f t="shared" si="116"/>
        <v>861</v>
      </c>
      <c r="P71" s="2">
        <f t="shared" si="116"/>
        <v>2232</v>
      </c>
      <c r="Q71" s="2">
        <f t="shared" si="116"/>
        <v>1555</v>
      </c>
      <c r="R71" s="2">
        <f t="shared" si="116"/>
        <v>1950</v>
      </c>
      <c r="S71" s="2">
        <f t="shared" si="116"/>
        <v>2695</v>
      </c>
      <c r="T71" s="2">
        <f t="shared" si="116"/>
        <v>2381</v>
      </c>
      <c r="U71" s="2">
        <f t="shared" si="116"/>
        <v>2065</v>
      </c>
      <c r="V71" s="2">
        <f t="shared" si="116"/>
        <v>2149</v>
      </c>
      <c r="W71" s="2">
        <f t="shared" si="116"/>
        <v>1610</v>
      </c>
      <c r="AI71" s="2">
        <f>AI25</f>
        <v>5138</v>
      </c>
      <c r="AJ71" s="2">
        <f t="shared" ref="AJ71:AM71" si="117">AJ25</f>
        <v>5162</v>
      </c>
      <c r="AK71" s="2">
        <f t="shared" si="117"/>
        <v>5638</v>
      </c>
      <c r="AL71" s="2">
        <f>AL25</f>
        <v>6598</v>
      </c>
      <c r="AM71" s="2">
        <f t="shared" si="117"/>
        <v>9290</v>
      </c>
    </row>
    <row r="72" spans="1:39" x14ac:dyDescent="0.25">
      <c r="B72" s="37" t="s">
        <v>112</v>
      </c>
      <c r="C72" s="2"/>
      <c r="D72" s="2"/>
      <c r="N72" s="2">
        <v>3269</v>
      </c>
      <c r="R72" s="2">
        <f>R25</f>
        <v>1950</v>
      </c>
      <c r="S72" s="2">
        <v>2097</v>
      </c>
      <c r="W72" s="2">
        <v>1009</v>
      </c>
      <c r="AI72" s="2">
        <v>2908</v>
      </c>
      <c r="AJ72" s="2">
        <v>2930</v>
      </c>
      <c r="AK72" s="2">
        <f>N72</f>
        <v>3269</v>
      </c>
      <c r="AL72" s="2">
        <v>4368</v>
      </c>
      <c r="AM72" s="2">
        <v>6949</v>
      </c>
    </row>
    <row r="73" spans="1:39" x14ac:dyDescent="0.25">
      <c r="B73" s="37" t="s">
        <v>93</v>
      </c>
      <c r="C73" s="2"/>
      <c r="D73" s="2"/>
      <c r="N73" s="2">
        <v>2604</v>
      </c>
      <c r="S73" s="2">
        <v>667</v>
      </c>
      <c r="W73" s="2">
        <v>679</v>
      </c>
      <c r="AI73" s="2">
        <v>2476</v>
      </c>
      <c r="AJ73" s="2">
        <v>2474</v>
      </c>
      <c r="AK73" s="2">
        <f t="shared" ref="AK73:AK82" si="118">N73</f>
        <v>2604</v>
      </c>
      <c r="AL73" s="2">
        <v>2485</v>
      </c>
      <c r="AM73" s="2">
        <v>2642</v>
      </c>
    </row>
    <row r="74" spans="1:39" x14ac:dyDescent="0.25">
      <c r="B74" s="37" t="s">
        <v>113</v>
      </c>
      <c r="C74" s="2"/>
      <c r="D74" s="2"/>
      <c r="N74" s="2">
        <v>147</v>
      </c>
      <c r="S74" s="2">
        <v>79</v>
      </c>
      <c r="W74" s="2">
        <v>83</v>
      </c>
      <c r="AI74" s="2">
        <v>112</v>
      </c>
      <c r="AJ74" s="2">
        <v>132</v>
      </c>
      <c r="AK74" s="2">
        <f t="shared" si="118"/>
        <v>147</v>
      </c>
      <c r="AL74" s="2">
        <v>200</v>
      </c>
      <c r="AM74" s="2">
        <v>228</v>
      </c>
    </row>
    <row r="75" spans="1:39" x14ac:dyDescent="0.25">
      <c r="B75" s="37" t="s">
        <v>104</v>
      </c>
      <c r="C75" s="2"/>
      <c r="D75" s="2"/>
      <c r="N75" s="2">
        <v>178</v>
      </c>
      <c r="S75" s="2">
        <v>170</v>
      </c>
      <c r="W75" s="2">
        <v>115</v>
      </c>
      <c r="AI75" s="2">
        <v>-188</v>
      </c>
      <c r="AJ75" s="2">
        <v>322</v>
      </c>
      <c r="AK75" s="2">
        <f t="shared" si="118"/>
        <v>178</v>
      </c>
      <c r="AL75" s="2">
        <v>-184</v>
      </c>
      <c r="AM75" s="2">
        <v>522</v>
      </c>
    </row>
    <row r="76" spans="1:39" x14ac:dyDescent="0.25">
      <c r="B76" s="37" t="s">
        <v>114</v>
      </c>
      <c r="C76" s="2"/>
      <c r="D76" s="2"/>
      <c r="N76" s="2">
        <v>0</v>
      </c>
      <c r="S76" s="2">
        <v>-335</v>
      </c>
      <c r="W76" s="2">
        <v>0</v>
      </c>
      <c r="AI76" s="2">
        <v>0</v>
      </c>
      <c r="AJ76" s="2">
        <v>0</v>
      </c>
      <c r="AK76" s="2">
        <f t="shared" si="118"/>
        <v>0</v>
      </c>
      <c r="AL76" s="2">
        <v>0</v>
      </c>
      <c r="AM76" s="2">
        <v>-335</v>
      </c>
    </row>
    <row r="77" spans="1:39" x14ac:dyDescent="0.25">
      <c r="B77" s="37" t="s">
        <v>133</v>
      </c>
      <c r="C77" s="2"/>
      <c r="D77" s="2"/>
      <c r="N77" s="2">
        <v>10</v>
      </c>
      <c r="S77" s="2">
        <v>0</v>
      </c>
      <c r="W77" s="2">
        <v>0</v>
      </c>
      <c r="AI77" s="2">
        <v>123</v>
      </c>
      <c r="AJ77" s="2">
        <v>0</v>
      </c>
      <c r="AK77" s="2">
        <f t="shared" si="118"/>
        <v>10</v>
      </c>
      <c r="AL77" s="2">
        <v>512</v>
      </c>
      <c r="AM77" s="2">
        <v>0</v>
      </c>
    </row>
    <row r="78" spans="1:39" x14ac:dyDescent="0.25">
      <c r="B78" s="37" t="s">
        <v>115</v>
      </c>
      <c r="C78" s="2"/>
      <c r="D78" s="2"/>
      <c r="N78" s="2">
        <v>29</v>
      </c>
      <c r="S78" s="2">
        <v>-30</v>
      </c>
      <c r="W78" s="2">
        <v>52</v>
      </c>
      <c r="AI78" s="2">
        <v>208</v>
      </c>
      <c r="AJ78" s="2">
        <v>95</v>
      </c>
      <c r="AK78" s="2">
        <f t="shared" si="118"/>
        <v>29</v>
      </c>
      <c r="AL78" s="2">
        <v>86</v>
      </c>
      <c r="AM78" s="2">
        <v>67</v>
      </c>
    </row>
    <row r="79" spans="1:39" x14ac:dyDescent="0.25">
      <c r="B79" s="37" t="s">
        <v>85</v>
      </c>
      <c r="C79" s="2"/>
      <c r="D79" s="2"/>
      <c r="N79" s="2">
        <v>505</v>
      </c>
      <c r="S79" s="2">
        <v>114</v>
      </c>
      <c r="W79" s="2">
        <v>-1181</v>
      </c>
      <c r="AI79" s="2">
        <v>-348</v>
      </c>
      <c r="AJ79" s="2">
        <v>-900</v>
      </c>
      <c r="AK79" s="2">
        <f t="shared" si="118"/>
        <v>505</v>
      </c>
      <c r="AL79" s="2">
        <v>-1661</v>
      </c>
      <c r="AM79" s="2">
        <v>-3249</v>
      </c>
    </row>
    <row r="80" spans="1:39" x14ac:dyDescent="0.25">
      <c r="B80" s="37" t="s">
        <v>116</v>
      </c>
      <c r="C80" s="2"/>
      <c r="D80" s="2"/>
      <c r="N80" s="2">
        <v>18</v>
      </c>
      <c r="S80" s="2">
        <v>-5</v>
      </c>
      <c r="W80" s="2">
        <v>-86</v>
      </c>
      <c r="AI80" s="2">
        <v>-156</v>
      </c>
      <c r="AJ80" s="2">
        <v>-299</v>
      </c>
      <c r="AK80" s="2">
        <f t="shared" si="118"/>
        <v>18</v>
      </c>
      <c r="AL80" s="2">
        <v>-137</v>
      </c>
      <c r="AM80" s="2">
        <v>-78</v>
      </c>
    </row>
    <row r="81" spans="1:39" x14ac:dyDescent="0.25">
      <c r="B81" s="37" t="s">
        <v>98</v>
      </c>
      <c r="C81" s="2"/>
      <c r="D81" s="2"/>
      <c r="N81" s="2">
        <v>140</v>
      </c>
      <c r="S81" s="2">
        <v>-1205</v>
      </c>
      <c r="W81" s="2">
        <v>-1560</v>
      </c>
      <c r="AI81" s="2">
        <v>1307</v>
      </c>
      <c r="AJ81" s="2">
        <v>1127</v>
      </c>
      <c r="AK81" s="2">
        <f t="shared" si="118"/>
        <v>140</v>
      </c>
      <c r="AL81" s="2">
        <v>2925</v>
      </c>
      <c r="AM81" s="2">
        <v>2628</v>
      </c>
    </row>
    <row r="82" spans="1:39" x14ac:dyDescent="0.25">
      <c r="B82" s="37" t="s">
        <v>117</v>
      </c>
      <c r="C82" s="2"/>
      <c r="D82" s="2"/>
      <c r="N82" s="2">
        <v>199</v>
      </c>
      <c r="S82" s="2">
        <v>-413</v>
      </c>
      <c r="W82" s="2">
        <v>-505</v>
      </c>
      <c r="AI82" s="2">
        <v>419</v>
      </c>
      <c r="AJ82" s="2">
        <v>89</v>
      </c>
      <c r="AK82" s="2">
        <f t="shared" si="118"/>
        <v>199</v>
      </c>
      <c r="AL82" s="2">
        <v>1931</v>
      </c>
      <c r="AM82" s="2">
        <v>-746</v>
      </c>
    </row>
    <row r="83" spans="1:39" s="9" customFormat="1" x14ac:dyDescent="0.25">
      <c r="A83" s="8"/>
      <c r="B83" s="8" t="s">
        <v>118</v>
      </c>
      <c r="C83" s="9">
        <f t="shared" ref="C83:W83" si="119">SUM(C72:C82)</f>
        <v>0</v>
      </c>
      <c r="D83" s="9">
        <f t="shared" si="119"/>
        <v>0</v>
      </c>
      <c r="E83" s="9">
        <f t="shared" si="119"/>
        <v>0</v>
      </c>
      <c r="F83" s="9">
        <f t="shared" si="119"/>
        <v>0</v>
      </c>
      <c r="G83" s="9">
        <f t="shared" si="119"/>
        <v>0</v>
      </c>
      <c r="H83" s="9">
        <f t="shared" si="119"/>
        <v>0</v>
      </c>
      <c r="I83" s="9">
        <f t="shared" si="119"/>
        <v>0</v>
      </c>
      <c r="J83" s="9">
        <f t="shared" si="119"/>
        <v>0</v>
      </c>
      <c r="K83" s="9">
        <f t="shared" si="119"/>
        <v>0</v>
      </c>
      <c r="L83" s="9">
        <f t="shared" si="119"/>
        <v>0</v>
      </c>
      <c r="M83" s="9">
        <f t="shared" si="119"/>
        <v>0</v>
      </c>
      <c r="N83" s="9">
        <f t="shared" si="119"/>
        <v>7099</v>
      </c>
      <c r="O83" s="9">
        <f t="shared" si="119"/>
        <v>0</v>
      </c>
      <c r="P83" s="9">
        <f t="shared" si="119"/>
        <v>0</v>
      </c>
      <c r="Q83" s="9">
        <f t="shared" si="119"/>
        <v>0</v>
      </c>
      <c r="R83" s="9">
        <f t="shared" si="119"/>
        <v>1950</v>
      </c>
      <c r="S83" s="9">
        <f t="shared" si="119"/>
        <v>1139</v>
      </c>
      <c r="T83" s="9">
        <f t="shared" si="119"/>
        <v>0</v>
      </c>
      <c r="U83" s="9">
        <f t="shared" si="119"/>
        <v>0</v>
      </c>
      <c r="V83" s="9">
        <f t="shared" si="119"/>
        <v>0</v>
      </c>
      <c r="W83" s="9">
        <f t="shared" si="119"/>
        <v>-1394</v>
      </c>
      <c r="AI83" s="9">
        <f>SUM(AI72:AI82)</f>
        <v>6861</v>
      </c>
      <c r="AJ83" s="9">
        <f>SUM(AJ72:AJ82)</f>
        <v>5970</v>
      </c>
      <c r="AK83" s="9">
        <f>SUM(AK72:AK82)</f>
        <v>7099</v>
      </c>
      <c r="AL83" s="9">
        <f>SUM(AL72:AL82)</f>
        <v>10525</v>
      </c>
      <c r="AM83" s="9">
        <f>SUM(AM72:AM82)</f>
        <v>8628</v>
      </c>
    </row>
    <row r="84" spans="1:39" s="38" customFormat="1" x14ac:dyDescent="0.25">
      <c r="A84" s="37"/>
      <c r="B84" s="37" t="s">
        <v>119</v>
      </c>
      <c r="N84" s="38">
        <v>-3027</v>
      </c>
      <c r="S84" s="38">
        <v>-540</v>
      </c>
      <c r="W84" s="38">
        <v>-952</v>
      </c>
      <c r="AI84" s="38">
        <v>-2533</v>
      </c>
      <c r="AJ84" s="38">
        <v>-3516</v>
      </c>
      <c r="AK84" s="2">
        <f t="shared" ref="AK84:AK87" si="120">N84</f>
        <v>-3027</v>
      </c>
      <c r="AL84" s="38">
        <v>-2649</v>
      </c>
      <c r="AM84" s="38">
        <v>-3544</v>
      </c>
    </row>
    <row r="85" spans="1:39" s="38" customFormat="1" x14ac:dyDescent="0.25">
      <c r="A85" s="37"/>
      <c r="B85" s="37" t="s">
        <v>120</v>
      </c>
      <c r="N85" s="38">
        <v>63</v>
      </c>
      <c r="S85" s="38">
        <v>12</v>
      </c>
      <c r="W85" s="38">
        <v>2</v>
      </c>
      <c r="AI85" s="38">
        <v>31</v>
      </c>
      <c r="AJ85" s="38">
        <v>85</v>
      </c>
      <c r="AK85" s="2">
        <f t="shared" si="120"/>
        <v>63</v>
      </c>
      <c r="AL85" s="38">
        <v>42</v>
      </c>
      <c r="AM85" s="38">
        <v>27</v>
      </c>
    </row>
    <row r="86" spans="1:39" x14ac:dyDescent="0.25">
      <c r="B86" s="37" t="s">
        <v>121</v>
      </c>
      <c r="C86" s="2"/>
      <c r="D86" s="2"/>
      <c r="N86" s="2">
        <v>0</v>
      </c>
      <c r="S86" s="2">
        <v>356</v>
      </c>
      <c r="W86" s="2">
        <v>0</v>
      </c>
      <c r="AI86" s="2">
        <v>-518</v>
      </c>
      <c r="AJ86" s="2">
        <v>0</v>
      </c>
      <c r="AK86" s="2">
        <f t="shared" si="120"/>
        <v>0</v>
      </c>
      <c r="AL86" s="2">
        <v>0</v>
      </c>
      <c r="AM86" s="2">
        <v>356</v>
      </c>
    </row>
    <row r="87" spans="1:39" s="38" customFormat="1" x14ac:dyDescent="0.25">
      <c r="A87" s="37"/>
      <c r="B87" s="37" t="s">
        <v>122</v>
      </c>
      <c r="N87" s="38">
        <v>20</v>
      </c>
      <c r="S87" s="38">
        <v>7</v>
      </c>
      <c r="W87" s="38">
        <v>2</v>
      </c>
      <c r="AI87" s="38">
        <v>-55</v>
      </c>
      <c r="AJ87" s="38">
        <v>15</v>
      </c>
      <c r="AK87" s="38">
        <f t="shared" si="120"/>
        <v>20</v>
      </c>
      <c r="AL87" s="38">
        <v>16</v>
      </c>
      <c r="AM87" s="38">
        <v>7</v>
      </c>
    </row>
    <row r="88" spans="1:39" s="9" customFormat="1" x14ac:dyDescent="0.25">
      <c r="A88" s="8"/>
      <c r="B88" s="8" t="s">
        <v>123</v>
      </c>
      <c r="C88" s="9">
        <f>SUM(C84:C87)</f>
        <v>0</v>
      </c>
      <c r="D88" s="9">
        <f t="shared" ref="D88:W88" si="121">SUM(D84:D87)</f>
        <v>0</v>
      </c>
      <c r="E88" s="9">
        <f t="shared" si="121"/>
        <v>0</v>
      </c>
      <c r="F88" s="9">
        <f t="shared" si="121"/>
        <v>0</v>
      </c>
      <c r="G88" s="9">
        <f t="shared" si="121"/>
        <v>0</v>
      </c>
      <c r="H88" s="9">
        <f t="shared" si="121"/>
        <v>0</v>
      </c>
      <c r="I88" s="9">
        <f t="shared" si="121"/>
        <v>0</v>
      </c>
      <c r="J88" s="9">
        <f t="shared" si="121"/>
        <v>0</v>
      </c>
      <c r="K88" s="9">
        <f t="shared" si="121"/>
        <v>0</v>
      </c>
      <c r="L88" s="9">
        <f t="shared" si="121"/>
        <v>0</v>
      </c>
      <c r="M88" s="9">
        <f t="shared" si="121"/>
        <v>0</v>
      </c>
      <c r="N88" s="9">
        <f t="shared" si="121"/>
        <v>-2944</v>
      </c>
      <c r="O88" s="9">
        <f t="shared" si="121"/>
        <v>0</v>
      </c>
      <c r="P88" s="9">
        <f t="shared" si="121"/>
        <v>0</v>
      </c>
      <c r="Q88" s="9">
        <f t="shared" si="121"/>
        <v>0</v>
      </c>
      <c r="R88" s="9">
        <f t="shared" si="121"/>
        <v>0</v>
      </c>
      <c r="S88" s="9">
        <f t="shared" si="121"/>
        <v>-165</v>
      </c>
      <c r="T88" s="9">
        <f t="shared" si="121"/>
        <v>0</v>
      </c>
      <c r="U88" s="9">
        <f t="shared" si="121"/>
        <v>0</v>
      </c>
      <c r="V88" s="9">
        <f t="shared" si="121"/>
        <v>0</v>
      </c>
      <c r="W88" s="9">
        <f t="shared" si="121"/>
        <v>-948</v>
      </c>
      <c r="AI88" s="9">
        <f t="shared" ref="AI88" si="122">SUM(AI84:AI87)</f>
        <v>-3075</v>
      </c>
      <c r="AJ88" s="9">
        <f t="shared" ref="AJ88" si="123">SUM(AJ84:AJ87)</f>
        <v>-3416</v>
      </c>
      <c r="AK88" s="9">
        <f t="shared" ref="AK88" si="124">SUM(AK84:AK87)</f>
        <v>-2944</v>
      </c>
      <c r="AL88" s="9">
        <f t="shared" ref="AL88" si="125">SUM(AL84:AL87)</f>
        <v>-2591</v>
      </c>
      <c r="AM88" s="9">
        <f t="shared" ref="AM88" si="126">SUM(AM84:AM87)</f>
        <v>-3154</v>
      </c>
    </row>
    <row r="89" spans="1:39" x14ac:dyDescent="0.25">
      <c r="B89" s="37" t="s">
        <v>124</v>
      </c>
      <c r="C89" s="2"/>
      <c r="D89" s="2"/>
      <c r="N89" s="2">
        <v>0</v>
      </c>
      <c r="S89" s="2">
        <v>0</v>
      </c>
      <c r="W89" s="2">
        <v>945</v>
      </c>
      <c r="AI89" s="2">
        <v>0</v>
      </c>
      <c r="AJ89" s="2">
        <v>0</v>
      </c>
      <c r="AK89" s="2">
        <f t="shared" ref="AK89:AK95" si="127">N89</f>
        <v>0</v>
      </c>
      <c r="AL89" s="2">
        <v>0</v>
      </c>
      <c r="AM89" s="2">
        <v>0</v>
      </c>
    </row>
    <row r="90" spans="1:39" x14ac:dyDescent="0.25">
      <c r="B90" s="37" t="s">
        <v>134</v>
      </c>
      <c r="C90" s="2"/>
      <c r="D90" s="2"/>
      <c r="N90" s="2">
        <v>1739</v>
      </c>
      <c r="S90" s="2">
        <v>0</v>
      </c>
      <c r="W90" s="2">
        <v>0</v>
      </c>
      <c r="AI90" s="2">
        <v>739</v>
      </c>
      <c r="AJ90" s="2">
        <v>0</v>
      </c>
      <c r="AK90" s="2">
        <f t="shared" si="127"/>
        <v>1739</v>
      </c>
      <c r="AL90" s="2">
        <v>2480</v>
      </c>
      <c r="AM90" s="2">
        <v>1972</v>
      </c>
    </row>
    <row r="91" spans="1:39" x14ac:dyDescent="0.25">
      <c r="B91" s="37" t="s">
        <v>125</v>
      </c>
      <c r="C91" s="2"/>
      <c r="D91" s="2"/>
      <c r="N91" s="2">
        <v>-2069</v>
      </c>
      <c r="S91" s="2">
        <v>-21</v>
      </c>
      <c r="W91" s="2">
        <v>-48</v>
      </c>
      <c r="AI91" s="2">
        <v>-2192</v>
      </c>
      <c r="AJ91" s="2">
        <v>-281</v>
      </c>
      <c r="AK91" s="2">
        <f t="shared" si="127"/>
        <v>-2069</v>
      </c>
      <c r="AL91" s="2">
        <v>-2415</v>
      </c>
      <c r="AM91" s="2">
        <v>-1147</v>
      </c>
    </row>
    <row r="92" spans="1:39" x14ac:dyDescent="0.25">
      <c r="B92" s="37" t="s">
        <v>126</v>
      </c>
      <c r="C92" s="2"/>
      <c r="D92" s="2"/>
      <c r="N92" s="2">
        <v>-1330</v>
      </c>
      <c r="S92" s="2">
        <v>-340</v>
      </c>
      <c r="W92" s="2">
        <v>-424</v>
      </c>
      <c r="AI92" s="2">
        <v>-1338</v>
      </c>
      <c r="AJ92" s="2">
        <v>-1335</v>
      </c>
      <c r="AK92" s="2">
        <f t="shared" si="127"/>
        <v>-1330</v>
      </c>
      <c r="AL92" s="2">
        <v>-1343</v>
      </c>
      <c r="AM92" s="2">
        <v>-1548</v>
      </c>
    </row>
    <row r="93" spans="1:39" x14ac:dyDescent="0.25">
      <c r="B93" s="37" t="s">
        <v>127</v>
      </c>
      <c r="C93" s="2"/>
      <c r="D93" s="2"/>
      <c r="N93" s="2">
        <v>-1565</v>
      </c>
      <c r="S93" s="2">
        <v>-1310</v>
      </c>
      <c r="W93" s="2">
        <v>-181</v>
      </c>
      <c r="AI93" s="2">
        <v>-1046</v>
      </c>
      <c r="AJ93" s="2">
        <v>-2124</v>
      </c>
      <c r="AK93" s="2">
        <f t="shared" si="127"/>
        <v>-1565</v>
      </c>
      <c r="AL93" s="2">
        <v>-745</v>
      </c>
      <c r="AM93" s="2">
        <v>-7356</v>
      </c>
    </row>
    <row r="94" spans="1:39" x14ac:dyDescent="0.25">
      <c r="B94" s="37" t="s">
        <v>128</v>
      </c>
      <c r="C94" s="2"/>
      <c r="D94" s="2"/>
      <c r="N94" s="2">
        <v>0</v>
      </c>
      <c r="S94" s="2">
        <v>0</v>
      </c>
      <c r="W94" s="2">
        <v>-2750</v>
      </c>
      <c r="AI94" s="2">
        <v>0</v>
      </c>
      <c r="AJ94" s="2">
        <v>0</v>
      </c>
      <c r="AK94" s="2">
        <f t="shared" si="127"/>
        <v>0</v>
      </c>
      <c r="AL94" s="2">
        <v>0</v>
      </c>
      <c r="AM94" s="2">
        <v>0</v>
      </c>
    </row>
    <row r="95" spans="1:39" x14ac:dyDescent="0.25">
      <c r="B95" s="37" t="s">
        <v>129</v>
      </c>
      <c r="C95" s="2"/>
      <c r="D95" s="2"/>
      <c r="N95" s="2">
        <v>73</v>
      </c>
      <c r="S95" s="2">
        <v>2</v>
      </c>
      <c r="W95" s="2">
        <v>1</v>
      </c>
      <c r="AI95" s="2">
        <v>108</v>
      </c>
      <c r="AJ95" s="2">
        <v>96</v>
      </c>
      <c r="AK95" s="2">
        <f t="shared" si="127"/>
        <v>73</v>
      </c>
      <c r="AL95" s="2">
        <v>23</v>
      </c>
      <c r="AM95" s="2">
        <v>8</v>
      </c>
    </row>
    <row r="96" spans="1:39" s="9" customFormat="1" x14ac:dyDescent="0.25">
      <c r="A96" s="8"/>
      <c r="B96" s="8" t="s">
        <v>130</v>
      </c>
      <c r="C96" s="9">
        <f>SUM(C89:C95)</f>
        <v>0</v>
      </c>
      <c r="D96" s="9">
        <f t="shared" ref="D96:V96" si="128">SUM(D89:D95)</f>
        <v>0</v>
      </c>
      <c r="E96" s="9">
        <f t="shared" si="128"/>
        <v>0</v>
      </c>
      <c r="F96" s="9">
        <f t="shared" si="128"/>
        <v>0</v>
      </c>
      <c r="G96" s="9">
        <f t="shared" si="128"/>
        <v>0</v>
      </c>
      <c r="H96" s="9">
        <f t="shared" si="128"/>
        <v>0</v>
      </c>
      <c r="I96" s="9">
        <f t="shared" si="128"/>
        <v>0</v>
      </c>
      <c r="J96" s="9">
        <f t="shared" si="128"/>
        <v>0</v>
      </c>
      <c r="K96" s="9">
        <f t="shared" si="128"/>
        <v>0</v>
      </c>
      <c r="L96" s="9">
        <f t="shared" si="128"/>
        <v>0</v>
      </c>
      <c r="M96" s="9">
        <f t="shared" si="128"/>
        <v>0</v>
      </c>
      <c r="N96" s="9">
        <f t="shared" si="128"/>
        <v>-3152</v>
      </c>
      <c r="O96" s="9">
        <f t="shared" si="128"/>
        <v>0</v>
      </c>
      <c r="P96" s="9">
        <f t="shared" si="128"/>
        <v>0</v>
      </c>
      <c r="Q96" s="9">
        <f t="shared" si="128"/>
        <v>0</v>
      </c>
      <c r="R96" s="9">
        <f t="shared" si="128"/>
        <v>0</v>
      </c>
      <c r="S96" s="9">
        <f t="shared" si="128"/>
        <v>-1669</v>
      </c>
      <c r="T96" s="9">
        <f t="shared" si="128"/>
        <v>0</v>
      </c>
      <c r="U96" s="9">
        <f t="shared" si="128"/>
        <v>0</v>
      </c>
      <c r="V96" s="9">
        <f t="shared" si="128"/>
        <v>0</v>
      </c>
      <c r="W96" s="9">
        <f>SUM(W89:W95)</f>
        <v>-2457</v>
      </c>
      <c r="AI96" s="9">
        <f t="shared" ref="AI96" si="129">SUM(AI89:AI95)</f>
        <v>-3729</v>
      </c>
      <c r="AJ96" s="9">
        <f t="shared" ref="AJ96" si="130">SUM(AJ89:AJ95)</f>
        <v>-3644</v>
      </c>
      <c r="AK96" s="9">
        <f t="shared" ref="AK96" si="131">SUM(AK89:AK95)</f>
        <v>-3152</v>
      </c>
      <c r="AL96" s="9">
        <f t="shared" ref="AL96" si="132">SUM(AL89:AL95)</f>
        <v>-2000</v>
      </c>
      <c r="AM96" s="9">
        <f>SUM(AM89:AM95)</f>
        <v>-8071</v>
      </c>
    </row>
    <row r="97" spans="1:428" x14ac:dyDescent="0.25">
      <c r="B97" s="37" t="s">
        <v>131</v>
      </c>
      <c r="C97" s="2">
        <f>C96+C88+C83</f>
        <v>0</v>
      </c>
      <c r="D97" s="2">
        <f t="shared" ref="D97:W97" si="133">D96+D88+D83</f>
        <v>0</v>
      </c>
      <c r="E97" s="2">
        <f t="shared" si="133"/>
        <v>0</v>
      </c>
      <c r="F97" s="2">
        <f t="shared" si="133"/>
        <v>0</v>
      </c>
      <c r="G97" s="2">
        <f t="shared" si="133"/>
        <v>0</v>
      </c>
      <c r="H97" s="2">
        <f t="shared" si="133"/>
        <v>0</v>
      </c>
      <c r="I97" s="2">
        <f t="shared" si="133"/>
        <v>0</v>
      </c>
      <c r="J97" s="2">
        <f t="shared" si="133"/>
        <v>0</v>
      </c>
      <c r="K97" s="2">
        <f t="shared" si="133"/>
        <v>0</v>
      </c>
      <c r="L97" s="2">
        <f t="shared" si="133"/>
        <v>0</v>
      </c>
      <c r="M97" s="2">
        <f t="shared" si="133"/>
        <v>0</v>
      </c>
      <c r="N97" s="2">
        <f t="shared" si="133"/>
        <v>1003</v>
      </c>
      <c r="O97" s="2">
        <f t="shared" si="133"/>
        <v>0</v>
      </c>
      <c r="P97" s="2">
        <f t="shared" si="133"/>
        <v>0</v>
      </c>
      <c r="Q97" s="2">
        <f t="shared" si="133"/>
        <v>0</v>
      </c>
      <c r="R97" s="2">
        <f t="shared" si="133"/>
        <v>1950</v>
      </c>
      <c r="S97" s="2">
        <f t="shared" si="133"/>
        <v>-695</v>
      </c>
      <c r="T97" s="2">
        <f t="shared" si="133"/>
        <v>0</v>
      </c>
      <c r="U97" s="2">
        <f t="shared" si="133"/>
        <v>0</v>
      </c>
      <c r="V97" s="2">
        <f t="shared" si="133"/>
        <v>0</v>
      </c>
      <c r="W97" s="2">
        <f t="shared" si="133"/>
        <v>-4799</v>
      </c>
      <c r="AI97" s="2">
        <f t="shared" ref="AI97" si="134">AI96+AI88+AI83</f>
        <v>57</v>
      </c>
      <c r="AJ97" s="2">
        <f t="shared" ref="AJ97" si="135">AJ96+AJ88+AJ83</f>
        <v>-1090</v>
      </c>
      <c r="AK97" s="2">
        <f t="shared" ref="AK97" si="136">AK96+AK88+AK83</f>
        <v>1003</v>
      </c>
      <c r="AL97" s="2">
        <f t="shared" ref="AL97" si="137">AL96+AL88+AL83</f>
        <v>5934</v>
      </c>
      <c r="AM97" s="2">
        <f t="shared" ref="AM97" si="138">AM96+AM88+AM83</f>
        <v>-2597</v>
      </c>
    </row>
    <row r="98" spans="1:428" s="9" customFormat="1" x14ac:dyDescent="0.25">
      <c r="A98" s="8"/>
      <c r="B98" s="8" t="s">
        <v>132</v>
      </c>
      <c r="C98" s="9">
        <f>C83-C84</f>
        <v>0</v>
      </c>
      <c r="D98" s="9">
        <f t="shared" ref="D98:W98" si="139">D83-D84</f>
        <v>0</v>
      </c>
      <c r="E98" s="9">
        <f t="shared" si="139"/>
        <v>0</v>
      </c>
      <c r="F98" s="9">
        <f t="shared" si="139"/>
        <v>0</v>
      </c>
      <c r="G98" s="9">
        <f t="shared" si="139"/>
        <v>0</v>
      </c>
      <c r="H98" s="9">
        <f t="shared" si="139"/>
        <v>0</v>
      </c>
      <c r="I98" s="9">
        <f t="shared" si="139"/>
        <v>0</v>
      </c>
      <c r="J98" s="9">
        <f t="shared" si="139"/>
        <v>0</v>
      </c>
      <c r="K98" s="9">
        <f t="shared" si="139"/>
        <v>0</v>
      </c>
      <c r="L98" s="9">
        <f t="shared" si="139"/>
        <v>0</v>
      </c>
      <c r="M98" s="9">
        <f t="shared" si="139"/>
        <v>0</v>
      </c>
      <c r="N98" s="9">
        <f t="shared" si="139"/>
        <v>10126</v>
      </c>
      <c r="O98" s="9">
        <f t="shared" si="139"/>
        <v>0</v>
      </c>
      <c r="P98" s="9">
        <f t="shared" si="139"/>
        <v>0</v>
      </c>
      <c r="Q98" s="9">
        <f t="shared" si="139"/>
        <v>0</v>
      </c>
      <c r="R98" s="9">
        <f t="shared" si="139"/>
        <v>1950</v>
      </c>
      <c r="S98" s="9">
        <f t="shared" si="139"/>
        <v>1679</v>
      </c>
      <c r="T98" s="9">
        <f t="shared" si="139"/>
        <v>0</v>
      </c>
      <c r="U98" s="9">
        <f t="shared" si="139"/>
        <v>0</v>
      </c>
      <c r="V98" s="9">
        <f t="shared" si="139"/>
        <v>0</v>
      </c>
      <c r="W98" s="9">
        <f t="shared" si="139"/>
        <v>-442</v>
      </c>
      <c r="AI98" s="9">
        <f t="shared" ref="AI98:AM98" si="140">AI83-AI84</f>
        <v>9394</v>
      </c>
      <c r="AJ98" s="9">
        <f t="shared" si="140"/>
        <v>9486</v>
      </c>
      <c r="AK98" s="9">
        <f t="shared" si="140"/>
        <v>10126</v>
      </c>
      <c r="AL98" s="9">
        <f t="shared" si="140"/>
        <v>13174</v>
      </c>
      <c r="AM98" s="9">
        <f t="shared" si="140"/>
        <v>12172</v>
      </c>
      <c r="AN98" s="9">
        <f>AM98*(1+$AX$32)</f>
        <v>12050.28</v>
      </c>
      <c r="AO98" s="9">
        <f t="shared" ref="AO98:CZ98" si="141">AN98*(1+$AU$32)</f>
        <v>11929.7772</v>
      </c>
      <c r="AP98" s="9">
        <f t="shared" si="141"/>
        <v>11810.479428000001</v>
      </c>
      <c r="AQ98" s="9">
        <f t="shared" si="141"/>
        <v>11692.374633720001</v>
      </c>
      <c r="AR98" s="9">
        <f t="shared" si="141"/>
        <v>11575.4508873828</v>
      </c>
      <c r="AS98" s="9">
        <f t="shared" si="141"/>
        <v>11459.696378508972</v>
      </c>
      <c r="AT98" s="9">
        <f t="shared" si="141"/>
        <v>11345.099414723882</v>
      </c>
      <c r="AU98" s="9">
        <f t="shared" si="141"/>
        <v>11231.648420576643</v>
      </c>
      <c r="AV98" s="9">
        <f t="shared" si="141"/>
        <v>11119.331936370876</v>
      </c>
      <c r="AW98" s="9">
        <f t="shared" si="141"/>
        <v>11008.138617007167</v>
      </c>
      <c r="AX98" s="9">
        <f t="shared" si="141"/>
        <v>10898.057230837096</v>
      </c>
      <c r="AY98" s="9">
        <f t="shared" si="141"/>
        <v>10789.076658528724</v>
      </c>
      <c r="AZ98" s="9">
        <f t="shared" si="141"/>
        <v>10681.185891943436</v>
      </c>
      <c r="BA98" s="9">
        <f t="shared" si="141"/>
        <v>10574.374033024002</v>
      </c>
      <c r="BB98" s="9">
        <f t="shared" si="141"/>
        <v>10468.630292693762</v>
      </c>
      <c r="BC98" s="9">
        <f t="shared" si="141"/>
        <v>10363.943989766825</v>
      </c>
      <c r="BD98" s="9">
        <f t="shared" si="141"/>
        <v>10260.304549869157</v>
      </c>
      <c r="BE98" s="9">
        <f t="shared" si="141"/>
        <v>10157.701504370465</v>
      </c>
      <c r="BF98" s="9">
        <f t="shared" si="141"/>
        <v>10056.124489326759</v>
      </c>
      <c r="BG98" s="9">
        <f t="shared" si="141"/>
        <v>9955.5632444334915</v>
      </c>
      <c r="BH98" s="9">
        <f t="shared" si="141"/>
        <v>9856.0076119891564</v>
      </c>
      <c r="BI98" s="9">
        <f t="shared" si="141"/>
        <v>9757.4475358692653</v>
      </c>
      <c r="BJ98" s="9">
        <f t="shared" si="141"/>
        <v>9659.873060510572</v>
      </c>
      <c r="BK98" s="9">
        <f t="shared" si="141"/>
        <v>9563.2743299054655</v>
      </c>
      <c r="BL98" s="9">
        <f t="shared" si="141"/>
        <v>9467.6415866064108</v>
      </c>
      <c r="BM98" s="9">
        <f t="shared" si="141"/>
        <v>9372.9651707403464</v>
      </c>
      <c r="BN98" s="9">
        <f t="shared" si="141"/>
        <v>9279.2355190329436</v>
      </c>
      <c r="BO98" s="9">
        <f t="shared" si="141"/>
        <v>9186.443163842614</v>
      </c>
      <c r="BP98" s="9">
        <f t="shared" si="141"/>
        <v>9094.578732204187</v>
      </c>
      <c r="BQ98" s="9">
        <f t="shared" si="141"/>
        <v>9003.6329448821452</v>
      </c>
      <c r="BR98" s="9">
        <f t="shared" si="141"/>
        <v>8913.5966154333237</v>
      </c>
      <c r="BS98" s="9">
        <f t="shared" si="141"/>
        <v>8824.4606492789899</v>
      </c>
      <c r="BT98" s="9">
        <f t="shared" si="141"/>
        <v>8736.2160427862</v>
      </c>
      <c r="BU98" s="9">
        <f t="shared" si="141"/>
        <v>8648.8538823583385</v>
      </c>
      <c r="BV98" s="9">
        <f t="shared" si="141"/>
        <v>8562.3653435347551</v>
      </c>
      <c r="BW98" s="9">
        <f t="shared" si="141"/>
        <v>8476.7416900994067</v>
      </c>
      <c r="BX98" s="9">
        <f t="shared" si="141"/>
        <v>8391.9742731984134</v>
      </c>
      <c r="BY98" s="9">
        <f t="shared" si="141"/>
        <v>8308.0545304664283</v>
      </c>
      <c r="BZ98" s="9">
        <f t="shared" si="141"/>
        <v>8224.9739851617633</v>
      </c>
      <c r="CA98" s="9">
        <f t="shared" si="141"/>
        <v>8142.7242453101453</v>
      </c>
      <c r="CB98" s="9">
        <f t="shared" si="141"/>
        <v>8061.2970028570435</v>
      </c>
      <c r="CC98" s="9">
        <f t="shared" si="141"/>
        <v>7980.6840328284734</v>
      </c>
      <c r="CD98" s="9">
        <f t="shared" si="141"/>
        <v>7900.8771925001884</v>
      </c>
      <c r="CE98" s="9">
        <f t="shared" si="141"/>
        <v>7821.8684205751861</v>
      </c>
      <c r="CF98" s="9">
        <f t="shared" si="141"/>
        <v>7743.6497363694343</v>
      </c>
      <c r="CG98" s="9">
        <f t="shared" si="141"/>
        <v>7666.2132390057395</v>
      </c>
      <c r="CH98" s="9">
        <f t="shared" si="141"/>
        <v>7589.5511066156823</v>
      </c>
      <c r="CI98" s="9">
        <f t="shared" si="141"/>
        <v>7513.6555955495251</v>
      </c>
      <c r="CJ98" s="9">
        <f t="shared" si="141"/>
        <v>7438.5190395940299</v>
      </c>
      <c r="CK98" s="9">
        <f t="shared" si="141"/>
        <v>7364.1338491980896</v>
      </c>
      <c r="CL98" s="9">
        <f t="shared" si="141"/>
        <v>7290.492510706109</v>
      </c>
      <c r="CM98" s="9">
        <f t="shared" si="141"/>
        <v>7217.587585599048</v>
      </c>
      <c r="CN98" s="9">
        <f t="shared" si="141"/>
        <v>7145.4117097430571</v>
      </c>
      <c r="CO98" s="9">
        <f t="shared" si="141"/>
        <v>7073.9575926456264</v>
      </c>
      <c r="CP98" s="9">
        <f t="shared" si="141"/>
        <v>7003.21801671917</v>
      </c>
      <c r="CQ98" s="9">
        <f t="shared" si="141"/>
        <v>6933.1858365519784</v>
      </c>
      <c r="CR98" s="9">
        <f t="shared" si="141"/>
        <v>6863.8539781864583</v>
      </c>
      <c r="CS98" s="9">
        <f t="shared" si="141"/>
        <v>6795.2154384045934</v>
      </c>
      <c r="CT98" s="9">
        <f t="shared" si="141"/>
        <v>6727.2632840205479</v>
      </c>
      <c r="CU98" s="9">
        <f t="shared" si="141"/>
        <v>6659.990651180342</v>
      </c>
      <c r="CV98" s="9">
        <f t="shared" si="141"/>
        <v>6593.3907446685389</v>
      </c>
      <c r="CW98" s="9">
        <f t="shared" si="141"/>
        <v>6527.4568372218537</v>
      </c>
      <c r="CX98" s="9">
        <f t="shared" si="141"/>
        <v>6462.182268849635</v>
      </c>
      <c r="CY98" s="9">
        <f t="shared" si="141"/>
        <v>6397.5604461611383</v>
      </c>
      <c r="CZ98" s="9">
        <f t="shared" si="141"/>
        <v>6333.5848416995268</v>
      </c>
      <c r="DA98" s="9">
        <f t="shared" ref="DA98:FL98" si="142">CZ98*(1+$AU$32)</f>
        <v>6270.248993282531</v>
      </c>
      <c r="DB98" s="9">
        <f t="shared" si="142"/>
        <v>6207.5465033497057</v>
      </c>
      <c r="DC98" s="9">
        <f t="shared" si="142"/>
        <v>6145.4710383162083</v>
      </c>
      <c r="DD98" s="9">
        <f t="shared" si="142"/>
        <v>6084.0163279330463</v>
      </c>
      <c r="DE98" s="9">
        <f t="shared" si="142"/>
        <v>6023.1761646537161</v>
      </c>
      <c r="DF98" s="9">
        <f t="shared" si="142"/>
        <v>5962.9444030071791</v>
      </c>
      <c r="DG98" s="9">
        <f t="shared" si="142"/>
        <v>5903.3149589771074</v>
      </c>
      <c r="DH98" s="9">
        <f t="shared" si="142"/>
        <v>5844.2818093873366</v>
      </c>
      <c r="DI98" s="9">
        <f t="shared" si="142"/>
        <v>5785.8389912934636</v>
      </c>
      <c r="DJ98" s="9">
        <f t="shared" si="142"/>
        <v>5727.9806013805292</v>
      </c>
      <c r="DK98" s="9">
        <f t="shared" si="142"/>
        <v>5670.7007953667235</v>
      </c>
      <c r="DL98" s="9">
        <f t="shared" si="142"/>
        <v>5613.9937874130565</v>
      </c>
      <c r="DM98" s="9">
        <f t="shared" si="142"/>
        <v>5557.8538495389257</v>
      </c>
      <c r="DN98" s="9">
        <f t="shared" si="142"/>
        <v>5502.275311043536</v>
      </c>
      <c r="DO98" s="9">
        <f t="shared" si="142"/>
        <v>5447.2525579331004</v>
      </c>
      <c r="DP98" s="9">
        <f t="shared" si="142"/>
        <v>5392.7800323537695</v>
      </c>
      <c r="DQ98" s="9">
        <f t="shared" si="142"/>
        <v>5338.8522320302318</v>
      </c>
      <c r="DR98" s="9">
        <f t="shared" si="142"/>
        <v>5285.4637097099294</v>
      </c>
      <c r="DS98" s="9">
        <f t="shared" si="142"/>
        <v>5232.6090726128305</v>
      </c>
      <c r="DT98" s="9">
        <f t="shared" si="142"/>
        <v>5180.2829818867021</v>
      </c>
      <c r="DU98" s="9">
        <f t="shared" si="142"/>
        <v>5128.4801520678348</v>
      </c>
      <c r="DV98" s="9">
        <f t="shared" si="142"/>
        <v>5077.1953505471565</v>
      </c>
      <c r="DW98" s="9">
        <f t="shared" si="142"/>
        <v>5026.4233970416853</v>
      </c>
      <c r="DX98" s="9">
        <f t="shared" si="142"/>
        <v>4976.1591630712683</v>
      </c>
      <c r="DY98" s="9">
        <f t="shared" si="142"/>
        <v>4926.3975714405551</v>
      </c>
      <c r="DZ98" s="9">
        <f t="shared" si="142"/>
        <v>4877.1335957261499</v>
      </c>
      <c r="EA98" s="9">
        <f t="shared" si="142"/>
        <v>4828.3622597688882</v>
      </c>
      <c r="EB98" s="9">
        <f t="shared" si="142"/>
        <v>4780.0786371711993</v>
      </c>
      <c r="EC98" s="9">
        <f t="shared" si="142"/>
        <v>4732.2778507994872</v>
      </c>
      <c r="ED98" s="9">
        <f t="shared" si="142"/>
        <v>4684.9550722914919</v>
      </c>
      <c r="EE98" s="9">
        <f t="shared" si="142"/>
        <v>4638.1055215685765</v>
      </c>
      <c r="EF98" s="9">
        <f t="shared" si="142"/>
        <v>4591.7244663528909</v>
      </c>
      <c r="EG98" s="9">
        <f t="shared" si="142"/>
        <v>4545.8072216893615</v>
      </c>
      <c r="EH98" s="9">
        <f t="shared" si="142"/>
        <v>4500.3491494724676</v>
      </c>
      <c r="EI98" s="9">
        <f t="shared" si="142"/>
        <v>4455.345657977743</v>
      </c>
      <c r="EJ98" s="9">
        <f t="shared" si="142"/>
        <v>4410.792201397966</v>
      </c>
      <c r="EK98" s="9">
        <f t="shared" si="142"/>
        <v>4366.684279383986</v>
      </c>
      <c r="EL98" s="9">
        <f t="shared" si="142"/>
        <v>4323.0174365901457</v>
      </c>
      <c r="EM98" s="9">
        <f t="shared" si="142"/>
        <v>4279.7872622242439</v>
      </c>
      <c r="EN98" s="9">
        <f t="shared" si="142"/>
        <v>4236.9893896020012</v>
      </c>
      <c r="EO98" s="9">
        <f t="shared" si="142"/>
        <v>4194.6194957059815</v>
      </c>
      <c r="EP98" s="9">
        <f t="shared" si="142"/>
        <v>4152.673300748922</v>
      </c>
      <c r="EQ98" s="9">
        <f t="shared" si="142"/>
        <v>4111.1465677414326</v>
      </c>
      <c r="ER98" s="9">
        <f t="shared" si="142"/>
        <v>4070.0351020640182</v>
      </c>
      <c r="ES98" s="9">
        <f t="shared" si="142"/>
        <v>4029.3347510433782</v>
      </c>
      <c r="ET98" s="9">
        <f t="shared" si="142"/>
        <v>3989.0414035329445</v>
      </c>
      <c r="EU98" s="9">
        <f t="shared" si="142"/>
        <v>3949.1509894976152</v>
      </c>
      <c r="EV98" s="9">
        <f t="shared" si="142"/>
        <v>3909.6594796026388</v>
      </c>
      <c r="EW98" s="9">
        <f t="shared" si="142"/>
        <v>3870.5628848066126</v>
      </c>
      <c r="EX98" s="9">
        <f t="shared" si="142"/>
        <v>3831.8572559585464</v>
      </c>
      <c r="EY98" s="9">
        <f t="shared" si="142"/>
        <v>3793.538683398961</v>
      </c>
      <c r="EZ98" s="9">
        <f t="shared" si="142"/>
        <v>3755.6032965649715</v>
      </c>
      <c r="FA98" s="9">
        <f t="shared" si="142"/>
        <v>3718.0472635993219</v>
      </c>
      <c r="FB98" s="9">
        <f t="shared" si="142"/>
        <v>3680.8667909633286</v>
      </c>
      <c r="FC98" s="9">
        <f t="shared" si="142"/>
        <v>3644.0581230536955</v>
      </c>
      <c r="FD98" s="9">
        <f t="shared" si="142"/>
        <v>3607.6175418231583</v>
      </c>
      <c r="FE98" s="9">
        <f t="shared" si="142"/>
        <v>3571.5413664049265</v>
      </c>
      <c r="FF98" s="9">
        <f t="shared" si="142"/>
        <v>3535.8259527408773</v>
      </c>
      <c r="FG98" s="9">
        <f t="shared" si="142"/>
        <v>3500.4676932134685</v>
      </c>
      <c r="FH98" s="9">
        <f t="shared" si="142"/>
        <v>3465.4630162813337</v>
      </c>
      <c r="FI98" s="9">
        <f t="shared" si="142"/>
        <v>3430.8083861185205</v>
      </c>
      <c r="FJ98" s="9">
        <f t="shared" si="142"/>
        <v>3396.5003022573351</v>
      </c>
      <c r="FK98" s="9">
        <f t="shared" si="142"/>
        <v>3362.5352992347616</v>
      </c>
      <c r="FL98" s="9">
        <f t="shared" si="142"/>
        <v>3328.9099462424138</v>
      </c>
      <c r="FM98" s="9">
        <f t="shared" ref="FM98:HX98" si="143">FL98*(1+$AU$32)</f>
        <v>3295.6208467799897</v>
      </c>
      <c r="FN98" s="9">
        <f t="shared" si="143"/>
        <v>3262.6646383121897</v>
      </c>
      <c r="FO98" s="9">
        <f t="shared" si="143"/>
        <v>3230.0379919290676</v>
      </c>
      <c r="FP98" s="9">
        <f t="shared" si="143"/>
        <v>3197.737612009777</v>
      </c>
      <c r="FQ98" s="9">
        <f t="shared" si="143"/>
        <v>3165.7602358896793</v>
      </c>
      <c r="FR98" s="9">
        <f t="shared" si="143"/>
        <v>3134.1026335307824</v>
      </c>
      <c r="FS98" s="9">
        <f t="shared" si="143"/>
        <v>3102.7616071954744</v>
      </c>
      <c r="FT98" s="9">
        <f t="shared" si="143"/>
        <v>3071.7339911235194</v>
      </c>
      <c r="FU98" s="9">
        <f t="shared" si="143"/>
        <v>3041.0166512122842</v>
      </c>
      <c r="FV98" s="9">
        <f t="shared" si="143"/>
        <v>3010.6064847001612</v>
      </c>
      <c r="FW98" s="9">
        <f t="shared" si="143"/>
        <v>2980.5004198531597</v>
      </c>
      <c r="FX98" s="9">
        <f t="shared" si="143"/>
        <v>2950.6954156546281</v>
      </c>
      <c r="FY98" s="9">
        <f t="shared" si="143"/>
        <v>2921.1884614980818</v>
      </c>
      <c r="FZ98" s="9">
        <f t="shared" si="143"/>
        <v>2891.9765768831007</v>
      </c>
      <c r="GA98" s="9">
        <f t="shared" si="143"/>
        <v>2863.0568111142697</v>
      </c>
      <c r="GB98" s="9">
        <f t="shared" si="143"/>
        <v>2834.4262430031272</v>
      </c>
      <c r="GC98" s="9">
        <f t="shared" si="143"/>
        <v>2806.0819805730957</v>
      </c>
      <c r="GD98" s="9">
        <f t="shared" si="143"/>
        <v>2778.0211607673646</v>
      </c>
      <c r="GE98" s="9">
        <f t="shared" si="143"/>
        <v>2750.2409491596909</v>
      </c>
      <c r="GF98" s="9">
        <f t="shared" si="143"/>
        <v>2722.7385396680938</v>
      </c>
      <c r="GG98" s="9">
        <f t="shared" si="143"/>
        <v>2695.511154271413</v>
      </c>
      <c r="GH98" s="9">
        <f t="shared" si="143"/>
        <v>2668.5560427286987</v>
      </c>
      <c r="GI98" s="9">
        <f t="shared" si="143"/>
        <v>2641.8704823014118</v>
      </c>
      <c r="GJ98" s="9">
        <f t="shared" si="143"/>
        <v>2615.4517774783976</v>
      </c>
      <c r="GK98" s="9">
        <f t="shared" si="143"/>
        <v>2589.2972597036137</v>
      </c>
      <c r="GL98" s="9">
        <f t="shared" si="143"/>
        <v>2563.4042871065776</v>
      </c>
      <c r="GM98" s="9">
        <f t="shared" si="143"/>
        <v>2537.7702442355117</v>
      </c>
      <c r="GN98" s="9">
        <f t="shared" si="143"/>
        <v>2512.3925417931564</v>
      </c>
      <c r="GO98" s="9">
        <f t="shared" si="143"/>
        <v>2487.2686163752246</v>
      </c>
      <c r="GP98" s="9">
        <f t="shared" si="143"/>
        <v>2462.3959302114722</v>
      </c>
      <c r="GQ98" s="9">
        <f t="shared" si="143"/>
        <v>2437.7719709093576</v>
      </c>
      <c r="GR98" s="9">
        <f t="shared" si="143"/>
        <v>2413.3942512002641</v>
      </c>
      <c r="GS98" s="9">
        <f t="shared" si="143"/>
        <v>2389.2603086882614</v>
      </c>
      <c r="GT98" s="9">
        <f t="shared" si="143"/>
        <v>2365.3677056013789</v>
      </c>
      <c r="GU98" s="9">
        <f t="shared" si="143"/>
        <v>2341.7140285453652</v>
      </c>
      <c r="GV98" s="9">
        <f t="shared" si="143"/>
        <v>2318.2968882599116</v>
      </c>
      <c r="GW98" s="9">
        <f t="shared" si="143"/>
        <v>2295.1139193773124</v>
      </c>
      <c r="GX98" s="9">
        <f t="shared" si="143"/>
        <v>2272.1627801835393</v>
      </c>
      <c r="GY98" s="9">
        <f t="shared" si="143"/>
        <v>2249.4411523817039</v>
      </c>
      <c r="GZ98" s="9">
        <f t="shared" si="143"/>
        <v>2226.9467408578867</v>
      </c>
      <c r="HA98" s="9">
        <f t="shared" si="143"/>
        <v>2204.6772734493079</v>
      </c>
      <c r="HB98" s="9">
        <f t="shared" si="143"/>
        <v>2182.6305007148148</v>
      </c>
      <c r="HC98" s="9">
        <f t="shared" si="143"/>
        <v>2160.8041957076666</v>
      </c>
      <c r="HD98" s="9">
        <f t="shared" si="143"/>
        <v>2139.1961537505899</v>
      </c>
      <c r="HE98" s="9">
        <f t="shared" si="143"/>
        <v>2117.8041922130842</v>
      </c>
      <c r="HF98" s="9">
        <f t="shared" si="143"/>
        <v>2096.6261502909533</v>
      </c>
      <c r="HG98" s="9">
        <f t="shared" si="143"/>
        <v>2075.6598887880436</v>
      </c>
      <c r="HH98" s="9">
        <f t="shared" si="143"/>
        <v>2054.9032899001631</v>
      </c>
      <c r="HI98" s="9">
        <f t="shared" si="143"/>
        <v>2034.3542570011614</v>
      </c>
      <c r="HJ98" s="9">
        <f t="shared" si="143"/>
        <v>2014.0107144311498</v>
      </c>
      <c r="HK98" s="9">
        <f t="shared" si="143"/>
        <v>1993.8706072868383</v>
      </c>
      <c r="HL98" s="9">
        <f t="shared" si="143"/>
        <v>1973.9319012139699</v>
      </c>
      <c r="HM98" s="9">
        <f t="shared" si="143"/>
        <v>1954.1925822018302</v>
      </c>
      <c r="HN98" s="9">
        <f t="shared" si="143"/>
        <v>1934.6506563798118</v>
      </c>
      <c r="HO98" s="9">
        <f t="shared" si="143"/>
        <v>1915.3041498160137</v>
      </c>
      <c r="HP98" s="9">
        <f t="shared" si="143"/>
        <v>1896.1511083178536</v>
      </c>
      <c r="HQ98" s="9">
        <f t="shared" si="143"/>
        <v>1877.1895972346751</v>
      </c>
      <c r="HR98" s="9">
        <f t="shared" si="143"/>
        <v>1858.4177012623284</v>
      </c>
      <c r="HS98" s="9">
        <f t="shared" si="143"/>
        <v>1839.8335242497051</v>
      </c>
      <c r="HT98" s="9">
        <f t="shared" si="143"/>
        <v>1821.435189007208</v>
      </c>
      <c r="HU98" s="9">
        <f t="shared" si="143"/>
        <v>1803.2208371171359</v>
      </c>
      <c r="HV98" s="9">
        <f t="shared" si="143"/>
        <v>1785.1886287459645</v>
      </c>
      <c r="HW98" s="9">
        <f t="shared" si="143"/>
        <v>1767.3367424585049</v>
      </c>
      <c r="HX98" s="9">
        <f t="shared" si="143"/>
        <v>1749.6633750339199</v>
      </c>
      <c r="HY98" s="9">
        <f t="shared" ref="HY98:KJ98" si="144">HX98*(1+$AU$32)</f>
        <v>1732.1667412835807</v>
      </c>
      <c r="HZ98" s="9">
        <f t="shared" si="144"/>
        <v>1714.845073870745</v>
      </c>
      <c r="IA98" s="9">
        <f t="shared" si="144"/>
        <v>1697.6966231320375</v>
      </c>
      <c r="IB98" s="9">
        <f t="shared" si="144"/>
        <v>1680.7196569007172</v>
      </c>
      <c r="IC98" s="9">
        <f t="shared" si="144"/>
        <v>1663.91246033171</v>
      </c>
      <c r="ID98" s="9">
        <f t="shared" si="144"/>
        <v>1647.2733357283928</v>
      </c>
      <c r="IE98" s="9">
        <f t="shared" si="144"/>
        <v>1630.8006023711089</v>
      </c>
      <c r="IF98" s="9">
        <f t="shared" si="144"/>
        <v>1614.4925963473977</v>
      </c>
      <c r="IG98" s="9">
        <f t="shared" si="144"/>
        <v>1598.3476703839237</v>
      </c>
      <c r="IH98" s="9">
        <f t="shared" si="144"/>
        <v>1582.3641936800846</v>
      </c>
      <c r="II98" s="9">
        <f t="shared" si="144"/>
        <v>1566.5405517432837</v>
      </c>
      <c r="IJ98" s="9">
        <f t="shared" si="144"/>
        <v>1550.8751462258508</v>
      </c>
      <c r="IK98" s="9">
        <f t="shared" si="144"/>
        <v>1535.3663947635923</v>
      </c>
      <c r="IL98" s="9">
        <f t="shared" si="144"/>
        <v>1520.0127308159563</v>
      </c>
      <c r="IM98" s="9">
        <f t="shared" si="144"/>
        <v>1504.8126035077967</v>
      </c>
      <c r="IN98" s="9">
        <f t="shared" si="144"/>
        <v>1489.7644774727187</v>
      </c>
      <c r="IO98" s="9">
        <f t="shared" si="144"/>
        <v>1474.8668326979914</v>
      </c>
      <c r="IP98" s="9">
        <f t="shared" si="144"/>
        <v>1460.1181643710115</v>
      </c>
      <c r="IQ98" s="9">
        <f t="shared" si="144"/>
        <v>1445.5169827273014</v>
      </c>
      <c r="IR98" s="9">
        <f t="shared" si="144"/>
        <v>1431.0618129000284</v>
      </c>
      <c r="IS98" s="9">
        <f t="shared" si="144"/>
        <v>1416.7511947710282</v>
      </c>
      <c r="IT98" s="9">
        <f t="shared" si="144"/>
        <v>1402.583682823318</v>
      </c>
      <c r="IU98" s="9">
        <f t="shared" si="144"/>
        <v>1388.5578459950848</v>
      </c>
      <c r="IV98" s="9">
        <f t="shared" si="144"/>
        <v>1374.6722675351339</v>
      </c>
      <c r="IW98" s="9">
        <f t="shared" si="144"/>
        <v>1360.9255448597826</v>
      </c>
      <c r="IX98" s="9">
        <f t="shared" si="144"/>
        <v>1347.3162894111847</v>
      </c>
      <c r="IY98" s="9">
        <f t="shared" si="144"/>
        <v>1333.8431265170727</v>
      </c>
      <c r="IZ98" s="9">
        <f t="shared" si="144"/>
        <v>1320.5046952519019</v>
      </c>
      <c r="JA98" s="9">
        <f t="shared" si="144"/>
        <v>1307.2996482993829</v>
      </c>
      <c r="JB98" s="9">
        <f t="shared" si="144"/>
        <v>1294.226651816389</v>
      </c>
      <c r="JC98" s="9">
        <f t="shared" si="144"/>
        <v>1281.2843852982251</v>
      </c>
      <c r="JD98" s="9">
        <f t="shared" si="144"/>
        <v>1268.4715414452428</v>
      </c>
      <c r="JE98" s="9">
        <f t="shared" si="144"/>
        <v>1255.7868260307903</v>
      </c>
      <c r="JF98" s="9">
        <f t="shared" si="144"/>
        <v>1243.2289577704823</v>
      </c>
      <c r="JG98" s="9">
        <f t="shared" si="144"/>
        <v>1230.7966681927776</v>
      </c>
      <c r="JH98" s="9">
        <f t="shared" si="144"/>
        <v>1218.4887015108498</v>
      </c>
      <c r="JI98" s="9">
        <f t="shared" si="144"/>
        <v>1206.3038144957413</v>
      </c>
      <c r="JJ98" s="9">
        <f t="shared" si="144"/>
        <v>1194.240776350784</v>
      </c>
      <c r="JK98" s="9">
        <f t="shared" si="144"/>
        <v>1182.2983685872762</v>
      </c>
      <c r="JL98" s="9">
        <f t="shared" si="144"/>
        <v>1170.4753849014035</v>
      </c>
      <c r="JM98" s="9">
        <f t="shared" si="144"/>
        <v>1158.7706310523895</v>
      </c>
      <c r="JN98" s="9">
        <f t="shared" si="144"/>
        <v>1147.1829247418657</v>
      </c>
      <c r="JO98" s="9">
        <f t="shared" si="144"/>
        <v>1135.7110954944471</v>
      </c>
      <c r="JP98" s="9">
        <f t="shared" si="144"/>
        <v>1124.3539845395026</v>
      </c>
      <c r="JQ98" s="9">
        <f t="shared" si="144"/>
        <v>1113.1104446941076</v>
      </c>
      <c r="JR98" s="9">
        <f t="shared" si="144"/>
        <v>1101.9793402471666</v>
      </c>
      <c r="JS98" s="9">
        <f t="shared" si="144"/>
        <v>1090.9595468446951</v>
      </c>
      <c r="JT98" s="9">
        <f t="shared" si="144"/>
        <v>1080.0499513762481</v>
      </c>
      <c r="JU98" s="9">
        <f t="shared" si="144"/>
        <v>1069.2494518624856</v>
      </c>
      <c r="JV98" s="9">
        <f t="shared" si="144"/>
        <v>1058.5569573438606</v>
      </c>
      <c r="JW98" s="9">
        <f t="shared" si="144"/>
        <v>1047.9713877704221</v>
      </c>
      <c r="JX98" s="9">
        <f t="shared" si="144"/>
        <v>1037.4916738927179</v>
      </c>
      <c r="JY98" s="9">
        <f t="shared" si="144"/>
        <v>1027.1167571537908</v>
      </c>
      <c r="JZ98" s="9">
        <f t="shared" si="144"/>
        <v>1016.8455895822528</v>
      </c>
      <c r="KA98" s="9">
        <f t="shared" si="144"/>
        <v>1006.6771336864304</v>
      </c>
      <c r="KB98" s="9">
        <f t="shared" si="144"/>
        <v>996.610362349566</v>
      </c>
      <c r="KC98" s="9">
        <f t="shared" si="144"/>
        <v>986.64425872607035</v>
      </c>
      <c r="KD98" s="9">
        <f t="shared" si="144"/>
        <v>976.77781613880961</v>
      </c>
      <c r="KE98" s="9">
        <f t="shared" si="144"/>
        <v>967.01003797742146</v>
      </c>
      <c r="KF98" s="9">
        <f t="shared" si="144"/>
        <v>957.33993759764724</v>
      </c>
      <c r="KG98" s="9">
        <f t="shared" si="144"/>
        <v>947.76653822167077</v>
      </c>
      <c r="KH98" s="9">
        <f t="shared" si="144"/>
        <v>938.28887283945403</v>
      </c>
      <c r="KI98" s="9">
        <f t="shared" si="144"/>
        <v>928.90598411105952</v>
      </c>
      <c r="KJ98" s="9">
        <f t="shared" si="144"/>
        <v>919.61692426994887</v>
      </c>
      <c r="KK98" s="9">
        <f t="shared" ref="KK98:MV98" si="145">KJ98*(1+$AU$32)</f>
        <v>910.42075502724936</v>
      </c>
      <c r="KL98" s="9">
        <f t="shared" si="145"/>
        <v>901.31654747697689</v>
      </c>
      <c r="KM98" s="9">
        <f t="shared" si="145"/>
        <v>892.30338200220717</v>
      </c>
      <c r="KN98" s="9">
        <f t="shared" si="145"/>
        <v>883.38034818218512</v>
      </c>
      <c r="KO98" s="9">
        <f t="shared" si="145"/>
        <v>874.54654470036326</v>
      </c>
      <c r="KP98" s="9">
        <f t="shared" si="145"/>
        <v>865.8010792533596</v>
      </c>
      <c r="KQ98" s="9">
        <f t="shared" si="145"/>
        <v>857.14306846082604</v>
      </c>
      <c r="KR98" s="9">
        <f t="shared" si="145"/>
        <v>848.57163777621781</v>
      </c>
      <c r="KS98" s="9">
        <f t="shared" si="145"/>
        <v>840.08592139845564</v>
      </c>
      <c r="KT98" s="9">
        <f t="shared" si="145"/>
        <v>831.68506218447112</v>
      </c>
      <c r="KU98" s="9">
        <f t="shared" si="145"/>
        <v>823.36821156262636</v>
      </c>
      <c r="KV98" s="9">
        <f t="shared" si="145"/>
        <v>815.13452944700009</v>
      </c>
      <c r="KW98" s="9">
        <f t="shared" si="145"/>
        <v>806.98318415253004</v>
      </c>
      <c r="KX98" s="9">
        <f t="shared" si="145"/>
        <v>798.9133523110047</v>
      </c>
      <c r="KY98" s="9">
        <f t="shared" si="145"/>
        <v>790.92421878789469</v>
      </c>
      <c r="KZ98" s="9">
        <f t="shared" si="145"/>
        <v>783.01497660001576</v>
      </c>
      <c r="LA98" s="9">
        <f t="shared" si="145"/>
        <v>775.18482683401555</v>
      </c>
      <c r="LB98" s="9">
        <f t="shared" si="145"/>
        <v>767.4329785656754</v>
      </c>
      <c r="LC98" s="9">
        <f t="shared" si="145"/>
        <v>759.75864878001869</v>
      </c>
      <c r="LD98" s="9">
        <f t="shared" si="145"/>
        <v>752.1610622922185</v>
      </c>
      <c r="LE98" s="9">
        <f t="shared" si="145"/>
        <v>744.63945166929636</v>
      </c>
      <c r="LF98" s="9">
        <f t="shared" si="145"/>
        <v>737.19305715260339</v>
      </c>
      <c r="LG98" s="9">
        <f t="shared" si="145"/>
        <v>729.82112658107735</v>
      </c>
      <c r="LH98" s="9">
        <f t="shared" si="145"/>
        <v>722.52291531526657</v>
      </c>
      <c r="LI98" s="9">
        <f t="shared" si="145"/>
        <v>715.29768616211391</v>
      </c>
      <c r="LJ98" s="9">
        <f t="shared" si="145"/>
        <v>708.14470930049276</v>
      </c>
      <c r="LK98" s="9">
        <f t="shared" si="145"/>
        <v>701.06326220748781</v>
      </c>
      <c r="LL98" s="9">
        <f t="shared" si="145"/>
        <v>694.05262958541289</v>
      </c>
      <c r="LM98" s="9">
        <f t="shared" si="145"/>
        <v>687.11210328955872</v>
      </c>
      <c r="LN98" s="9">
        <f t="shared" si="145"/>
        <v>680.24098225666307</v>
      </c>
      <c r="LO98" s="9">
        <f t="shared" si="145"/>
        <v>673.43857243409639</v>
      </c>
      <c r="LP98" s="9">
        <f t="shared" si="145"/>
        <v>666.70418670975539</v>
      </c>
      <c r="LQ98" s="9">
        <f t="shared" si="145"/>
        <v>660.03714484265788</v>
      </c>
      <c r="LR98" s="9">
        <f t="shared" si="145"/>
        <v>653.4367733942313</v>
      </c>
      <c r="LS98" s="9">
        <f t="shared" si="145"/>
        <v>646.90240566028899</v>
      </c>
      <c r="LT98" s="9">
        <f t="shared" si="145"/>
        <v>640.43338160368614</v>
      </c>
      <c r="LU98" s="9">
        <f t="shared" si="145"/>
        <v>634.02904778764923</v>
      </c>
      <c r="LV98" s="9">
        <f t="shared" si="145"/>
        <v>627.68875730977277</v>
      </c>
      <c r="LW98" s="9">
        <f t="shared" si="145"/>
        <v>621.41186973667504</v>
      </c>
      <c r="LX98" s="9">
        <f t="shared" si="145"/>
        <v>615.19775103930829</v>
      </c>
      <c r="LY98" s="9">
        <f t="shared" si="145"/>
        <v>609.04577352891522</v>
      </c>
      <c r="LZ98" s="9">
        <f t="shared" si="145"/>
        <v>602.95531579362603</v>
      </c>
      <c r="MA98" s="9">
        <f t="shared" si="145"/>
        <v>596.92576263568981</v>
      </c>
      <c r="MB98" s="9">
        <f t="shared" si="145"/>
        <v>590.95650500933289</v>
      </c>
      <c r="MC98" s="9">
        <f t="shared" si="145"/>
        <v>585.04693995923958</v>
      </c>
      <c r="MD98" s="9">
        <f t="shared" si="145"/>
        <v>579.1964705596472</v>
      </c>
      <c r="ME98" s="9">
        <f t="shared" si="145"/>
        <v>573.40450585405074</v>
      </c>
      <c r="MF98" s="9">
        <f t="shared" si="145"/>
        <v>567.67046079551028</v>
      </c>
      <c r="MG98" s="9">
        <f t="shared" si="145"/>
        <v>561.99375618755516</v>
      </c>
      <c r="MH98" s="9">
        <f t="shared" si="145"/>
        <v>556.37381862567963</v>
      </c>
      <c r="MI98" s="9">
        <f t="shared" si="145"/>
        <v>550.81008043942279</v>
      </c>
      <c r="MJ98" s="9">
        <f t="shared" si="145"/>
        <v>545.3019796350286</v>
      </c>
      <c r="MK98" s="9">
        <f t="shared" si="145"/>
        <v>539.8489598386783</v>
      </c>
      <c r="ML98" s="9">
        <f t="shared" si="145"/>
        <v>534.45047024029157</v>
      </c>
      <c r="MM98" s="9">
        <f t="shared" si="145"/>
        <v>529.10596553788866</v>
      </c>
      <c r="MN98" s="9">
        <f t="shared" si="145"/>
        <v>523.81490588250972</v>
      </c>
      <c r="MO98" s="9">
        <f t="shared" si="145"/>
        <v>518.5767568236846</v>
      </c>
      <c r="MP98" s="9">
        <f t="shared" si="145"/>
        <v>513.39098925544772</v>
      </c>
      <c r="MQ98" s="9">
        <f t="shared" si="145"/>
        <v>508.25707936289325</v>
      </c>
      <c r="MR98" s="9">
        <f t="shared" si="145"/>
        <v>503.17450856926433</v>
      </c>
      <c r="MS98" s="9">
        <f t="shared" si="145"/>
        <v>498.14276348357168</v>
      </c>
      <c r="MT98" s="9">
        <f t="shared" si="145"/>
        <v>493.16133584873597</v>
      </c>
      <c r="MU98" s="9">
        <f t="shared" si="145"/>
        <v>488.22972249024861</v>
      </c>
      <c r="MV98" s="9">
        <f t="shared" si="145"/>
        <v>483.34742526534609</v>
      </c>
      <c r="MW98" s="9">
        <f t="shared" ref="MW98:PH98" si="146">MV98*(1+$AU$32)</f>
        <v>478.51395101269264</v>
      </c>
      <c r="MX98" s="9">
        <f t="shared" si="146"/>
        <v>473.72881150256569</v>
      </c>
      <c r="MY98" s="9">
        <f t="shared" si="146"/>
        <v>468.99152338754004</v>
      </c>
      <c r="MZ98" s="9">
        <f t="shared" si="146"/>
        <v>464.30160815366463</v>
      </c>
      <c r="NA98" s="9">
        <f t="shared" si="146"/>
        <v>459.65859207212799</v>
      </c>
      <c r="NB98" s="9">
        <f t="shared" si="146"/>
        <v>455.06200615140671</v>
      </c>
      <c r="NC98" s="9">
        <f t="shared" si="146"/>
        <v>450.51138608989265</v>
      </c>
      <c r="ND98" s="9">
        <f t="shared" si="146"/>
        <v>446.00627222899374</v>
      </c>
      <c r="NE98" s="9">
        <f t="shared" si="146"/>
        <v>441.5462095067038</v>
      </c>
      <c r="NF98" s="9">
        <f t="shared" si="146"/>
        <v>437.13074741163678</v>
      </c>
      <c r="NG98" s="9">
        <f t="shared" si="146"/>
        <v>432.75943993752043</v>
      </c>
      <c r="NH98" s="9">
        <f t="shared" si="146"/>
        <v>428.43184553814524</v>
      </c>
      <c r="NI98" s="9">
        <f t="shared" si="146"/>
        <v>424.14752708276376</v>
      </c>
      <c r="NJ98" s="9">
        <f t="shared" si="146"/>
        <v>419.90605181193609</v>
      </c>
      <c r="NK98" s="9">
        <f t="shared" si="146"/>
        <v>415.70699129381671</v>
      </c>
      <c r="NL98" s="9">
        <f t="shared" si="146"/>
        <v>411.54992138087852</v>
      </c>
      <c r="NM98" s="9">
        <f t="shared" si="146"/>
        <v>407.43442216706973</v>
      </c>
      <c r="NN98" s="9">
        <f t="shared" si="146"/>
        <v>403.36007794539904</v>
      </c>
      <c r="NO98" s="9">
        <f t="shared" si="146"/>
        <v>399.32647716594505</v>
      </c>
      <c r="NP98" s="9">
        <f t="shared" si="146"/>
        <v>395.33321239428562</v>
      </c>
      <c r="NQ98" s="9">
        <f t="shared" si="146"/>
        <v>391.37988027034277</v>
      </c>
      <c r="NR98" s="9">
        <f t="shared" si="146"/>
        <v>387.46608146763936</v>
      </c>
      <c r="NS98" s="9">
        <f t="shared" si="146"/>
        <v>383.59142065296294</v>
      </c>
      <c r="NT98" s="9">
        <f t="shared" si="146"/>
        <v>379.75550644643329</v>
      </c>
      <c r="NU98" s="9">
        <f t="shared" si="146"/>
        <v>375.95795138196894</v>
      </c>
      <c r="NV98" s="9">
        <f t="shared" si="146"/>
        <v>372.19837186814925</v>
      </c>
      <c r="NW98" s="9">
        <f t="shared" si="146"/>
        <v>368.47638814946777</v>
      </c>
      <c r="NX98" s="9">
        <f t="shared" si="146"/>
        <v>364.79162426797308</v>
      </c>
      <c r="NY98" s="9">
        <f t="shared" si="146"/>
        <v>361.14370802529334</v>
      </c>
      <c r="NZ98" s="9">
        <f t="shared" si="146"/>
        <v>357.53227094504041</v>
      </c>
      <c r="OA98" s="9">
        <f t="shared" si="146"/>
        <v>353.95694823559</v>
      </c>
      <c r="OB98" s="9">
        <f t="shared" si="146"/>
        <v>350.41737875323412</v>
      </c>
      <c r="OC98" s="9">
        <f t="shared" si="146"/>
        <v>346.91320496570177</v>
      </c>
      <c r="OD98" s="9">
        <f t="shared" si="146"/>
        <v>343.44407291604472</v>
      </c>
      <c r="OE98" s="9">
        <f t="shared" si="146"/>
        <v>340.00963218688429</v>
      </c>
      <c r="OF98" s="9">
        <f t="shared" si="146"/>
        <v>336.60953586501546</v>
      </c>
      <c r="OG98" s="9">
        <f t="shared" si="146"/>
        <v>333.24344050636529</v>
      </c>
      <c r="OH98" s="9">
        <f t="shared" si="146"/>
        <v>329.91100610130161</v>
      </c>
      <c r="OI98" s="9">
        <f t="shared" si="146"/>
        <v>326.61189604028857</v>
      </c>
      <c r="OJ98" s="9">
        <f t="shared" si="146"/>
        <v>323.34577707988569</v>
      </c>
      <c r="OK98" s="9">
        <f t="shared" si="146"/>
        <v>320.11231930908684</v>
      </c>
      <c r="OL98" s="9">
        <f t="shared" si="146"/>
        <v>316.91119611599595</v>
      </c>
      <c r="OM98" s="9">
        <f t="shared" si="146"/>
        <v>313.74208415483599</v>
      </c>
      <c r="ON98" s="9">
        <f t="shared" si="146"/>
        <v>310.60466331328763</v>
      </c>
      <c r="OO98" s="9">
        <f t="shared" si="146"/>
        <v>307.49861668015473</v>
      </c>
      <c r="OP98" s="9">
        <f t="shared" si="146"/>
        <v>304.4236305133532</v>
      </c>
      <c r="OQ98" s="9">
        <f t="shared" si="146"/>
        <v>301.37939420821965</v>
      </c>
      <c r="OR98" s="9">
        <f t="shared" si="146"/>
        <v>298.36560026613745</v>
      </c>
      <c r="OS98" s="9">
        <f t="shared" si="146"/>
        <v>295.38194426347604</v>
      </c>
      <c r="OT98" s="9">
        <f t="shared" si="146"/>
        <v>292.42812482084128</v>
      </c>
      <c r="OU98" s="9">
        <f t="shared" si="146"/>
        <v>289.50384357263289</v>
      </c>
      <c r="OV98" s="9">
        <f t="shared" si="146"/>
        <v>286.60880513690654</v>
      </c>
      <c r="OW98" s="9">
        <f t="shared" si="146"/>
        <v>283.74271708553749</v>
      </c>
      <c r="OX98" s="9">
        <f t="shared" si="146"/>
        <v>280.9052899146821</v>
      </c>
      <c r="OY98" s="9">
        <f t="shared" si="146"/>
        <v>278.09623701553528</v>
      </c>
      <c r="OZ98" s="9">
        <f t="shared" si="146"/>
        <v>275.31527464537993</v>
      </c>
      <c r="PA98" s="9">
        <f t="shared" si="146"/>
        <v>272.56212189892614</v>
      </c>
      <c r="PB98" s="9">
        <f t="shared" si="146"/>
        <v>269.83650067993688</v>
      </c>
      <c r="PC98" s="9">
        <f t="shared" si="146"/>
        <v>267.13813567313753</v>
      </c>
      <c r="PD98" s="9">
        <f t="shared" si="146"/>
        <v>264.46675431640614</v>
      </c>
      <c r="PE98" s="9">
        <f t="shared" si="146"/>
        <v>261.82208677324206</v>
      </c>
      <c r="PF98" s="9">
        <f t="shared" si="146"/>
        <v>259.20386590550964</v>
      </c>
      <c r="PG98" s="9">
        <f t="shared" si="146"/>
        <v>256.61182724645454</v>
      </c>
      <c r="PH98" s="9">
        <f t="shared" si="146"/>
        <v>254.04570897399</v>
      </c>
      <c r="PI98" s="9">
        <f t="shared" ref="PI98:PL98" si="147">PH98*(1+$AU$32)</f>
        <v>251.5052518842501</v>
      </c>
      <c r="PJ98" s="9">
        <f t="shared" si="147"/>
        <v>248.99019936540759</v>
      </c>
      <c r="PK98" s="9">
        <f t="shared" si="147"/>
        <v>246.5002973717535</v>
      </c>
      <c r="PL98" s="9">
        <f t="shared" si="147"/>
        <v>244.03529439803597</v>
      </c>
    </row>
    <row r="100" spans="1:428" x14ac:dyDescent="0.25">
      <c r="B100" s="37" t="s">
        <v>136</v>
      </c>
      <c r="AJ100" s="4">
        <f>AJ98/AI98-1</f>
        <v>9.7934852033212394E-3</v>
      </c>
      <c r="AK100" s="4">
        <f t="shared" ref="AK100:AM100" si="148">AK98/AJ98-1</f>
        <v>6.7467847353995358E-2</v>
      </c>
      <c r="AL100" s="4">
        <f t="shared" si="148"/>
        <v>0.30100730792020536</v>
      </c>
      <c r="AM100" s="4">
        <f t="shared" si="148"/>
        <v>-7.6058903901624397E-2</v>
      </c>
    </row>
  </sheetData>
  <phoneticPr fontId="10" type="noConversion"/>
  <conditionalFormatting sqref="AU39">
    <cfRule type="cellIs" dxfId="5" priority="7" operator="lessThan">
      <formula>0</formula>
    </cfRule>
    <cfRule type="cellIs" dxfId="4" priority="8" operator="greaterThan">
      <formula>0</formula>
    </cfRule>
  </conditionalFormatting>
  <conditionalFormatting sqref="G32:AD37">
    <cfRule type="cellIs" dxfId="3" priority="5" operator="lessThan">
      <formula>0</formula>
    </cfRule>
    <cfRule type="cellIs" dxfId="2" priority="6" operator="greaterThan">
      <formula>0</formula>
    </cfRule>
  </conditionalFormatting>
  <conditionalFormatting sqref="AX39">
    <cfRule type="cellIs" dxfId="1" priority="1" operator="lessThan">
      <formula>0</formula>
    </cfRule>
    <cfRule type="cellIs" dxfId="0" priority="2" operator="greaterThan">
      <formula>0</formula>
    </cfRule>
  </conditionalFormatting>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DC331-B18C-4295-82BA-E138709B9421}">
  <dimension ref="B3:D18"/>
  <sheetViews>
    <sheetView workbookViewId="0">
      <selection activeCell="C10" sqref="C10"/>
    </sheetView>
  </sheetViews>
  <sheetFormatPr defaultColWidth="9.21875" defaultRowHeight="13.8" x14ac:dyDescent="0.25"/>
  <cols>
    <col min="1" max="1" width="9.21875" style="1"/>
    <col min="2" max="2" width="16.21875" style="1" bestFit="1" customWidth="1"/>
    <col min="3" max="3" width="9.21875" style="1"/>
    <col min="4" max="4" width="17.77734375" style="1" bestFit="1" customWidth="1"/>
    <col min="5" max="16384" width="9.21875" style="1"/>
  </cols>
  <sheetData>
    <row r="3" spans="2:4" x14ac:dyDescent="0.25">
      <c r="B3" s="1" t="s">
        <v>7</v>
      </c>
      <c r="C3" s="2">
        <f>Main!C8</f>
        <v>16444</v>
      </c>
    </row>
    <row r="4" spans="2:4" x14ac:dyDescent="0.25">
      <c r="B4" s="1" t="s">
        <v>9</v>
      </c>
      <c r="C4" s="2">
        <f>Main!C6</f>
        <v>63367.124999999993</v>
      </c>
    </row>
    <row r="5" spans="2:4" x14ac:dyDescent="0.25">
      <c r="B5" s="1" t="s">
        <v>10</v>
      </c>
      <c r="C5" s="2">
        <f>+C3+C4</f>
        <v>79811.125</v>
      </c>
    </row>
    <row r="6" spans="2:4" x14ac:dyDescent="0.25">
      <c r="B6" s="1" t="s">
        <v>11</v>
      </c>
      <c r="C6" s="3">
        <f>C3/C5</f>
        <v>0.20603643915556885</v>
      </c>
    </row>
    <row r="7" spans="2:4" x14ac:dyDescent="0.25">
      <c r="B7" s="1" t="s">
        <v>12</v>
      </c>
      <c r="C7" s="3">
        <f>C4/C5</f>
        <v>0.79396356084443109</v>
      </c>
    </row>
    <row r="9" spans="2:4" x14ac:dyDescent="0.25">
      <c r="B9" s="1" t="s">
        <v>13</v>
      </c>
      <c r="C9" s="4">
        <f>AVERAGE(DCF!AI40:AN40)</f>
        <v>0.13757937912167198</v>
      </c>
      <c r="D9" s="26" t="s">
        <v>72</v>
      </c>
    </row>
    <row r="10" spans="2:4" x14ac:dyDescent="0.25">
      <c r="B10" s="1" t="s">
        <v>14</v>
      </c>
      <c r="C10" s="2">
        <v>478</v>
      </c>
      <c r="D10" s="53" t="s">
        <v>145</v>
      </c>
    </row>
    <row r="11" spans="2:4" x14ac:dyDescent="0.25">
      <c r="B11" s="1" t="s">
        <v>15</v>
      </c>
      <c r="C11" s="3">
        <f>(C10*(1-C9))/C3</f>
        <v>2.506914721356366E-2</v>
      </c>
    </row>
    <row r="13" spans="2:4" x14ac:dyDescent="0.25">
      <c r="B13" s="1" t="s">
        <v>16</v>
      </c>
      <c r="C13" s="3">
        <f>'[1]T-Bond Yields'!$C$12</f>
        <v>3.8899999999999997E-2</v>
      </c>
      <c r="D13" s="53" t="s">
        <v>139</v>
      </c>
    </row>
    <row r="14" spans="2:4" x14ac:dyDescent="0.25">
      <c r="B14" s="1" t="s">
        <v>17</v>
      </c>
      <c r="C14" s="27">
        <v>1.03</v>
      </c>
      <c r="D14" s="53" t="s">
        <v>144</v>
      </c>
    </row>
    <row r="15" spans="2:4" x14ac:dyDescent="0.25">
      <c r="B15" s="1" t="s">
        <v>18</v>
      </c>
      <c r="C15" s="4">
        <v>0.06</v>
      </c>
      <c r="D15" s="1" t="s">
        <v>19</v>
      </c>
    </row>
    <row r="16" spans="2:4" x14ac:dyDescent="0.25">
      <c r="B16" s="1" t="s">
        <v>20</v>
      </c>
      <c r="C16" s="3">
        <f>(C13+C14*(C15-C13))</f>
        <v>6.0632999999999999E-2</v>
      </c>
    </row>
    <row r="18" spans="2:3" x14ac:dyDescent="0.25">
      <c r="B18" s="1" t="s">
        <v>21</v>
      </c>
      <c r="C18" s="3">
        <f>(C7*C16)+(C6*C11)*(1-C9)</f>
        <v>5.2594931202662842E-2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DCF</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Bill Sheldon</cp:lastModifiedBy>
  <dcterms:created xsi:type="dcterms:W3CDTF">2020-11-17T13:56:14Z</dcterms:created>
  <dcterms:modified xsi:type="dcterms:W3CDTF">2023-06-15T16:27:28Z</dcterms:modified>
</cp:coreProperties>
</file>