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lshe\Documents\Models\Models Backup\"/>
    </mc:Choice>
  </mc:AlternateContent>
  <xr:revisionPtr revIDLastSave="0" documentId="13_ncr:1_{3043F5A7-07F5-49AB-BFD9-2D8F37D0F30B}" xr6:coauthVersionLast="47" xr6:coauthVersionMax="47" xr10:uidLastSave="{00000000-0000-0000-0000-000000000000}"/>
  <bookViews>
    <workbookView xWindow="-108" yWindow="-108" windowWidth="23256" windowHeight="12456" xr2:uid="{DA4EDDA6-3F87-42E4-B2EA-46A42370AE57}"/>
  </bookViews>
  <sheets>
    <sheet name="Main" sheetId="1" r:id="rId1"/>
    <sheet name="DCF" sheetId="2" r:id="rId2"/>
    <sheet name="DDM" sheetId="6" r:id="rId3"/>
    <sheet name="WACC" sheetId="3" r:id="rId4"/>
    <sheet name="Historical Divs." sheetId="7" r:id="rId5"/>
  </sheets>
  <externalReferences>
    <externalReference r:id="rId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7" l="1"/>
  <c r="D24" i="7"/>
  <c r="D25" i="7"/>
  <c r="D26" i="7"/>
  <c r="D27" i="7"/>
  <c r="D28" i="7"/>
  <c r="D29" i="7"/>
  <c r="D14" i="6"/>
  <c r="I9" i="6"/>
  <c r="I4" i="6"/>
  <c r="D4" i="6" s="1"/>
  <c r="G3" i="1" a="1"/>
  <c r="G3" i="1" s="1"/>
  <c r="BE28" i="2"/>
  <c r="AY21" i="2"/>
  <c r="AZ21" i="2" s="1"/>
  <c r="BA21" i="2" s="1"/>
  <c r="BB21" i="2" s="1"/>
  <c r="BC21" i="2" s="1"/>
  <c r="BD21" i="2" s="1"/>
  <c r="BE21" i="2" s="1"/>
  <c r="BF21" i="2" s="1"/>
  <c r="BG21" i="2" s="1"/>
  <c r="BH21" i="2" s="1"/>
  <c r="BI21" i="2" s="1"/>
  <c r="BJ21" i="2" s="1"/>
  <c r="BK21" i="2" s="1"/>
  <c r="BL21" i="2" s="1"/>
  <c r="BM21" i="2" s="1"/>
  <c r="BN21" i="2" s="1"/>
  <c r="BO21" i="2" s="1"/>
  <c r="BP21" i="2" s="1"/>
  <c r="BQ21" i="2" s="1"/>
  <c r="BR21" i="2" s="1"/>
  <c r="BS21" i="2" s="1"/>
  <c r="BT21" i="2" s="1"/>
  <c r="BU21" i="2" s="1"/>
  <c r="BV21" i="2" s="1"/>
  <c r="BW21" i="2" s="1"/>
  <c r="BX21" i="2" s="1"/>
  <c r="BY21" i="2" s="1"/>
  <c r="BZ21" i="2" s="1"/>
  <c r="CA21" i="2" s="1"/>
  <c r="CB21" i="2" s="1"/>
  <c r="CC21" i="2" s="1"/>
  <c r="CD21" i="2" s="1"/>
  <c r="CE21" i="2" s="1"/>
  <c r="CF21" i="2" s="1"/>
  <c r="CG21" i="2" s="1"/>
  <c r="CH21" i="2" s="1"/>
  <c r="CI21" i="2" s="1"/>
  <c r="CJ21" i="2" s="1"/>
  <c r="CK21" i="2" s="1"/>
  <c r="CL21" i="2"/>
  <c r="CM21" i="2"/>
  <c r="CN21" i="2" s="1"/>
  <c r="CO21" i="2" s="1"/>
  <c r="CP21" i="2" s="1"/>
  <c r="CQ21" i="2" s="1"/>
  <c r="CR21" i="2" s="1"/>
  <c r="CS21" i="2" s="1"/>
  <c r="CT21" i="2"/>
  <c r="CU21" i="2"/>
  <c r="CV21" i="2" s="1"/>
  <c r="CW21" i="2" s="1"/>
  <c r="CX21" i="2" s="1"/>
  <c r="CY21" i="2" s="1"/>
  <c r="CZ21" i="2" s="1"/>
  <c r="DA21" i="2" s="1"/>
  <c r="DB21" i="2" s="1"/>
  <c r="DC21" i="2" s="1"/>
  <c r="DD21" i="2" s="1"/>
  <c r="DE21" i="2" s="1"/>
  <c r="DF21" i="2" s="1"/>
  <c r="DG21" i="2" s="1"/>
  <c r="DH21" i="2" s="1"/>
  <c r="DI21" i="2" s="1"/>
  <c r="DJ21" i="2" s="1"/>
  <c r="DK21" i="2" s="1"/>
  <c r="DL21" i="2" s="1"/>
  <c r="DM21" i="2" s="1"/>
  <c r="DN21" i="2" s="1"/>
  <c r="DO21" i="2" s="1"/>
  <c r="DP21" i="2" s="1"/>
  <c r="DQ21" i="2" s="1"/>
  <c r="DR21" i="2" s="1"/>
  <c r="DS21" i="2" s="1"/>
  <c r="DT21" i="2" s="1"/>
  <c r="DU21" i="2" s="1"/>
  <c r="DV21" i="2" s="1"/>
  <c r="DW21" i="2" s="1"/>
  <c r="DX21" i="2" s="1"/>
  <c r="DY21" i="2" s="1"/>
  <c r="DZ21" i="2" s="1"/>
  <c r="EA21" i="2" s="1"/>
  <c r="EB21" i="2" s="1"/>
  <c r="EC21" i="2" s="1"/>
  <c r="ED21" i="2" s="1"/>
  <c r="EE21" i="2" s="1"/>
  <c r="EF21" i="2" s="1"/>
  <c r="EG21" i="2" s="1"/>
  <c r="EH21" i="2" s="1"/>
  <c r="EI21" i="2" s="1"/>
  <c r="EJ21" i="2" s="1"/>
  <c r="EK21" i="2" s="1"/>
  <c r="EL21" i="2" s="1"/>
  <c r="EM21" i="2" s="1"/>
  <c r="EN21" i="2" s="1"/>
  <c r="EO21" i="2" s="1"/>
  <c r="EP21" i="2" s="1"/>
  <c r="EQ21" i="2" s="1"/>
  <c r="ER21" i="2" s="1"/>
  <c r="ES21" i="2" s="1"/>
  <c r="ET21" i="2" s="1"/>
  <c r="EU21" i="2" s="1"/>
  <c r="EV21" i="2" s="1"/>
  <c r="EW21" i="2" s="1"/>
  <c r="EX21" i="2" s="1"/>
  <c r="EY21" i="2" s="1"/>
  <c r="EZ21" i="2" s="1"/>
  <c r="FA21" i="2" s="1"/>
  <c r="FB21" i="2" s="1"/>
  <c r="FC21" i="2" s="1"/>
  <c r="FD21" i="2" s="1"/>
  <c r="FE21" i="2" s="1"/>
  <c r="FF21" i="2" s="1"/>
  <c r="FG21" i="2" s="1"/>
  <c r="FH21" i="2" s="1"/>
  <c r="FI21" i="2" s="1"/>
  <c r="FJ21" i="2" s="1"/>
  <c r="FK21" i="2" s="1"/>
  <c r="FL21" i="2" s="1"/>
  <c r="FM21" i="2" s="1"/>
  <c r="FN21" i="2" s="1"/>
  <c r="FO21" i="2" s="1"/>
  <c r="FP21" i="2" s="1"/>
  <c r="FQ21" i="2" s="1"/>
  <c r="FR21" i="2" s="1"/>
  <c r="FS21" i="2" s="1"/>
  <c r="FT21" i="2" s="1"/>
  <c r="FU21" i="2" s="1"/>
  <c r="FV21" i="2" s="1"/>
  <c r="FW21" i="2" s="1"/>
  <c r="FX21" i="2" s="1"/>
  <c r="FY21" i="2" s="1"/>
  <c r="FZ21" i="2" s="1"/>
  <c r="GA21" i="2" s="1"/>
  <c r="GB21" i="2" s="1"/>
  <c r="GC21" i="2" s="1"/>
  <c r="GD21" i="2" s="1"/>
  <c r="GE21" i="2" s="1"/>
  <c r="GF21" i="2" s="1"/>
  <c r="GG21" i="2" s="1"/>
  <c r="GH21" i="2" s="1"/>
  <c r="GI21" i="2" s="1"/>
  <c r="GJ21" i="2" s="1"/>
  <c r="GK21" i="2" s="1"/>
  <c r="GL21" i="2" s="1"/>
  <c r="GM21" i="2" s="1"/>
  <c r="GN21" i="2" s="1"/>
  <c r="GO21" i="2" s="1"/>
  <c r="GP21" i="2" s="1"/>
  <c r="GQ21" i="2" s="1"/>
  <c r="GR21" i="2" s="1"/>
  <c r="GS21" i="2" s="1"/>
  <c r="GT21" i="2" s="1"/>
  <c r="GU21" i="2" s="1"/>
  <c r="GV21" i="2" s="1"/>
  <c r="GW21" i="2" s="1"/>
  <c r="GX21" i="2" s="1"/>
  <c r="GY21" i="2" s="1"/>
  <c r="GZ21" i="2" s="1"/>
  <c r="HA21" i="2" s="1"/>
  <c r="HB21" i="2" s="1"/>
  <c r="HC21" i="2" s="1"/>
  <c r="HD21" i="2" s="1"/>
  <c r="HE21" i="2" s="1"/>
  <c r="HF21" i="2" s="1"/>
  <c r="HG21" i="2" s="1"/>
  <c r="HH21" i="2" s="1"/>
  <c r="HI21" i="2" s="1"/>
  <c r="HJ21" i="2" s="1"/>
  <c r="HK21" i="2" s="1"/>
  <c r="HL21" i="2" s="1"/>
  <c r="HM21" i="2" s="1"/>
  <c r="HN21" i="2" s="1"/>
  <c r="HO21" i="2" s="1"/>
  <c r="HP21" i="2" s="1"/>
  <c r="HQ21" i="2" s="1"/>
  <c r="HR21" i="2" s="1"/>
  <c r="HS21" i="2" s="1"/>
  <c r="HT21" i="2" s="1"/>
  <c r="HU21" i="2" s="1"/>
  <c r="HV21" i="2" s="1"/>
  <c r="HW21" i="2" s="1"/>
  <c r="HX21" i="2" s="1"/>
  <c r="HY21" i="2" s="1"/>
  <c r="HZ21" i="2" s="1"/>
  <c r="IA21" i="2" s="1"/>
  <c r="IB21" i="2" s="1"/>
  <c r="IC21" i="2" s="1"/>
  <c r="ID21" i="2" s="1"/>
  <c r="IE21" i="2" s="1"/>
  <c r="IF21" i="2" s="1"/>
  <c r="IG21" i="2" s="1"/>
  <c r="IH21" i="2" s="1"/>
  <c r="II21" i="2" s="1"/>
  <c r="IJ21" i="2" s="1"/>
  <c r="IK21" i="2" s="1"/>
  <c r="IL21" i="2" s="1"/>
  <c r="IM21" i="2" s="1"/>
  <c r="IN21" i="2" s="1"/>
  <c r="IO21" i="2" s="1"/>
  <c r="IP21" i="2" s="1"/>
  <c r="IQ21" i="2" s="1"/>
  <c r="IR21" i="2" s="1"/>
  <c r="IS21" i="2" s="1"/>
  <c r="IT21" i="2" s="1"/>
  <c r="IU21" i="2" s="1"/>
  <c r="IV21" i="2" s="1"/>
  <c r="IW21" i="2" s="1"/>
  <c r="IX21" i="2" s="1"/>
  <c r="IY21" i="2" s="1"/>
  <c r="IZ21" i="2" s="1"/>
  <c r="JA21" i="2" s="1"/>
  <c r="JB21" i="2" s="1"/>
  <c r="JC21" i="2" s="1"/>
  <c r="JD21" i="2" s="1"/>
  <c r="JE21" i="2" s="1"/>
  <c r="JF21" i="2" s="1"/>
  <c r="JG21" i="2" s="1"/>
  <c r="JH21" i="2" s="1"/>
  <c r="JI21" i="2" s="1"/>
  <c r="JJ21" i="2" s="1"/>
  <c r="JK21" i="2" s="1"/>
  <c r="JL21" i="2" s="1"/>
  <c r="JM21" i="2" s="1"/>
  <c r="JN21" i="2" s="1"/>
  <c r="JO21" i="2" s="1"/>
  <c r="JP21" i="2" s="1"/>
  <c r="JQ21" i="2" s="1"/>
  <c r="JR21" i="2" s="1"/>
  <c r="JS21" i="2" s="1"/>
  <c r="JT21" i="2" s="1"/>
  <c r="JU21" i="2" s="1"/>
  <c r="JV21" i="2" s="1"/>
  <c r="JW21" i="2" s="1"/>
  <c r="JX21" i="2" s="1"/>
  <c r="JY21" i="2" s="1"/>
  <c r="JZ21" i="2" s="1"/>
  <c r="KA21" i="2" s="1"/>
  <c r="KB21" i="2" s="1"/>
  <c r="KC21" i="2" s="1"/>
  <c r="KD21" i="2" s="1"/>
  <c r="KE21" i="2" s="1"/>
  <c r="KF21" i="2" s="1"/>
  <c r="KG21" i="2" s="1"/>
  <c r="KH21" i="2" s="1"/>
  <c r="KI21" i="2" s="1"/>
  <c r="KJ21" i="2" s="1"/>
  <c r="KK21" i="2" s="1"/>
  <c r="KL21" i="2" s="1"/>
  <c r="KM21" i="2" s="1"/>
  <c r="KN21" i="2" s="1"/>
  <c r="KO21" i="2" s="1"/>
  <c r="KP21" i="2" s="1"/>
  <c r="KQ21" i="2" s="1"/>
  <c r="KR21" i="2" s="1"/>
  <c r="KS21" i="2" s="1"/>
  <c r="KT21" i="2" s="1"/>
  <c r="KU21" i="2" s="1"/>
  <c r="KV21" i="2" s="1"/>
  <c r="KW21" i="2" s="1"/>
  <c r="KX21" i="2" s="1"/>
  <c r="KY21" i="2" s="1"/>
  <c r="KZ21" i="2" s="1"/>
  <c r="LA21" i="2" s="1"/>
  <c r="LB21" i="2" s="1"/>
  <c r="LC21" i="2" s="1"/>
  <c r="LD21" i="2" s="1"/>
  <c r="LE21" i="2" s="1"/>
  <c r="LF21" i="2" s="1"/>
  <c r="LG21" i="2" s="1"/>
  <c r="LH21" i="2" s="1"/>
  <c r="LI21" i="2" s="1"/>
  <c r="LJ21" i="2" s="1"/>
  <c r="LK21" i="2" s="1"/>
  <c r="LL21" i="2" s="1"/>
  <c r="LM21" i="2" s="1"/>
  <c r="LN21" i="2" s="1"/>
  <c r="LO21" i="2" s="1"/>
  <c r="LP21" i="2" s="1"/>
  <c r="LQ21" i="2" s="1"/>
  <c r="LR21" i="2" s="1"/>
  <c r="LS21" i="2" s="1"/>
  <c r="LT21" i="2" s="1"/>
  <c r="LU21" i="2" s="1"/>
  <c r="LV21" i="2" s="1"/>
  <c r="LW21" i="2" s="1"/>
  <c r="LX21" i="2" s="1"/>
  <c r="LY21" i="2" s="1"/>
  <c r="LZ21" i="2" s="1"/>
  <c r="MA21" i="2" s="1"/>
  <c r="MB21" i="2" s="1"/>
  <c r="MC21" i="2" s="1"/>
  <c r="MD21" i="2" s="1"/>
  <c r="ME21" i="2" s="1"/>
  <c r="MF21" i="2" s="1"/>
  <c r="MG21" i="2" s="1"/>
  <c r="MH21" i="2" s="1"/>
  <c r="MI21" i="2" s="1"/>
  <c r="MJ21" i="2" s="1"/>
  <c r="MK21" i="2" s="1"/>
  <c r="ML21" i="2" s="1"/>
  <c r="MM21" i="2" s="1"/>
  <c r="MN21" i="2" s="1"/>
  <c r="MO21" i="2" s="1"/>
  <c r="MP21" i="2" s="1"/>
  <c r="MQ21" i="2" s="1"/>
  <c r="MR21" i="2" s="1"/>
  <c r="MS21" i="2" s="1"/>
  <c r="MT21" i="2" s="1"/>
  <c r="MU21" i="2" s="1"/>
  <c r="MV21" i="2" s="1"/>
  <c r="MW21" i="2" s="1"/>
  <c r="MX21" i="2" s="1"/>
  <c r="MY21" i="2" s="1"/>
  <c r="MZ21" i="2" s="1"/>
  <c r="NA21" i="2" s="1"/>
  <c r="NB21" i="2" s="1"/>
  <c r="NC21" i="2" s="1"/>
  <c r="ND21" i="2" s="1"/>
  <c r="NE21" i="2" s="1"/>
  <c r="NF21" i="2" s="1"/>
  <c r="NG21" i="2" s="1"/>
  <c r="NH21" i="2" s="1"/>
  <c r="NI21" i="2" s="1"/>
  <c r="NJ21" i="2" s="1"/>
  <c r="NK21" i="2" s="1"/>
  <c r="NL21" i="2" s="1"/>
  <c r="NM21" i="2" s="1"/>
  <c r="NN21" i="2" s="1"/>
  <c r="NO21" i="2" s="1"/>
  <c r="NP21" i="2" s="1"/>
  <c r="NQ21" i="2" s="1"/>
  <c r="NR21" i="2" s="1"/>
  <c r="NS21" i="2" s="1"/>
  <c r="NT21" i="2" s="1"/>
  <c r="NU21" i="2" s="1"/>
  <c r="NV21" i="2" s="1"/>
  <c r="NW21" i="2" s="1"/>
  <c r="NX21" i="2" s="1"/>
  <c r="NY21" i="2" s="1"/>
  <c r="NZ21" i="2" s="1"/>
  <c r="OA21" i="2" s="1"/>
  <c r="OB21" i="2" s="1"/>
  <c r="OC21" i="2" s="1"/>
  <c r="OD21" i="2" s="1"/>
  <c r="OE21" i="2" s="1"/>
  <c r="OF21" i="2" s="1"/>
  <c r="OG21" i="2" s="1"/>
  <c r="OH21" i="2" s="1"/>
  <c r="OI21" i="2" s="1"/>
  <c r="OJ21" i="2" s="1"/>
  <c r="OK21" i="2" s="1"/>
  <c r="OL21" i="2" s="1"/>
  <c r="OM21" i="2" s="1"/>
  <c r="ON21" i="2" s="1"/>
  <c r="OO21" i="2" s="1"/>
  <c r="OP21" i="2" s="1"/>
  <c r="OQ21" i="2" s="1"/>
  <c r="OR21" i="2" s="1"/>
  <c r="OS21" i="2" s="1"/>
  <c r="OT21" i="2" s="1"/>
  <c r="OU21" i="2" s="1"/>
  <c r="OV21" i="2" s="1"/>
  <c r="OW21" i="2" s="1"/>
  <c r="OX21" i="2" s="1"/>
  <c r="OY21" i="2" s="1"/>
  <c r="OZ21" i="2" s="1"/>
  <c r="PA21" i="2" s="1"/>
  <c r="PB21" i="2" s="1"/>
  <c r="PC21" i="2" s="1"/>
  <c r="PD21" i="2" s="1"/>
  <c r="PE21" i="2" s="1"/>
  <c r="PF21" i="2" s="1"/>
  <c r="PG21" i="2" s="1"/>
  <c r="PH21" i="2" s="1"/>
  <c r="PI21" i="2" s="1"/>
  <c r="PJ21" i="2" s="1"/>
  <c r="PK21" i="2" s="1"/>
  <c r="PL21" i="2" s="1"/>
  <c r="PM21" i="2" s="1"/>
  <c r="PN21" i="2" s="1"/>
  <c r="PO21" i="2" s="1"/>
  <c r="PP21" i="2" s="1"/>
  <c r="PQ21" i="2" s="1"/>
  <c r="PR21" i="2" s="1"/>
  <c r="PS21" i="2" s="1"/>
  <c r="PT21" i="2" s="1"/>
  <c r="PU21" i="2" s="1"/>
  <c r="PV21" i="2" s="1"/>
  <c r="PW21" i="2" s="1"/>
  <c r="PX21" i="2" s="1"/>
  <c r="PY21" i="2" s="1"/>
  <c r="PZ21" i="2" s="1"/>
  <c r="QA21" i="2" s="1"/>
  <c r="QB21" i="2" s="1"/>
  <c r="QC21" i="2" s="1"/>
  <c r="QD21" i="2" s="1"/>
  <c r="QE21" i="2" s="1"/>
  <c r="QF21" i="2" s="1"/>
  <c r="QG21" i="2" s="1"/>
  <c r="QH21" i="2" s="1"/>
  <c r="QI21" i="2" s="1"/>
  <c r="QJ21" i="2" s="1"/>
  <c r="QK21" i="2" s="1"/>
  <c r="QL21" i="2" s="1"/>
  <c r="QM21" i="2" s="1"/>
  <c r="QN21" i="2" s="1"/>
  <c r="QO21" i="2" s="1"/>
  <c r="QP21" i="2" s="1"/>
  <c r="QQ21" i="2" s="1"/>
  <c r="QR21" i="2" s="1"/>
  <c r="QS21" i="2" s="1"/>
  <c r="QT21" i="2" s="1"/>
  <c r="QU21" i="2" s="1"/>
  <c r="QV21" i="2" s="1"/>
  <c r="QW21" i="2" s="1"/>
  <c r="QX21" i="2" s="1"/>
  <c r="QY21" i="2" s="1"/>
  <c r="QZ21" i="2" s="1"/>
  <c r="RA21" i="2" s="1"/>
  <c r="RB21" i="2" s="1"/>
  <c r="RC21" i="2" s="1"/>
  <c r="RD21" i="2" s="1"/>
  <c r="RE21" i="2" s="1"/>
  <c r="RF21" i="2" s="1"/>
  <c r="RG21" i="2" s="1"/>
  <c r="RH21" i="2" s="1"/>
  <c r="RI21" i="2" s="1"/>
  <c r="RJ21" i="2" s="1"/>
  <c r="RK21" i="2" s="1"/>
  <c r="RL21" i="2" s="1"/>
  <c r="RM21" i="2" s="1"/>
  <c r="RN21" i="2" s="1"/>
  <c r="RO21" i="2" s="1"/>
  <c r="RP21" i="2" s="1"/>
  <c r="RQ21" i="2" s="1"/>
  <c r="RR21" i="2" s="1"/>
  <c r="RS21" i="2" s="1"/>
  <c r="RT21" i="2" s="1"/>
  <c r="RU21" i="2" s="1"/>
  <c r="RV21" i="2" s="1"/>
  <c r="RW21" i="2" s="1"/>
  <c r="RX21" i="2" s="1"/>
  <c r="RY21" i="2" s="1"/>
  <c r="RZ21" i="2" s="1"/>
  <c r="SA21" i="2" s="1"/>
  <c r="SB21" i="2" s="1"/>
  <c r="SC21" i="2" s="1"/>
  <c r="SD21" i="2" s="1"/>
  <c r="SE21" i="2" s="1"/>
  <c r="SF21" i="2" s="1"/>
  <c r="SG21" i="2" s="1"/>
  <c r="SH21" i="2" s="1"/>
  <c r="SI21" i="2" s="1"/>
  <c r="SJ21" i="2" s="1"/>
  <c r="SK21" i="2" s="1"/>
  <c r="SL21" i="2" s="1"/>
  <c r="SM21" i="2" s="1"/>
  <c r="SN21" i="2" s="1"/>
  <c r="SO21" i="2" s="1"/>
  <c r="SP21" i="2" s="1"/>
  <c r="SQ21" i="2" s="1"/>
  <c r="SR21" i="2" s="1"/>
  <c r="SS21" i="2" s="1"/>
  <c r="ST21" i="2" s="1"/>
  <c r="SU21" i="2" s="1"/>
  <c r="SV21" i="2" s="1"/>
  <c r="SW21" i="2" s="1"/>
  <c r="SX21" i="2" s="1"/>
  <c r="SY21" i="2" s="1"/>
  <c r="SZ21" i="2" s="1"/>
  <c r="TA21" i="2" s="1"/>
  <c r="TB21" i="2" s="1"/>
  <c r="TC21" i="2" s="1"/>
  <c r="TD21" i="2" s="1"/>
  <c r="TE21" i="2" s="1"/>
  <c r="TF21" i="2" s="1"/>
  <c r="TG21" i="2" s="1"/>
  <c r="TH21" i="2" s="1"/>
  <c r="TI21" i="2" s="1"/>
  <c r="TJ21" i="2" s="1"/>
  <c r="TK21" i="2" s="1"/>
  <c r="TL21" i="2" s="1"/>
  <c r="TM21" i="2" s="1"/>
  <c r="TN21" i="2" s="1"/>
  <c r="TO21" i="2" s="1"/>
  <c r="TP21" i="2" s="1"/>
  <c r="TQ21" i="2" s="1"/>
  <c r="TR21" i="2" s="1"/>
  <c r="TS21" i="2" s="1"/>
  <c r="TT21" i="2" s="1"/>
  <c r="TU21" i="2" s="1"/>
  <c r="TV21" i="2" s="1"/>
  <c r="TW21" i="2" s="1"/>
  <c r="TX21" i="2" s="1"/>
  <c r="TY21" i="2" s="1"/>
  <c r="TZ21" i="2" s="1"/>
  <c r="UA21" i="2" s="1"/>
  <c r="UB21" i="2" s="1"/>
  <c r="UC21" i="2" s="1"/>
  <c r="UD21" i="2" s="1"/>
  <c r="UE21" i="2" s="1"/>
  <c r="UF21" i="2" s="1"/>
  <c r="UG21" i="2" s="1"/>
  <c r="UH21" i="2" s="1"/>
  <c r="UI21" i="2" s="1"/>
  <c r="UJ21" i="2" s="1"/>
  <c r="UK21" i="2" s="1"/>
  <c r="UL21" i="2" s="1"/>
  <c r="UM21" i="2" s="1"/>
  <c r="UN21" i="2" s="1"/>
  <c r="UO21" i="2" s="1"/>
  <c r="UP21" i="2" s="1"/>
  <c r="UQ21" i="2" s="1"/>
  <c r="UR21" i="2" s="1"/>
  <c r="US21" i="2" s="1"/>
  <c r="UT21" i="2" s="1"/>
  <c r="UU21" i="2" s="1"/>
  <c r="UV21" i="2" s="1"/>
  <c r="UW21" i="2" s="1"/>
  <c r="UX21" i="2" s="1"/>
  <c r="UY21" i="2" s="1"/>
  <c r="UZ21" i="2" s="1"/>
  <c r="VA21" i="2" s="1"/>
  <c r="VB21" i="2" s="1"/>
  <c r="VC21" i="2" s="1"/>
  <c r="VD21" i="2" s="1"/>
  <c r="VE21" i="2" s="1"/>
  <c r="VF21" i="2" s="1"/>
  <c r="VG21" i="2" s="1"/>
  <c r="VH21" i="2" s="1"/>
  <c r="VI21" i="2" s="1"/>
  <c r="VJ21" i="2" s="1"/>
  <c r="VK21" i="2" s="1"/>
  <c r="VL21" i="2" s="1"/>
  <c r="VM21" i="2" s="1"/>
  <c r="VN21" i="2" s="1"/>
  <c r="VO21" i="2" s="1"/>
  <c r="VP21" i="2" s="1"/>
  <c r="VQ21" i="2" s="1"/>
  <c r="VR21" i="2" s="1"/>
  <c r="VS21" i="2" s="1"/>
  <c r="VT21" i="2" s="1"/>
  <c r="VU21" i="2" s="1"/>
  <c r="VV21" i="2" s="1"/>
  <c r="VW21" i="2" s="1"/>
  <c r="VX21" i="2" s="1"/>
  <c r="VY21" i="2" s="1"/>
  <c r="VZ21" i="2" s="1"/>
  <c r="WA21" i="2" s="1"/>
  <c r="WB21" i="2" s="1"/>
  <c r="WC21" i="2" s="1"/>
  <c r="WD21" i="2" s="1"/>
  <c r="WE21" i="2" s="1"/>
  <c r="WF21" i="2" s="1"/>
  <c r="WG21" i="2" s="1"/>
  <c r="WH21" i="2" s="1"/>
  <c r="WI21" i="2" s="1"/>
  <c r="WJ21" i="2" s="1"/>
  <c r="WK21" i="2" s="1"/>
  <c r="WL21" i="2" s="1"/>
  <c r="WM21" i="2" s="1"/>
  <c r="WN21" i="2" s="1"/>
  <c r="WO21" i="2" s="1"/>
  <c r="WP21" i="2" s="1"/>
  <c r="WQ21" i="2" s="1"/>
  <c r="WR21" i="2" s="1"/>
  <c r="WS21" i="2" s="1"/>
  <c r="WT21" i="2" s="1"/>
  <c r="WU21" i="2" s="1"/>
  <c r="WV21" i="2" s="1"/>
  <c r="WW21" i="2" s="1"/>
  <c r="WX21" i="2" s="1"/>
  <c r="WY21" i="2" s="1"/>
  <c r="WZ21" i="2" s="1"/>
  <c r="XA21" i="2" s="1"/>
  <c r="XB21" i="2" s="1"/>
  <c r="XC21" i="2" s="1"/>
  <c r="XD21" i="2" s="1"/>
  <c r="XE21" i="2" s="1"/>
  <c r="XF21" i="2" s="1"/>
  <c r="XG21" i="2" s="1"/>
  <c r="XH21" i="2" s="1"/>
  <c r="XI21" i="2" s="1"/>
  <c r="XJ21" i="2" s="1"/>
  <c r="XK21" i="2" s="1"/>
  <c r="XL21" i="2" s="1"/>
  <c r="XM21" i="2" s="1"/>
  <c r="XN21" i="2" s="1"/>
  <c r="XO21" i="2" s="1"/>
  <c r="XP21" i="2" s="1"/>
  <c r="XQ21" i="2" s="1"/>
  <c r="XR21" i="2" s="1"/>
  <c r="XS21" i="2" s="1"/>
  <c r="XT21" i="2" s="1"/>
  <c r="XU21" i="2" s="1"/>
  <c r="XV21" i="2" s="1"/>
  <c r="XW21" i="2" s="1"/>
  <c r="XX21" i="2" s="1"/>
  <c r="XY21" i="2" s="1"/>
  <c r="XZ21" i="2" s="1"/>
  <c r="YA21" i="2" s="1"/>
  <c r="YB21" i="2" s="1"/>
  <c r="YC21" i="2" s="1"/>
  <c r="YD21" i="2" s="1"/>
  <c r="YE21" i="2" s="1"/>
  <c r="YF21" i="2" s="1"/>
  <c r="YG21" i="2" s="1"/>
  <c r="YH21" i="2" s="1"/>
  <c r="YI21" i="2" s="1"/>
  <c r="YJ21" i="2" s="1"/>
  <c r="YK21" i="2" s="1"/>
  <c r="YL21" i="2" s="1"/>
  <c r="YM21" i="2" s="1"/>
  <c r="YN21" i="2" s="1"/>
  <c r="YO21" i="2" s="1"/>
  <c r="YP21" i="2" s="1"/>
  <c r="YQ21" i="2" s="1"/>
  <c r="YR21" i="2" s="1"/>
  <c r="YS21" i="2" s="1"/>
  <c r="YT21" i="2" s="1"/>
  <c r="YU21" i="2" s="1"/>
  <c r="YV21" i="2" s="1"/>
  <c r="YW21" i="2" s="1"/>
  <c r="YX21" i="2" s="1"/>
  <c r="YY21" i="2" s="1"/>
  <c r="YZ21" i="2" s="1"/>
  <c r="ZA21" i="2" s="1"/>
  <c r="ZB21" i="2" s="1"/>
  <c r="ZC21" i="2" s="1"/>
  <c r="ZD21" i="2" s="1"/>
  <c r="ZE21" i="2" s="1"/>
  <c r="ZF21" i="2" s="1"/>
  <c r="ZG21" i="2" s="1"/>
  <c r="ZH21" i="2" s="1"/>
  <c r="ZI21" i="2" s="1"/>
  <c r="ZJ21" i="2" s="1"/>
  <c r="ZK21" i="2" s="1"/>
  <c r="ZL21" i="2" s="1"/>
  <c r="ZM21" i="2" s="1"/>
  <c r="ZN21" i="2" s="1"/>
  <c r="ZO21" i="2" s="1"/>
  <c r="ZP21" i="2" s="1"/>
  <c r="ZQ21" i="2" s="1"/>
  <c r="ZR21" i="2" s="1"/>
  <c r="ZS21" i="2" s="1"/>
  <c r="ZT21" i="2" s="1"/>
  <c r="ZU21" i="2" s="1"/>
  <c r="ZV21" i="2" s="1"/>
  <c r="ZW21" i="2" s="1"/>
  <c r="ZX21" i="2" s="1"/>
  <c r="ZY21" i="2" s="1"/>
  <c r="ZZ21" i="2" s="1"/>
  <c r="AAA21" i="2" s="1"/>
  <c r="AAB21" i="2" s="1"/>
  <c r="AAC21" i="2" s="1"/>
  <c r="AAD21" i="2" s="1"/>
  <c r="AAE21" i="2" s="1"/>
  <c r="AAF21" i="2" s="1"/>
  <c r="AAG21" i="2" s="1"/>
  <c r="AAH21" i="2" s="1"/>
  <c r="AAI21" i="2" s="1"/>
  <c r="AAJ21" i="2" s="1"/>
  <c r="AAK21" i="2" s="1"/>
  <c r="AAL21" i="2" s="1"/>
  <c r="AAM21" i="2" s="1"/>
  <c r="AAN21" i="2" s="1"/>
  <c r="AAO21" i="2" s="1"/>
  <c r="AAP21" i="2" s="1"/>
  <c r="AAQ21" i="2" s="1"/>
  <c r="AAR21" i="2" s="1"/>
  <c r="AAS21" i="2" s="1"/>
  <c r="AAT21" i="2" s="1"/>
  <c r="AAU21" i="2" s="1"/>
  <c r="AAV21" i="2" s="1"/>
  <c r="AAW21" i="2" s="1"/>
  <c r="AAX21" i="2" s="1"/>
  <c r="AAY21" i="2" s="1"/>
  <c r="AAZ21" i="2" s="1"/>
  <c r="ABA21" i="2" s="1"/>
  <c r="ABB21" i="2" s="1"/>
  <c r="ABC21" i="2" s="1"/>
  <c r="ABD21" i="2" s="1"/>
  <c r="ABE21" i="2" s="1"/>
  <c r="ABF21" i="2" s="1"/>
  <c r="ABG21" i="2" s="1"/>
  <c r="ABH21" i="2" s="1"/>
  <c r="ABI21" i="2" s="1"/>
  <c r="ABJ21" i="2" s="1"/>
  <c r="ABK21" i="2" s="1"/>
  <c r="ABL21" i="2" s="1"/>
  <c r="ABM21" i="2" s="1"/>
  <c r="ABN21" i="2" s="1"/>
  <c r="ABO21" i="2" s="1"/>
  <c r="ABP21" i="2" s="1"/>
  <c r="ABQ21" i="2" s="1"/>
  <c r="ABR21" i="2" s="1"/>
  <c r="ABS21" i="2" s="1"/>
  <c r="ABT21" i="2" s="1"/>
  <c r="ABU21" i="2" s="1"/>
  <c r="ABV21" i="2" s="1"/>
  <c r="ABW21" i="2" s="1"/>
  <c r="ABX21" i="2" s="1"/>
  <c r="ABY21" i="2" s="1"/>
  <c r="ABZ21" i="2" s="1"/>
  <c r="ACA21" i="2" s="1"/>
  <c r="ACB21" i="2" s="1"/>
  <c r="ACC21" i="2" s="1"/>
  <c r="ACD21" i="2" s="1"/>
  <c r="ACE21" i="2" s="1"/>
  <c r="ACF21" i="2" s="1"/>
  <c r="ACG21" i="2" s="1"/>
  <c r="ACH21" i="2" s="1"/>
  <c r="ACI21" i="2" s="1"/>
  <c r="ACJ21" i="2" s="1"/>
  <c r="ACK21" i="2" s="1"/>
  <c r="ACL21" i="2" s="1"/>
  <c r="ACM21" i="2" s="1"/>
  <c r="ACN21" i="2" s="1"/>
  <c r="ACO21" i="2" s="1"/>
  <c r="ACP21" i="2" s="1"/>
  <c r="ACQ21" i="2" s="1"/>
  <c r="ACR21" i="2" s="1"/>
  <c r="ACS21" i="2" s="1"/>
  <c r="ACT21" i="2" s="1"/>
  <c r="ACU21" i="2" s="1"/>
  <c r="ACV21" i="2" s="1"/>
  <c r="ACW21" i="2" s="1"/>
  <c r="ACX21" i="2" s="1"/>
  <c r="ACY21" i="2" s="1"/>
  <c r="ACZ21" i="2" s="1"/>
  <c r="ADA21" i="2" s="1"/>
  <c r="ADB21" i="2" s="1"/>
  <c r="ADC21" i="2" s="1"/>
  <c r="ADD21" i="2" s="1"/>
  <c r="ADE21" i="2" s="1"/>
  <c r="ADF21" i="2" s="1"/>
  <c r="ADG21" i="2" s="1"/>
  <c r="ADH21" i="2" s="1"/>
  <c r="ADI21" i="2" s="1"/>
  <c r="ADJ21" i="2" s="1"/>
  <c r="ADK21" i="2" s="1"/>
  <c r="ADL21" i="2" s="1"/>
  <c r="ADM21" i="2" s="1"/>
  <c r="ADN21" i="2" s="1"/>
  <c r="ADO21" i="2" s="1"/>
  <c r="ADP21" i="2" s="1"/>
  <c r="ADQ21" i="2" s="1"/>
  <c r="ADR21" i="2" s="1"/>
  <c r="ADS21" i="2" s="1"/>
  <c r="ADT21" i="2" s="1"/>
  <c r="ADU21" i="2" s="1"/>
  <c r="ADV21" i="2" s="1"/>
  <c r="ADW21" i="2" s="1"/>
  <c r="ADX21" i="2" s="1"/>
  <c r="ADY21" i="2" s="1"/>
  <c r="ADZ21" i="2" s="1"/>
  <c r="AEA21" i="2" s="1"/>
  <c r="AEB21" i="2" s="1"/>
  <c r="AEC21" i="2" s="1"/>
  <c r="AED21" i="2" s="1"/>
  <c r="AEE21" i="2" s="1"/>
  <c r="AEF21" i="2" s="1"/>
  <c r="AEG21" i="2" s="1"/>
  <c r="AEH21" i="2" s="1"/>
  <c r="AEI21" i="2" s="1"/>
  <c r="AEJ21" i="2" s="1"/>
  <c r="AEK21" i="2" s="1"/>
  <c r="AEL21" i="2" s="1"/>
  <c r="AEM21" i="2" s="1"/>
  <c r="AEN21" i="2" s="1"/>
  <c r="AEO21" i="2" s="1"/>
  <c r="AEP21" i="2" s="1"/>
  <c r="AEQ21" i="2" s="1"/>
  <c r="AER21" i="2" s="1"/>
  <c r="AES21" i="2" s="1"/>
  <c r="AET21" i="2" s="1"/>
  <c r="AEU21" i="2" s="1"/>
  <c r="AEV21" i="2" s="1"/>
  <c r="AEW21" i="2" s="1"/>
  <c r="AEX21" i="2" s="1"/>
  <c r="AEY21" i="2" s="1"/>
  <c r="AEZ21" i="2" s="1"/>
  <c r="AFA21" i="2" s="1"/>
  <c r="AFB21" i="2" s="1"/>
  <c r="AFC21" i="2" s="1"/>
  <c r="AFD21" i="2" s="1"/>
  <c r="AFE21" i="2" s="1"/>
  <c r="AFF21" i="2" s="1"/>
  <c r="AFG21" i="2" s="1"/>
  <c r="AFH21" i="2" s="1"/>
  <c r="AFI21" i="2" s="1"/>
  <c r="AFJ21" i="2" s="1"/>
  <c r="AFK21" i="2" s="1"/>
  <c r="AFL21" i="2" s="1"/>
  <c r="AFM21" i="2" s="1"/>
  <c r="AFN21" i="2" s="1"/>
  <c r="AFO21" i="2" s="1"/>
  <c r="AFP21" i="2" s="1"/>
  <c r="AFQ21" i="2" s="1"/>
  <c r="AFR21" i="2" s="1"/>
  <c r="AFS21" i="2" s="1"/>
  <c r="AFT21" i="2" s="1"/>
  <c r="AFU21" i="2" s="1"/>
  <c r="AFV21" i="2" s="1"/>
  <c r="AFW21" i="2" s="1"/>
  <c r="AFX21" i="2" s="1"/>
  <c r="AFY21" i="2" s="1"/>
  <c r="AFZ21" i="2" s="1"/>
  <c r="AGA21" i="2" s="1"/>
  <c r="AGB21" i="2" s="1"/>
  <c r="AGC21" i="2" s="1"/>
  <c r="AGD21" i="2" s="1"/>
  <c r="AGE21" i="2" s="1"/>
  <c r="AGF21" i="2" s="1"/>
  <c r="AGG21" i="2" s="1"/>
  <c r="AGH21" i="2" s="1"/>
  <c r="AGI21" i="2" s="1"/>
  <c r="AGJ21" i="2" s="1"/>
  <c r="AGK21" i="2" s="1"/>
  <c r="AGL21" i="2" s="1"/>
  <c r="AGM21" i="2" s="1"/>
  <c r="AGN21" i="2" s="1"/>
  <c r="AGO21" i="2" s="1"/>
  <c r="AGP21" i="2" s="1"/>
  <c r="AGQ21" i="2" s="1"/>
  <c r="AGR21" i="2" s="1"/>
  <c r="AGS21" i="2" s="1"/>
  <c r="AGT21" i="2" s="1"/>
  <c r="AGU21" i="2" s="1"/>
  <c r="AGV21" i="2" s="1"/>
  <c r="AGW21" i="2" s="1"/>
  <c r="AGX21" i="2" s="1"/>
  <c r="AGY21" i="2" s="1"/>
  <c r="AGZ21" i="2" s="1"/>
  <c r="AHA21" i="2" s="1"/>
  <c r="AHB21" i="2" s="1"/>
  <c r="AHC21" i="2" s="1"/>
  <c r="AHD21" i="2" s="1"/>
  <c r="AHE21" i="2" s="1"/>
  <c r="AHF21" i="2" s="1"/>
  <c r="AHG21" i="2" s="1"/>
  <c r="AHH21" i="2" s="1"/>
  <c r="AHI21" i="2" s="1"/>
  <c r="AHJ21" i="2" s="1"/>
  <c r="AHK21" i="2" s="1"/>
  <c r="AHL21" i="2" s="1"/>
  <c r="AHM21" i="2" s="1"/>
  <c r="AHN21" i="2" s="1"/>
  <c r="AHO21" i="2" s="1"/>
  <c r="AHP21" i="2" s="1"/>
  <c r="AHQ21" i="2" s="1"/>
  <c r="AHR21" i="2" s="1"/>
  <c r="AHS21" i="2" s="1"/>
  <c r="AHT21" i="2" s="1"/>
  <c r="AHU21" i="2" s="1"/>
  <c r="AHV21" i="2" s="1"/>
  <c r="AHW21" i="2" s="1"/>
  <c r="AHX21" i="2" s="1"/>
  <c r="AHY21" i="2" s="1"/>
  <c r="AHZ21" i="2" s="1"/>
  <c r="AIA21" i="2" s="1"/>
  <c r="AIB21" i="2" s="1"/>
  <c r="AIC21" i="2" s="1"/>
  <c r="AID21" i="2" s="1"/>
  <c r="AIE21" i="2" s="1"/>
  <c r="AIF21" i="2" s="1"/>
  <c r="AIG21" i="2" s="1"/>
  <c r="AIH21" i="2" s="1"/>
  <c r="AII21" i="2" s="1"/>
  <c r="AIJ21" i="2" s="1"/>
  <c r="AIK21" i="2" s="1"/>
  <c r="AIL21" i="2" s="1"/>
  <c r="AIM21" i="2" s="1"/>
  <c r="AIN21" i="2" s="1"/>
  <c r="AIO21" i="2" s="1"/>
  <c r="AIP21" i="2" s="1"/>
  <c r="AIQ21" i="2" s="1"/>
  <c r="AIR21" i="2" s="1"/>
  <c r="AIS21" i="2" s="1"/>
  <c r="AIT21" i="2" s="1"/>
  <c r="AIU21" i="2" s="1"/>
  <c r="AIV21" i="2" s="1"/>
  <c r="AIW21" i="2" s="1"/>
  <c r="AIX21" i="2" s="1"/>
  <c r="AIY21" i="2" s="1"/>
  <c r="AIZ21" i="2" s="1"/>
  <c r="AJA21" i="2" s="1"/>
  <c r="AJB21" i="2" s="1"/>
  <c r="AJC21" i="2" s="1"/>
  <c r="AJD21" i="2" s="1"/>
  <c r="AJE21" i="2" s="1"/>
  <c r="AJF21" i="2" s="1"/>
  <c r="AJG21" i="2" s="1"/>
  <c r="AJH21" i="2" s="1"/>
  <c r="AJI21" i="2" s="1"/>
  <c r="AJJ21" i="2" s="1"/>
  <c r="AJK21" i="2" s="1"/>
  <c r="AJL21" i="2" s="1"/>
  <c r="AJM21" i="2" s="1"/>
  <c r="AJN21" i="2" s="1"/>
  <c r="AJO21" i="2" s="1"/>
  <c r="AJP21" i="2" s="1"/>
  <c r="AJQ21" i="2" s="1"/>
  <c r="AJR21" i="2" s="1"/>
  <c r="AJS21" i="2" s="1"/>
  <c r="AJT21" i="2" s="1"/>
  <c r="AJU21" i="2" s="1"/>
  <c r="AJV21" i="2" s="1"/>
  <c r="AJW21" i="2" s="1"/>
  <c r="AJX21" i="2" s="1"/>
  <c r="AJY21" i="2" s="1"/>
  <c r="AJZ21" i="2" s="1"/>
  <c r="AKA21" i="2" s="1"/>
  <c r="AKB21" i="2" s="1"/>
  <c r="AKC21" i="2" s="1"/>
  <c r="AKD21" i="2" s="1"/>
  <c r="AKE21" i="2" s="1"/>
  <c r="AKF21" i="2" s="1"/>
  <c r="AKG21" i="2" s="1"/>
  <c r="AKH21" i="2" s="1"/>
  <c r="AKI21" i="2" s="1"/>
  <c r="AKJ21" i="2" s="1"/>
  <c r="AKK21" i="2" s="1"/>
  <c r="AKL21" i="2" s="1"/>
  <c r="AKM21" i="2" s="1"/>
  <c r="AKN21" i="2" s="1"/>
  <c r="AKO21" i="2" s="1"/>
  <c r="AKP21" i="2" s="1"/>
  <c r="AKQ21" i="2" s="1"/>
  <c r="AKR21" i="2" s="1"/>
  <c r="AKS21" i="2" s="1"/>
  <c r="AKT21" i="2" s="1"/>
  <c r="AKU21" i="2" s="1"/>
  <c r="AKV21" i="2" s="1"/>
  <c r="AKW21" i="2" s="1"/>
  <c r="AKX21" i="2" s="1"/>
  <c r="AKY21" i="2" s="1"/>
  <c r="AKZ21" i="2" s="1"/>
  <c r="ALA21" i="2" s="1"/>
  <c r="ALB21" i="2" s="1"/>
  <c r="ALC21" i="2" s="1"/>
  <c r="ALD21" i="2" s="1"/>
  <c r="ALE21" i="2" s="1"/>
  <c r="ALF21" i="2" s="1"/>
  <c r="ALG21" i="2" s="1"/>
  <c r="ALH21" i="2" s="1"/>
  <c r="ALI21" i="2" s="1"/>
  <c r="ALJ21" i="2" s="1"/>
  <c r="ALK21" i="2" s="1"/>
  <c r="ALL21" i="2" s="1"/>
  <c r="ALM21" i="2" s="1"/>
  <c r="ALN21" i="2" s="1"/>
  <c r="ALO21" i="2" s="1"/>
  <c r="ALP21" i="2" s="1"/>
  <c r="ALQ21" i="2" s="1"/>
  <c r="ALR21" i="2" s="1"/>
  <c r="ALS21" i="2" s="1"/>
  <c r="ALT21" i="2" s="1"/>
  <c r="ALU21" i="2" s="1"/>
  <c r="ALV21" i="2" s="1"/>
  <c r="ALW21" i="2" s="1"/>
  <c r="ALX21" i="2" s="1"/>
  <c r="ALY21" i="2" s="1"/>
  <c r="ALZ21" i="2" s="1"/>
  <c r="AMA21" i="2" s="1"/>
  <c r="AMB21" i="2" s="1"/>
  <c r="AMC21" i="2" s="1"/>
  <c r="AMD21" i="2" s="1"/>
  <c r="AME21" i="2" s="1"/>
  <c r="AMF21" i="2" s="1"/>
  <c r="AMG21" i="2" s="1"/>
  <c r="AMH21" i="2" s="1"/>
  <c r="AMI21" i="2" s="1"/>
  <c r="AMJ21" i="2" s="1"/>
  <c r="AMK21" i="2" s="1"/>
  <c r="AML21" i="2" s="1"/>
  <c r="AMM21" i="2" s="1"/>
  <c r="AMN21" i="2" s="1"/>
  <c r="AMO21" i="2" s="1"/>
  <c r="AMP21" i="2" s="1"/>
  <c r="AMQ21" i="2" s="1"/>
  <c r="AMR21" i="2" s="1"/>
  <c r="AMS21" i="2" s="1"/>
  <c r="AMT21" i="2" s="1"/>
  <c r="AMU21" i="2" s="1"/>
  <c r="AMV21" i="2" s="1"/>
  <c r="AMW21" i="2" s="1"/>
  <c r="AMX21" i="2" s="1"/>
  <c r="AMY21" i="2" s="1"/>
  <c r="AMZ21" i="2" s="1"/>
  <c r="ANA21" i="2" s="1"/>
  <c r="ANB21" i="2" s="1"/>
  <c r="ANC21" i="2" s="1"/>
  <c r="AND21" i="2" s="1"/>
  <c r="ANE21" i="2" s="1"/>
  <c r="ANF21" i="2" s="1"/>
  <c r="ANG21" i="2" s="1"/>
  <c r="ANH21" i="2" s="1"/>
  <c r="ANI21" i="2" s="1"/>
  <c r="ANJ21" i="2" s="1"/>
  <c r="ANK21" i="2" s="1"/>
  <c r="ANL21" i="2" s="1"/>
  <c r="ANM21" i="2" s="1"/>
  <c r="ANN21" i="2" s="1"/>
  <c r="ANO21" i="2" s="1"/>
  <c r="ANP21" i="2" s="1"/>
  <c r="ANQ21" i="2" s="1"/>
  <c r="ANR21" i="2" s="1"/>
  <c r="ANS21" i="2" s="1"/>
  <c r="ANT21" i="2" s="1"/>
  <c r="ANU21" i="2" s="1"/>
  <c r="ANV21" i="2" s="1"/>
  <c r="ANW21" i="2" s="1"/>
  <c r="ANX21" i="2" s="1"/>
  <c r="ANY21" i="2" s="1"/>
  <c r="ANZ21" i="2" s="1"/>
  <c r="AOA21" i="2" s="1"/>
  <c r="AOB21" i="2" s="1"/>
  <c r="AOC21" i="2" s="1"/>
  <c r="AOD21" i="2" s="1"/>
  <c r="AOE21" i="2" s="1"/>
  <c r="AOF21" i="2" s="1"/>
  <c r="AOG21" i="2" s="1"/>
  <c r="AOH21" i="2" s="1"/>
  <c r="AOI21" i="2" s="1"/>
  <c r="AOJ21" i="2" s="1"/>
  <c r="AOK21" i="2" s="1"/>
  <c r="AOL21" i="2" s="1"/>
  <c r="AOM21" i="2" s="1"/>
  <c r="AON21" i="2" s="1"/>
  <c r="AOO21" i="2" s="1"/>
  <c r="AOP21" i="2" s="1"/>
  <c r="AOQ21" i="2" s="1"/>
  <c r="AOR21" i="2" s="1"/>
  <c r="AOS21" i="2" s="1"/>
  <c r="AOT21" i="2" s="1"/>
  <c r="AOU21" i="2" s="1"/>
  <c r="AOV21" i="2" s="1"/>
  <c r="AOW21" i="2" s="1"/>
  <c r="AOX21" i="2" s="1"/>
  <c r="AOY21" i="2" s="1"/>
  <c r="AOZ21" i="2" s="1"/>
  <c r="APA21" i="2" s="1"/>
  <c r="APB21" i="2" s="1"/>
  <c r="APC21" i="2" s="1"/>
  <c r="APD21" i="2" s="1"/>
  <c r="APE21" i="2" s="1"/>
  <c r="APF21" i="2" s="1"/>
  <c r="APG21" i="2" s="1"/>
  <c r="APH21" i="2" s="1"/>
  <c r="API21" i="2" s="1"/>
  <c r="APJ21" i="2" s="1"/>
  <c r="APK21" i="2" s="1"/>
  <c r="APL21" i="2" s="1"/>
  <c r="APM21" i="2" s="1"/>
  <c r="APN21" i="2" s="1"/>
  <c r="APO21" i="2" s="1"/>
  <c r="APP21" i="2" s="1"/>
  <c r="APQ21" i="2" s="1"/>
  <c r="APR21" i="2" s="1"/>
  <c r="APS21" i="2" s="1"/>
  <c r="APT21" i="2" s="1"/>
  <c r="APU21" i="2" s="1"/>
  <c r="APV21" i="2" s="1"/>
  <c r="APW21" i="2" s="1"/>
  <c r="APX21" i="2" s="1"/>
  <c r="APY21" i="2" s="1"/>
  <c r="APZ21" i="2" s="1"/>
  <c r="AQA21" i="2" s="1"/>
  <c r="AQB21" i="2" s="1"/>
  <c r="AQC21" i="2" s="1"/>
  <c r="AQD21" i="2" s="1"/>
  <c r="AQE21" i="2" s="1"/>
  <c r="AQF21" i="2" s="1"/>
  <c r="AQG21" i="2" s="1"/>
  <c r="AQH21" i="2" s="1"/>
  <c r="AQI21" i="2" s="1"/>
  <c r="AQJ21" i="2" s="1"/>
  <c r="AQK21" i="2" s="1"/>
  <c r="AQL21" i="2" s="1"/>
  <c r="AQM21" i="2" s="1"/>
  <c r="AQN21" i="2" s="1"/>
  <c r="AQO21" i="2" s="1"/>
  <c r="AQP21" i="2" s="1"/>
  <c r="AQQ21" i="2" s="1"/>
  <c r="AQR21" i="2" s="1"/>
  <c r="AQS21" i="2" s="1"/>
  <c r="AQT21" i="2" s="1"/>
  <c r="AQU21" i="2" s="1"/>
  <c r="AQV21" i="2" s="1"/>
  <c r="AQW21" i="2" s="1"/>
  <c r="AQX21" i="2" s="1"/>
  <c r="AQY21" i="2" s="1"/>
  <c r="AQZ21" i="2" s="1"/>
  <c r="ARA21" i="2" s="1"/>
  <c r="ARB21" i="2" s="1"/>
  <c r="ARC21" i="2" s="1"/>
  <c r="ARD21" i="2" s="1"/>
  <c r="ARE21" i="2" s="1"/>
  <c r="ARF21" i="2" s="1"/>
  <c r="ARG21" i="2" s="1"/>
  <c r="ARH21" i="2" s="1"/>
  <c r="ARI21" i="2" s="1"/>
  <c r="ARJ21" i="2" s="1"/>
  <c r="ARK21" i="2" s="1"/>
  <c r="ARL21" i="2" s="1"/>
  <c r="ARM21" i="2" s="1"/>
  <c r="ARN21" i="2" s="1"/>
  <c r="ARO21" i="2" s="1"/>
  <c r="ARP21" i="2" s="1"/>
  <c r="ARQ21" i="2" s="1"/>
  <c r="ARR21" i="2" s="1"/>
  <c r="ARS21" i="2" s="1"/>
  <c r="ART21" i="2" s="1"/>
  <c r="ARU21" i="2" s="1"/>
  <c r="ARV21" i="2" s="1"/>
  <c r="ARW21" i="2" s="1"/>
  <c r="ARX21" i="2" s="1"/>
  <c r="ARY21" i="2" s="1"/>
  <c r="ARZ21" i="2" s="1"/>
  <c r="ASA21" i="2" s="1"/>
  <c r="ASB21" i="2" s="1"/>
  <c r="ASC21" i="2" s="1"/>
  <c r="ASD21" i="2" s="1"/>
  <c r="ASE21" i="2" s="1"/>
  <c r="ASF21" i="2" s="1"/>
  <c r="ASG21" i="2" s="1"/>
  <c r="ASH21" i="2" s="1"/>
  <c r="ASI21" i="2" s="1"/>
  <c r="ASJ21" i="2" s="1"/>
  <c r="ASK21" i="2" s="1"/>
  <c r="ASL21" i="2" s="1"/>
  <c r="ASM21" i="2" s="1"/>
  <c r="ASN21" i="2" s="1"/>
  <c r="ASO21" i="2" s="1"/>
  <c r="ASP21" i="2" s="1"/>
  <c r="ASQ21" i="2" s="1"/>
  <c r="ASR21" i="2" s="1"/>
  <c r="ASS21" i="2" s="1"/>
  <c r="AST21" i="2" s="1"/>
  <c r="ASU21" i="2" s="1"/>
  <c r="ASV21" i="2" s="1"/>
  <c r="ASW21" i="2" s="1"/>
  <c r="ASX21" i="2" s="1"/>
  <c r="AX21" i="2"/>
  <c r="AS17" i="2"/>
  <c r="AT17" i="2" s="1"/>
  <c r="AU17" i="2" s="1"/>
  <c r="AV17" i="2" s="1"/>
  <c r="AW17" i="2" s="1"/>
  <c r="AS16" i="2"/>
  <c r="AT16" i="2" s="1"/>
  <c r="AU16" i="2" s="1"/>
  <c r="AV16" i="2" s="1"/>
  <c r="AW16" i="2" s="1"/>
  <c r="AS15" i="2"/>
  <c r="AT15" i="2" s="1"/>
  <c r="AU15" i="2" s="1"/>
  <c r="AV15" i="2" s="1"/>
  <c r="AW15" i="2" s="1"/>
  <c r="AS14" i="2"/>
  <c r="AT14" i="2" s="1"/>
  <c r="AU14" i="2" s="1"/>
  <c r="AV14" i="2" s="1"/>
  <c r="AW14" i="2" s="1"/>
  <c r="AS13" i="2"/>
  <c r="AT13" i="2" s="1"/>
  <c r="AU13" i="2" s="1"/>
  <c r="AV13" i="2" s="1"/>
  <c r="AW13" i="2" s="1"/>
  <c r="AT12" i="2"/>
  <c r="AU12" i="2" s="1"/>
  <c r="AV12" i="2" s="1"/>
  <c r="AW12" i="2" s="1"/>
  <c r="AS12" i="2"/>
  <c r="AW10" i="2"/>
  <c r="AW30" i="2" s="1"/>
  <c r="AW7" i="2"/>
  <c r="AW6" i="2"/>
  <c r="AW4" i="2"/>
  <c r="AW5" i="2" s="1"/>
  <c r="AW3" i="2"/>
  <c r="AV10" i="2"/>
  <c r="AV7" i="2"/>
  <c r="AV6" i="2"/>
  <c r="AV8" i="2" s="1"/>
  <c r="AV4" i="2"/>
  <c r="AV3" i="2"/>
  <c r="AW26" i="2" s="1"/>
  <c r="AU10" i="2"/>
  <c r="AV30" i="2" s="1"/>
  <c r="AU7" i="2"/>
  <c r="AU6" i="2"/>
  <c r="AU8" i="2" s="1"/>
  <c r="AU4" i="2"/>
  <c r="AU3" i="2"/>
  <c r="AV26" i="2" s="1"/>
  <c r="AT10" i="2"/>
  <c r="AT7" i="2"/>
  <c r="AT6" i="2"/>
  <c r="AT4" i="2"/>
  <c r="AT3" i="2"/>
  <c r="AT5" i="2" s="1"/>
  <c r="AS10" i="2"/>
  <c r="AS7" i="2"/>
  <c r="AS6" i="2"/>
  <c r="AS4" i="2"/>
  <c r="AS3" i="2"/>
  <c r="AS5" i="2" s="1"/>
  <c r="AR22" i="2"/>
  <c r="AS23" i="2"/>
  <c r="AT23" i="2" s="1"/>
  <c r="AU23" i="2" s="1"/>
  <c r="AV23" i="2" s="1"/>
  <c r="AW23" i="2" s="1"/>
  <c r="AR23" i="2"/>
  <c r="AR19" i="2"/>
  <c r="AR17" i="2"/>
  <c r="AR16" i="2"/>
  <c r="AR15" i="2"/>
  <c r="AR14" i="2"/>
  <c r="AR13" i="2"/>
  <c r="AR12" i="2"/>
  <c r="AR10" i="2"/>
  <c r="AS30" i="2" s="1"/>
  <c r="AR9" i="2"/>
  <c r="AR7" i="2"/>
  <c r="AR6" i="2"/>
  <c r="AR4" i="2"/>
  <c r="AR3" i="2"/>
  <c r="C13" i="3"/>
  <c r="C9" i="3"/>
  <c r="C8" i="1"/>
  <c r="C5" i="1"/>
  <c r="BE37" i="2" s="1"/>
  <c r="AK23" i="2"/>
  <c r="AC23" i="2"/>
  <c r="AB23" i="2"/>
  <c r="AA23" i="2"/>
  <c r="Z23" i="2"/>
  <c r="Y23" i="2"/>
  <c r="X23" i="2"/>
  <c r="W23" i="2"/>
  <c r="V23" i="2"/>
  <c r="U23" i="2"/>
  <c r="T23" i="2"/>
  <c r="S23" i="2"/>
  <c r="R23" i="2"/>
  <c r="Q23" i="2"/>
  <c r="P23" i="2"/>
  <c r="O23" i="2"/>
  <c r="N23" i="2"/>
  <c r="M23" i="2"/>
  <c r="L23" i="2"/>
  <c r="K23" i="2"/>
  <c r="J23" i="2"/>
  <c r="I23" i="2"/>
  <c r="H23" i="2"/>
  <c r="G23" i="2"/>
  <c r="F23" i="2"/>
  <c r="E23" i="2"/>
  <c r="D23" i="2"/>
  <c r="AE23" i="2"/>
  <c r="AD23" i="2"/>
  <c r="AE19" i="2"/>
  <c r="AQ19" i="2" s="1"/>
  <c r="AE22" i="2"/>
  <c r="AE17" i="2"/>
  <c r="AQ17" i="2" s="1"/>
  <c r="AE16" i="2"/>
  <c r="AQ16" i="2" s="1"/>
  <c r="AE15" i="2"/>
  <c r="AE14" i="2"/>
  <c r="AE13" i="2"/>
  <c r="AE12" i="2"/>
  <c r="AQ12" i="2" s="1"/>
  <c r="AE6" i="2"/>
  <c r="AE10" i="2"/>
  <c r="AQ10" i="2" s="1"/>
  <c r="AE8" i="2"/>
  <c r="AE9" i="2" s="1"/>
  <c r="AE7" i="2"/>
  <c r="AQ7" i="2"/>
  <c r="AQ4" i="2"/>
  <c r="AE4" i="2"/>
  <c r="AE27" i="2" s="1"/>
  <c r="AE3" i="2"/>
  <c r="AQ3" i="2"/>
  <c r="AE26" i="2"/>
  <c r="AV27" i="2"/>
  <c r="AU27" i="2"/>
  <c r="AT27" i="2"/>
  <c r="AS27" i="2"/>
  <c r="AP27" i="2"/>
  <c r="AO27" i="2"/>
  <c r="AN27" i="2"/>
  <c r="AM27" i="2"/>
  <c r="AP26" i="2"/>
  <c r="AO26" i="2"/>
  <c r="AN26" i="2"/>
  <c r="AM26" i="2"/>
  <c r="AL27" i="2"/>
  <c r="AL26" i="2"/>
  <c r="AD27" i="2"/>
  <c r="AC27" i="2"/>
  <c r="AB27" i="2"/>
  <c r="AA27" i="2"/>
  <c r="Z27" i="2"/>
  <c r="Y27" i="2"/>
  <c r="X27" i="2"/>
  <c r="W27" i="2"/>
  <c r="V27" i="2"/>
  <c r="U27" i="2"/>
  <c r="T27" i="2"/>
  <c r="S27" i="2"/>
  <c r="R27" i="2"/>
  <c r="Q27" i="2"/>
  <c r="P27" i="2"/>
  <c r="O27" i="2"/>
  <c r="N27" i="2"/>
  <c r="M27" i="2"/>
  <c r="L27" i="2"/>
  <c r="K27" i="2"/>
  <c r="J27" i="2"/>
  <c r="I27" i="2"/>
  <c r="AD26" i="2"/>
  <c r="AC26" i="2"/>
  <c r="AB26" i="2"/>
  <c r="AA26" i="2"/>
  <c r="Z26" i="2"/>
  <c r="Y26" i="2"/>
  <c r="X26" i="2"/>
  <c r="W26" i="2"/>
  <c r="V26" i="2"/>
  <c r="U26" i="2"/>
  <c r="T26" i="2"/>
  <c r="S26" i="2"/>
  <c r="R26" i="2"/>
  <c r="Q26" i="2"/>
  <c r="P26" i="2"/>
  <c r="O26" i="2"/>
  <c r="N26" i="2"/>
  <c r="M26" i="2"/>
  <c r="L26" i="2"/>
  <c r="K26" i="2"/>
  <c r="J26" i="2"/>
  <c r="I26" i="2"/>
  <c r="H27" i="2"/>
  <c r="H26" i="2"/>
  <c r="AD8" i="2"/>
  <c r="AD33" i="2"/>
  <c r="AC33" i="2"/>
  <c r="AB33" i="2"/>
  <c r="Z33" i="2"/>
  <c r="Y33" i="2"/>
  <c r="X33" i="2"/>
  <c r="V33" i="2"/>
  <c r="U33" i="2"/>
  <c r="T33" i="2"/>
  <c r="R33" i="2"/>
  <c r="Q33" i="2"/>
  <c r="P33" i="2"/>
  <c r="N33" i="2"/>
  <c r="M33" i="2"/>
  <c r="L33" i="2"/>
  <c r="J33" i="2"/>
  <c r="I33" i="2"/>
  <c r="AD30" i="2"/>
  <c r="AC30" i="2"/>
  <c r="AB30" i="2"/>
  <c r="Z30" i="2"/>
  <c r="Y30" i="2"/>
  <c r="X30" i="2"/>
  <c r="V30" i="2"/>
  <c r="U30" i="2"/>
  <c r="T30" i="2"/>
  <c r="R30" i="2"/>
  <c r="Q30" i="2"/>
  <c r="P30" i="2"/>
  <c r="N30" i="2"/>
  <c r="M30" i="2"/>
  <c r="L30" i="2"/>
  <c r="J30" i="2"/>
  <c r="I30" i="2"/>
  <c r="Z29" i="2"/>
  <c r="Y29" i="2"/>
  <c r="X29" i="2"/>
  <c r="AD28" i="2"/>
  <c r="H33" i="2"/>
  <c r="H30" i="2"/>
  <c r="AT8" i="2"/>
  <c r="AS8" i="2"/>
  <c r="AQ22" i="2"/>
  <c r="AR33" i="2" s="1"/>
  <c r="AQ20" i="2"/>
  <c r="AQ14" i="2"/>
  <c r="AQ13" i="2"/>
  <c r="G22" i="2"/>
  <c r="AK22" i="2" s="1"/>
  <c r="K22" i="2"/>
  <c r="K33" i="2" s="1"/>
  <c r="O22" i="2"/>
  <c r="AM22" i="2" s="1"/>
  <c r="S22" i="2"/>
  <c r="W22" i="2"/>
  <c r="AO22" i="2" s="1"/>
  <c r="AA22" i="2"/>
  <c r="AA33" i="2" s="1"/>
  <c r="AP13" i="2"/>
  <c r="AO13" i="2"/>
  <c r="AN13" i="2"/>
  <c r="AM13" i="2"/>
  <c r="AL15" i="2"/>
  <c r="G20" i="2"/>
  <c r="AK20" i="2" s="1"/>
  <c r="G19" i="2"/>
  <c r="AK19" i="2" s="1"/>
  <c r="G17" i="2"/>
  <c r="AK17" i="2" s="1"/>
  <c r="G16" i="2"/>
  <c r="AK16" i="2" s="1"/>
  <c r="G13" i="2"/>
  <c r="AK13" i="2" s="1"/>
  <c r="G12" i="2"/>
  <c r="AK12" i="2" s="1"/>
  <c r="G10" i="2"/>
  <c r="AK10" i="2" s="1"/>
  <c r="G7" i="2"/>
  <c r="AK7" i="2" s="1"/>
  <c r="G6" i="2"/>
  <c r="AK6" i="2" s="1"/>
  <c r="G4" i="2"/>
  <c r="AK4" i="2" s="1"/>
  <c r="G3" i="2"/>
  <c r="AK3" i="2" s="1"/>
  <c r="K20" i="2"/>
  <c r="AL20" i="2" s="1"/>
  <c r="K19" i="2"/>
  <c r="AL19" i="2" s="1"/>
  <c r="K17" i="2"/>
  <c r="AL17" i="2" s="1"/>
  <c r="K16" i="2"/>
  <c r="AL16" i="2" s="1"/>
  <c r="K14" i="2"/>
  <c r="AL14" i="2" s="1"/>
  <c r="K13" i="2"/>
  <c r="AL13" i="2" s="1"/>
  <c r="K12" i="2"/>
  <c r="AL12" i="2" s="1"/>
  <c r="K10" i="2"/>
  <c r="AL10" i="2" s="1"/>
  <c r="K7" i="2"/>
  <c r="AL7" i="2" s="1"/>
  <c r="K6" i="2"/>
  <c r="AL6" i="2" s="1"/>
  <c r="K4" i="2"/>
  <c r="AL4" i="2" s="1"/>
  <c r="K3" i="2"/>
  <c r="AL3" i="2" s="1"/>
  <c r="L15" i="2"/>
  <c r="M15" i="2"/>
  <c r="N15" i="2"/>
  <c r="O19" i="2"/>
  <c r="AM19" i="2" s="1"/>
  <c r="O17" i="2"/>
  <c r="AM17" i="2" s="1"/>
  <c r="O16" i="2"/>
  <c r="AM16" i="2" s="1"/>
  <c r="O14" i="2"/>
  <c r="AM14" i="2" s="1"/>
  <c r="O10" i="2"/>
  <c r="AM10" i="2" s="1"/>
  <c r="O7" i="2"/>
  <c r="AM7" i="2" s="1"/>
  <c r="O6" i="2"/>
  <c r="AM6" i="2" s="1"/>
  <c r="O4" i="2"/>
  <c r="AM4" i="2" s="1"/>
  <c r="O3" i="2"/>
  <c r="AM3" i="2" s="1"/>
  <c r="AO20" i="2"/>
  <c r="AK15" i="2"/>
  <c r="AK14" i="2"/>
  <c r="AM20" i="2"/>
  <c r="AM12" i="2"/>
  <c r="AN20" i="2"/>
  <c r="AN12" i="2"/>
  <c r="AO14" i="2"/>
  <c r="AO12" i="2"/>
  <c r="S19" i="2"/>
  <c r="AN19" i="2" s="1"/>
  <c r="S17" i="2"/>
  <c r="AN17" i="2" s="1"/>
  <c r="S16" i="2"/>
  <c r="AN16" i="2" s="1"/>
  <c r="S14" i="2"/>
  <c r="AN14" i="2" s="1"/>
  <c r="S10" i="2"/>
  <c r="AN10" i="2" s="1"/>
  <c r="S7" i="2"/>
  <c r="AN7" i="2" s="1"/>
  <c r="S6" i="2"/>
  <c r="AN6" i="2" s="1"/>
  <c r="S4" i="2"/>
  <c r="AN4" i="2" s="1"/>
  <c r="S3" i="2"/>
  <c r="AN3" i="2" s="1"/>
  <c r="P15" i="2"/>
  <c r="T15" i="2"/>
  <c r="Q15" i="2"/>
  <c r="U15" i="2"/>
  <c r="R15" i="2"/>
  <c r="V15" i="2"/>
  <c r="W14" i="2"/>
  <c r="W19" i="2"/>
  <c r="AO19" i="2" s="1"/>
  <c r="W17" i="2"/>
  <c r="AO17" i="2" s="1"/>
  <c r="W16" i="2"/>
  <c r="AO16" i="2" s="1"/>
  <c r="W10" i="2"/>
  <c r="AO10" i="2" s="1"/>
  <c r="W7" i="2"/>
  <c r="AO7" i="2" s="1"/>
  <c r="W6" i="2"/>
  <c r="AO6" i="2" s="1"/>
  <c r="AO8" i="2" s="1"/>
  <c r="W4" i="2"/>
  <c r="AO4" i="2" s="1"/>
  <c r="W3" i="2"/>
  <c r="AO3" i="2" s="1"/>
  <c r="AA17" i="2"/>
  <c r="AP17" i="2" s="1"/>
  <c r="AP20" i="2"/>
  <c r="AP12" i="2"/>
  <c r="AA19" i="2"/>
  <c r="AP19" i="2" s="1"/>
  <c r="AA16" i="2"/>
  <c r="AP16" i="2" s="1"/>
  <c r="AA14" i="2"/>
  <c r="AP14" i="2" s="1"/>
  <c r="AA10" i="2"/>
  <c r="AP10" i="2" s="1"/>
  <c r="AA7" i="2"/>
  <c r="AP7" i="2" s="1"/>
  <c r="AA6" i="2"/>
  <c r="AP6" i="2" s="1"/>
  <c r="AA4" i="2"/>
  <c r="AP4" i="2" s="1"/>
  <c r="AA3" i="2"/>
  <c r="AP3" i="2" s="1"/>
  <c r="X15" i="2"/>
  <c r="AB15" i="2"/>
  <c r="Y15" i="2"/>
  <c r="AC15" i="2"/>
  <c r="AB5" i="2"/>
  <c r="AB28" i="2" s="1"/>
  <c r="Z15" i="2"/>
  <c r="AD15" i="2"/>
  <c r="AC8" i="2"/>
  <c r="AB8" i="2"/>
  <c r="Z8" i="2"/>
  <c r="Y8" i="2"/>
  <c r="X8" i="2"/>
  <c r="V8" i="2"/>
  <c r="U8" i="2"/>
  <c r="T8" i="2"/>
  <c r="AD5" i="2"/>
  <c r="AD9" i="2" s="1"/>
  <c r="AC5" i="2"/>
  <c r="AC28" i="2" s="1"/>
  <c r="Z5" i="2"/>
  <c r="Z28" i="2" s="1"/>
  <c r="Y5" i="2"/>
  <c r="Y28" i="2" s="1"/>
  <c r="X5" i="2"/>
  <c r="V5" i="2"/>
  <c r="U5" i="2"/>
  <c r="T5" i="2"/>
  <c r="BE31" i="2"/>
  <c r="D13" i="7"/>
  <c r="D14" i="7"/>
  <c r="D15" i="7"/>
  <c r="D16" i="7"/>
  <c r="D17" i="7"/>
  <c r="D18" i="7"/>
  <c r="D19" i="7"/>
  <c r="D20" i="7"/>
  <c r="D21" i="7"/>
  <c r="D22" i="7"/>
  <c r="D23" i="7"/>
  <c r="I8" i="2"/>
  <c r="D12" i="7"/>
  <c r="D11" i="7"/>
  <c r="D10" i="7"/>
  <c r="D9" i="7"/>
  <c r="D8" i="7"/>
  <c r="D7" i="7"/>
  <c r="D6" i="7"/>
  <c r="D5" i="7"/>
  <c r="AW8" i="2" l="1"/>
  <c r="AW9" i="2" s="1"/>
  <c r="AW27" i="2"/>
  <c r="AV5" i="2"/>
  <c r="AW28" i="2" s="1"/>
  <c r="AU30" i="2"/>
  <c r="AU5" i="2"/>
  <c r="AV28" i="2" s="1"/>
  <c r="AU28" i="2"/>
  <c r="AT30" i="2"/>
  <c r="AU26" i="2"/>
  <c r="AT26" i="2"/>
  <c r="AR8" i="2"/>
  <c r="AS29" i="2" s="1"/>
  <c r="AS26" i="2"/>
  <c r="AR5" i="2"/>
  <c r="AQ6" i="2"/>
  <c r="AQ8" i="2" s="1"/>
  <c r="AR29" i="2" s="1"/>
  <c r="AQ5" i="2"/>
  <c r="AB29" i="2"/>
  <c r="AS9" i="2"/>
  <c r="AT28" i="2"/>
  <c r="AQ15" i="2"/>
  <c r="W30" i="2"/>
  <c r="W33" i="2"/>
  <c r="AC29" i="2"/>
  <c r="AV9" i="2"/>
  <c r="AV11" i="2" s="1"/>
  <c r="AQ30" i="2"/>
  <c r="X28" i="2"/>
  <c r="AP22" i="2"/>
  <c r="AP33" i="2" s="1"/>
  <c r="AT9" i="2"/>
  <c r="AT34" i="2" s="1"/>
  <c r="AU9" i="2"/>
  <c r="AU34" i="2" s="1"/>
  <c r="AD29" i="2"/>
  <c r="AP8" i="2"/>
  <c r="AE33" i="2"/>
  <c r="AO33" i="2"/>
  <c r="S33" i="2"/>
  <c r="AL22" i="2"/>
  <c r="AL33" i="2" s="1"/>
  <c r="AE30" i="2"/>
  <c r="AR30" i="2"/>
  <c r="AN22" i="2"/>
  <c r="AN33" i="2" s="1"/>
  <c r="AU29" i="2"/>
  <c r="K30" i="2"/>
  <c r="AV29" i="2"/>
  <c r="O30" i="2"/>
  <c r="AA30" i="2"/>
  <c r="S30" i="2"/>
  <c r="AN8" i="2"/>
  <c r="AN9" i="2" s="1"/>
  <c r="AN11" i="2" s="1"/>
  <c r="AN18" i="2" s="1"/>
  <c r="O33" i="2"/>
  <c r="AT29" i="2"/>
  <c r="AA15" i="2"/>
  <c r="AP15" i="2" s="1"/>
  <c r="AK8" i="2"/>
  <c r="AK5" i="2"/>
  <c r="S15" i="2"/>
  <c r="AN15" i="2" s="1"/>
  <c r="O15" i="2"/>
  <c r="AM15" i="2" s="1"/>
  <c r="AL8" i="2"/>
  <c r="AL5" i="2"/>
  <c r="AM8" i="2"/>
  <c r="AM5" i="2"/>
  <c r="AN5" i="2"/>
  <c r="AO5" i="2"/>
  <c r="AO9" i="2" s="1"/>
  <c r="AO11" i="2" s="1"/>
  <c r="AP5" i="2"/>
  <c r="AP9" i="2" s="1"/>
  <c r="AP11" i="2" s="1"/>
  <c r="AP18" i="2" s="1"/>
  <c r="W15" i="2"/>
  <c r="AO15" i="2" s="1"/>
  <c r="W8" i="2"/>
  <c r="W5" i="2"/>
  <c r="AA8" i="2"/>
  <c r="AA5" i="2"/>
  <c r="AB9" i="2"/>
  <c r="AC9" i="2"/>
  <c r="T9" i="2"/>
  <c r="U9" i="2"/>
  <c r="V9" i="2"/>
  <c r="X9" i="2"/>
  <c r="Y9" i="2"/>
  <c r="Z9" i="2"/>
  <c r="D5" i="6"/>
  <c r="D6" i="6" s="1"/>
  <c r="D7" i="6" s="1"/>
  <c r="D8" i="6" s="1"/>
  <c r="D9" i="6" s="1"/>
  <c r="D10" i="6" s="1"/>
  <c r="D11" i="6" s="1"/>
  <c r="D12" i="6" s="1"/>
  <c r="D13" i="6" s="1"/>
  <c r="AW29" i="2" l="1"/>
  <c r="AV34" i="2"/>
  <c r="AU11" i="2"/>
  <c r="AU18" i="2" s="1"/>
  <c r="AU19" i="2" s="1"/>
  <c r="AT11" i="2"/>
  <c r="AU31" i="2" s="1"/>
  <c r="AS28" i="2"/>
  <c r="AQ9" i="2"/>
  <c r="AQ11" i="2" s="1"/>
  <c r="AQ29" i="2"/>
  <c r="AQ27" i="2"/>
  <c r="AR27" i="2"/>
  <c r="AQ26" i="2"/>
  <c r="AR26" i="2"/>
  <c r="AQ33" i="2"/>
  <c r="AS34" i="2"/>
  <c r="AS11" i="2"/>
  <c r="AA29" i="2"/>
  <c r="U11" i="2"/>
  <c r="U34" i="2"/>
  <c r="AC11" i="2"/>
  <c r="AC34" i="2"/>
  <c r="AV35" i="2"/>
  <c r="AV18" i="2"/>
  <c r="AV19" i="2" s="1"/>
  <c r="AE29" i="2"/>
  <c r="Y11" i="2"/>
  <c r="Y34" i="2"/>
  <c r="T11" i="2"/>
  <c r="T34" i="2"/>
  <c r="AW34" i="2"/>
  <c r="AW11" i="2"/>
  <c r="AO18" i="2"/>
  <c r="AO21" i="2" s="1"/>
  <c r="Z11" i="2"/>
  <c r="Z34" i="2"/>
  <c r="X11" i="2"/>
  <c r="X34" i="2"/>
  <c r="AM33" i="2"/>
  <c r="V11" i="2"/>
  <c r="V34" i="2"/>
  <c r="AB11" i="2"/>
  <c r="AB34" i="2"/>
  <c r="AE5" i="2"/>
  <c r="AE28" i="2" s="1"/>
  <c r="AA28" i="2"/>
  <c r="AD11" i="2"/>
  <c r="AD34" i="2"/>
  <c r="AP34" i="2"/>
  <c r="Z18" i="2"/>
  <c r="X18" i="2"/>
  <c r="U18" i="2"/>
  <c r="AD18" i="2"/>
  <c r="AK9" i="2"/>
  <c r="AK11" i="2" s="1"/>
  <c r="AL9" i="2"/>
  <c r="AL11" i="2" s="1"/>
  <c r="AN21" i="2"/>
  <c r="AM9" i="2"/>
  <c r="AM11" i="2" s="1"/>
  <c r="AA9" i="2"/>
  <c r="W9" i="2"/>
  <c r="C3" i="3"/>
  <c r="AV31" i="2" l="1"/>
  <c r="AU35" i="2"/>
  <c r="AT35" i="2"/>
  <c r="AT18" i="2"/>
  <c r="AT19" i="2" s="1"/>
  <c r="AT36" i="2" s="1"/>
  <c r="AT31" i="2"/>
  <c r="AR34" i="2"/>
  <c r="AR11" i="2"/>
  <c r="AQ34" i="2"/>
  <c r="AQ35" i="2"/>
  <c r="AR28" i="2"/>
  <c r="AS35" i="2"/>
  <c r="AS18" i="2"/>
  <c r="AS19" i="2" s="1"/>
  <c r="AQ28" i="2"/>
  <c r="AO23" i="2"/>
  <c r="AO32" i="2"/>
  <c r="AM18" i="2"/>
  <c r="AM21" i="2" s="1"/>
  <c r="AB35" i="2"/>
  <c r="AB31" i="2"/>
  <c r="T35" i="2"/>
  <c r="T18" i="2"/>
  <c r="U21" i="2"/>
  <c r="U36" i="2"/>
  <c r="Y18" i="2"/>
  <c r="Y31" i="2"/>
  <c r="Y35" i="2"/>
  <c r="W11" i="2"/>
  <c r="W34" i="2"/>
  <c r="AL18" i="2"/>
  <c r="AL21" i="2" s="1"/>
  <c r="AK21" i="2"/>
  <c r="AK18" i="2"/>
  <c r="Z21" i="2"/>
  <c r="Z36" i="2"/>
  <c r="AA11" i="2"/>
  <c r="AA18" i="2" s="1"/>
  <c r="AA34" i="2"/>
  <c r="X21" i="2"/>
  <c r="X36" i="2"/>
  <c r="AC18" i="2"/>
  <c r="AC35" i="2"/>
  <c r="AC31" i="2"/>
  <c r="V35" i="2"/>
  <c r="AU36" i="2"/>
  <c r="AU21" i="2"/>
  <c r="AU22" i="2" s="1"/>
  <c r="Z31" i="2"/>
  <c r="Z35" i="2"/>
  <c r="AW35" i="2"/>
  <c r="AW18" i="2"/>
  <c r="AW19" i="2" s="1"/>
  <c r="AW31" i="2"/>
  <c r="AN23" i="2"/>
  <c r="V18" i="2"/>
  <c r="AB18" i="2"/>
  <c r="AV21" i="2"/>
  <c r="AV22" i="2" s="1"/>
  <c r="AV36" i="2"/>
  <c r="X35" i="2"/>
  <c r="X31" i="2"/>
  <c r="U35" i="2"/>
  <c r="AD21" i="2"/>
  <c r="AD32" i="2" s="1"/>
  <c r="AD36" i="2"/>
  <c r="AD31" i="2"/>
  <c r="AD35" i="2"/>
  <c r="AP35" i="2"/>
  <c r="AP36" i="2"/>
  <c r="AV33" i="2" l="1"/>
  <c r="AT21" i="2"/>
  <c r="AT22" i="2" s="1"/>
  <c r="AU33" i="2" s="1"/>
  <c r="AR18" i="2"/>
  <c r="AR35" i="2"/>
  <c r="AS31" i="2"/>
  <c r="AE34" i="2"/>
  <c r="AE11" i="2"/>
  <c r="AE18" i="2" s="1"/>
  <c r="AQ18" i="2"/>
  <c r="AQ21" i="2" s="1"/>
  <c r="AQ31" i="2"/>
  <c r="AR31" i="2"/>
  <c r="AS36" i="2"/>
  <c r="AS21" i="2"/>
  <c r="AS22" i="2" s="1"/>
  <c r="AM23" i="2"/>
  <c r="AM32" i="2"/>
  <c r="AN32" i="2"/>
  <c r="AL23" i="2"/>
  <c r="AL32" i="2"/>
  <c r="W35" i="2"/>
  <c r="AC36" i="2"/>
  <c r="AC21" i="2"/>
  <c r="AA35" i="2"/>
  <c r="AA31" i="2"/>
  <c r="AW21" i="2"/>
  <c r="AW22" i="2" s="1"/>
  <c r="AW33" i="2" s="1"/>
  <c r="AW36" i="2"/>
  <c r="Y36" i="2"/>
  <c r="Y21" i="2"/>
  <c r="Y32" i="2" s="1"/>
  <c r="AV32" i="2"/>
  <c r="W18" i="2"/>
  <c r="X32" i="2"/>
  <c r="AA21" i="2"/>
  <c r="AA36" i="2"/>
  <c r="T21" i="2"/>
  <c r="T36" i="2"/>
  <c r="AB21" i="2"/>
  <c r="AB32" i="2" s="1"/>
  <c r="AB36" i="2"/>
  <c r="V21" i="2"/>
  <c r="V36" i="2"/>
  <c r="Z32" i="2"/>
  <c r="AP21" i="2"/>
  <c r="AP32" i="2" s="1"/>
  <c r="I11" i="6"/>
  <c r="BE39" i="2"/>
  <c r="C16" i="3"/>
  <c r="I7" i="6" s="1"/>
  <c r="AU32" i="2" l="1"/>
  <c r="AT33" i="2"/>
  <c r="AS33" i="2"/>
  <c r="AR21" i="2"/>
  <c r="AR36" i="2"/>
  <c r="AE31" i="2"/>
  <c r="AE35" i="2"/>
  <c r="AQ36" i="2"/>
  <c r="AT32" i="2"/>
  <c r="W21" i="2"/>
  <c r="W36" i="2"/>
  <c r="AW32" i="2"/>
  <c r="AC32" i="2"/>
  <c r="AA32" i="2"/>
  <c r="AE36" i="2"/>
  <c r="AE21" i="2"/>
  <c r="AE32" i="2" s="1"/>
  <c r="AQ32" i="2"/>
  <c r="AQ23" i="2"/>
  <c r="AP23" i="2"/>
  <c r="C4" i="6"/>
  <c r="E4" i="6" s="1"/>
  <c r="C8" i="6"/>
  <c r="E8" i="6" s="1"/>
  <c r="C6" i="6"/>
  <c r="E6" i="6" s="1"/>
  <c r="C5" i="6"/>
  <c r="E5" i="6" s="1"/>
  <c r="C11" i="6"/>
  <c r="E11" i="6" s="1"/>
  <c r="C14" i="6"/>
  <c r="C9" i="6"/>
  <c r="E9" i="6" s="1"/>
  <c r="C13" i="6"/>
  <c r="E13" i="6" s="1"/>
  <c r="C10" i="6"/>
  <c r="E10" i="6" s="1"/>
  <c r="C12" i="6"/>
  <c r="E12" i="6" s="1"/>
  <c r="C7" i="6"/>
  <c r="E7" i="6" s="1"/>
  <c r="AM30" i="2"/>
  <c r="AL30" i="2"/>
  <c r="AS32" i="2" l="1"/>
  <c r="AR32" i="2"/>
  <c r="E14" i="6"/>
  <c r="I10" i="6" s="1"/>
  <c r="I12" i="6" l="1"/>
  <c r="E8" i="2"/>
  <c r="I29" i="2" s="1"/>
  <c r="F8" i="2"/>
  <c r="H8" i="2"/>
  <c r="J8" i="2"/>
  <c r="J29" i="2" s="1"/>
  <c r="N8" i="2"/>
  <c r="N29" i="2" s="1"/>
  <c r="Q8" i="2"/>
  <c r="M5" i="2"/>
  <c r="U29" i="2" l="1"/>
  <c r="G5" i="2"/>
  <c r="G8" i="2"/>
  <c r="K8" i="2"/>
  <c r="AM29" i="2"/>
  <c r="O5" i="2"/>
  <c r="AL29" i="2"/>
  <c r="O8" i="2"/>
  <c r="O29" i="2" l="1"/>
  <c r="K29" i="2"/>
  <c r="G9" i="2"/>
  <c r="G11" i="2" s="1"/>
  <c r="G18" i="2" s="1"/>
  <c r="O9" i="2"/>
  <c r="O34" i="2" s="1"/>
  <c r="AN29" i="2"/>
  <c r="AN28" i="2"/>
  <c r="F5" i="2"/>
  <c r="F9" i="2" s="1"/>
  <c r="D8" i="2"/>
  <c r="H29" i="2" s="1"/>
  <c r="D5" i="2"/>
  <c r="H5" i="2"/>
  <c r="H28" i="2" s="1"/>
  <c r="E5" i="2"/>
  <c r="I5" i="2"/>
  <c r="J5" i="2"/>
  <c r="J28" i="2" s="1"/>
  <c r="N5" i="2"/>
  <c r="L8" i="2"/>
  <c r="L29" i="2" s="1"/>
  <c r="L5" i="2"/>
  <c r="L28" i="2" s="1"/>
  <c r="P8" i="2"/>
  <c r="P5" i="2"/>
  <c r="Q5" i="2"/>
  <c r="S8" i="2"/>
  <c r="R8" i="2"/>
  <c r="M8" i="2"/>
  <c r="R5" i="2"/>
  <c r="S5" i="2"/>
  <c r="C6" i="1"/>
  <c r="C9" i="1" s="1"/>
  <c r="N28" i="2" l="1"/>
  <c r="S29" i="2"/>
  <c r="W29" i="2"/>
  <c r="Q28" i="2"/>
  <c r="U28" i="2"/>
  <c r="P28" i="2"/>
  <c r="T28" i="2"/>
  <c r="P29" i="2"/>
  <c r="T29" i="2"/>
  <c r="I28" i="2"/>
  <c r="M28" i="2"/>
  <c r="S28" i="2"/>
  <c r="W28" i="2"/>
  <c r="R28" i="2"/>
  <c r="V28" i="2"/>
  <c r="M29" i="2"/>
  <c r="Q29" i="2"/>
  <c r="V29" i="2"/>
  <c r="R29" i="2"/>
  <c r="G34" i="2"/>
  <c r="O11" i="2"/>
  <c r="I9" i="2"/>
  <c r="I34" i="2" s="1"/>
  <c r="E9" i="2"/>
  <c r="E34" i="2" s="1"/>
  <c r="H9" i="2"/>
  <c r="H34" i="2" s="1"/>
  <c r="K5" i="2"/>
  <c r="Q9" i="2"/>
  <c r="Q34" i="2" s="1"/>
  <c r="F11" i="2"/>
  <c r="F34" i="2"/>
  <c r="J9" i="2"/>
  <c r="J34" i="2" s="1"/>
  <c r="G35" i="2"/>
  <c r="AN30" i="2"/>
  <c r="AN35" i="2"/>
  <c r="C4" i="3"/>
  <c r="C5" i="3" s="1"/>
  <c r="AL28" i="2"/>
  <c r="AM28" i="2"/>
  <c r="AN34" i="2"/>
  <c r="AO29" i="2"/>
  <c r="AO28" i="2"/>
  <c r="N9" i="2"/>
  <c r="N34" i="2" s="1"/>
  <c r="M9" i="2"/>
  <c r="M34" i="2" s="1"/>
  <c r="D9" i="2"/>
  <c r="R9" i="2"/>
  <c r="R34" i="2" s="1"/>
  <c r="S9" i="2"/>
  <c r="S34" i="2" s="1"/>
  <c r="L9" i="2"/>
  <c r="L34" i="2" s="1"/>
  <c r="P9" i="2"/>
  <c r="P34" i="2" s="1"/>
  <c r="O18" i="2" l="1"/>
  <c r="O36" i="2" s="1"/>
  <c r="O35" i="2"/>
  <c r="K28" i="2"/>
  <c r="O28" i="2"/>
  <c r="F35" i="2"/>
  <c r="F18" i="2"/>
  <c r="F36" i="2" s="1"/>
  <c r="G21" i="2"/>
  <c r="O21" i="2"/>
  <c r="H11" i="2"/>
  <c r="K9" i="2"/>
  <c r="K34" i="2" s="1"/>
  <c r="I11" i="2"/>
  <c r="D11" i="2"/>
  <c r="D18" i="2" s="1"/>
  <c r="D34" i="2"/>
  <c r="J11" i="2"/>
  <c r="G36" i="2"/>
  <c r="Q11" i="2"/>
  <c r="E11" i="2"/>
  <c r="E18" i="2" s="1"/>
  <c r="R11" i="2"/>
  <c r="L11" i="2"/>
  <c r="AO30" i="2"/>
  <c r="P11" i="2"/>
  <c r="M11" i="2"/>
  <c r="S11" i="2"/>
  <c r="AM34" i="2"/>
  <c r="N11" i="2"/>
  <c r="AK34" i="2"/>
  <c r="AL34" i="2"/>
  <c r="AP29" i="2"/>
  <c r="AO35" i="2"/>
  <c r="AO34" i="2"/>
  <c r="AP28" i="2"/>
  <c r="C7" i="3"/>
  <c r="C6" i="3"/>
  <c r="H18" i="2" l="1"/>
  <c r="H31" i="2"/>
  <c r="H35" i="2"/>
  <c r="L18" i="2"/>
  <c r="L36" i="2" s="1"/>
  <c r="L35" i="2"/>
  <c r="L31" i="2"/>
  <c r="R18" i="2"/>
  <c r="R36" i="2" s="1"/>
  <c r="R31" i="2"/>
  <c r="R35" i="2"/>
  <c r="V31" i="2"/>
  <c r="Q18" i="2"/>
  <c r="Q36" i="2" s="1"/>
  <c r="Q31" i="2"/>
  <c r="Q35" i="2"/>
  <c r="U31" i="2"/>
  <c r="J18" i="2"/>
  <c r="J36" i="2" s="1"/>
  <c r="J35" i="2"/>
  <c r="J31" i="2"/>
  <c r="I18" i="2"/>
  <c r="I36" i="2" s="1"/>
  <c r="I35" i="2"/>
  <c r="I31" i="2"/>
  <c r="N18" i="2"/>
  <c r="N36" i="2" s="1"/>
  <c r="N31" i="2"/>
  <c r="N35" i="2"/>
  <c r="S18" i="2"/>
  <c r="S36" i="2" s="1"/>
  <c r="S31" i="2"/>
  <c r="S35" i="2"/>
  <c r="W31" i="2"/>
  <c r="M35" i="2"/>
  <c r="M31" i="2"/>
  <c r="P18" i="2"/>
  <c r="P36" i="2" s="1"/>
  <c r="P31" i="2"/>
  <c r="P35" i="2"/>
  <c r="T31" i="2"/>
  <c r="M18" i="2"/>
  <c r="P21" i="2"/>
  <c r="L21" i="2"/>
  <c r="F21" i="2"/>
  <c r="E35" i="2"/>
  <c r="D35" i="2"/>
  <c r="K11" i="2"/>
  <c r="AP30" i="2"/>
  <c r="AN36" i="2"/>
  <c r="AL35" i="2"/>
  <c r="AL31" i="2"/>
  <c r="AM35" i="2"/>
  <c r="AM31" i="2"/>
  <c r="AN31" i="2"/>
  <c r="AK35" i="2"/>
  <c r="AO31" i="2"/>
  <c r="AO36" i="2"/>
  <c r="M21" i="2" l="1"/>
  <c r="M36" i="2"/>
  <c r="P32" i="2"/>
  <c r="T32" i="2"/>
  <c r="K18" i="2"/>
  <c r="K35" i="2"/>
  <c r="K31" i="2"/>
  <c r="O31" i="2"/>
  <c r="H21" i="2"/>
  <c r="H36" i="2"/>
  <c r="R21" i="2"/>
  <c r="J21" i="2"/>
  <c r="J32" i="2" s="1"/>
  <c r="I21" i="2"/>
  <c r="Q21" i="2"/>
  <c r="N21" i="2"/>
  <c r="N32" i="2" s="1"/>
  <c r="D21" i="2"/>
  <c r="E21" i="2"/>
  <c r="S21" i="2"/>
  <c r="E36" i="2"/>
  <c r="D36" i="2"/>
  <c r="AL36" i="2"/>
  <c r="AK36" i="2"/>
  <c r="AM36" i="2"/>
  <c r="AP31" i="2"/>
  <c r="H32" i="2" l="1"/>
  <c r="S32" i="2"/>
  <c r="W32" i="2"/>
  <c r="I32" i="2"/>
  <c r="R32" i="2"/>
  <c r="V32" i="2"/>
  <c r="Q32" i="2"/>
  <c r="U32" i="2"/>
  <c r="K21" i="2"/>
  <c r="K36" i="2"/>
  <c r="M32" i="2"/>
  <c r="L32" i="2"/>
  <c r="C11" i="3"/>
  <c r="K32" i="2" l="1"/>
  <c r="O32" i="2"/>
  <c r="C18" i="3"/>
  <c r="BE26" i="2" s="1"/>
  <c r="BE27" i="2" s="1"/>
  <c r="BE29" i="2" l="1"/>
  <c r="BE30" i="2" l="1"/>
  <c r="BE32" i="2" s="1"/>
  <c r="BE36" i="2"/>
  <c r="BE38" i="2" s="1"/>
  <c r="G4" i="1" s="1"/>
  <c r="G5" i="1" s="1"/>
  <c r="BE4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tc={1828DC9A-8820-4087-AE75-24410B34D6F0}</author>
    <author>tc={BC97728E-5DF8-45DC-8BC1-1E8C4CA85151}</author>
    <author>tc={F4E67BB2-6410-4293-80BC-1EE0241824CD}</author>
    <author>tc={FBDE8789-1840-406E-9513-EB6C9728E593}</author>
    <author>tc={1EC1F218-1E67-45B5-9867-7B3C6E1817F5}</author>
  </authors>
  <commentList>
    <comment ref="AQ5" authorId="0" shapeId="0" xr:uid="{1828DC9A-8820-4087-AE75-24410B34D6F0}">
      <text>
        <t>[Threaded comment]
Your version of Excel allows you to read this threaded comment; however, any edits to it will get removed if the file is opened in a newer version of Excel. Learn more: https://go.microsoft.com/fwlink/?linkid=870924
Comment:
    Toyota guidance: 43,500,000 yen</t>
      </text>
    </comment>
    <comment ref="AQ11" authorId="1" shapeId="0" xr:uid="{BC97728E-5DF8-45DC-8BC1-1E8C4CA85151}">
      <text>
        <t>[Threaded comment]
Your version of Excel allows you to read this threaded comment; however, any edits to it will get removed if the file is opened in a newer version of Excel. Learn more: https://go.microsoft.com/fwlink/?linkid=870924
Comment:
    Toyota guidance: 4,900,000 yen</t>
      </text>
    </comment>
    <comment ref="AQ18" authorId="2" shapeId="0" xr:uid="{F4E67BB2-6410-4293-80BC-1EE0241824CD}">
      <text>
        <t>[Threaded comment]
Your version of Excel allows you to read this threaded comment; however, any edits to it will get removed if the file is opened in a newer version of Excel. Learn more: https://go.microsoft.com/fwlink/?linkid=870924
Comment:
    Toyota guidance: 6,200,000 yen</t>
      </text>
    </comment>
    <comment ref="AQ21" authorId="3" shapeId="0" xr:uid="{FBDE8789-1840-406E-9513-EB6C9728E593}">
      <text>
        <t>[Threaded comment]
Your version of Excel allows you to read this threaded comment; however, any edits to it will get removed if the file is opened in a newer version of Excel. Learn more: https://go.microsoft.com/fwlink/?linkid=870924
Comment:
    Toyota guidance: 4,500,000 yen</t>
      </text>
    </comment>
    <comment ref="AQ22" authorId="4" shapeId="0" xr:uid="{1EC1F218-1E67-45B5-9867-7B3C6E1817F5}">
      <text>
        <t>[Threaded comment]
Your version of Excel allows you to read this threaded comment; however, any edits to it will get removed if the file is opened in a newer version of Excel. Learn more: https://go.microsoft.com/fwlink/?linkid=870924
Comment:
    Toyota guidance (for basic): 332.97 yen</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<sst xmlns="http://schemas.openxmlformats.org/spreadsheetml/2006/main" count="137" uniqueCount="126">
  <si>
    <t>Company</t>
  </si>
  <si>
    <t>Source</t>
  </si>
  <si>
    <t>Price</t>
  </si>
  <si>
    <t>Shares</t>
  </si>
  <si>
    <t>3Q20</t>
  </si>
  <si>
    <t>Market Cap</t>
  </si>
  <si>
    <t>Cash</t>
  </si>
  <si>
    <t>Debt</t>
  </si>
  <si>
    <t>EV</t>
  </si>
  <si>
    <t>2Q21</t>
  </si>
  <si>
    <t>Product Sales</t>
  </si>
  <si>
    <t>Financial Services</t>
  </si>
  <si>
    <t>Total Revenue</t>
  </si>
  <si>
    <t>1Q18</t>
  </si>
  <si>
    <t>2Q18</t>
  </si>
  <si>
    <t>3Q18</t>
  </si>
  <si>
    <t>4Q18</t>
  </si>
  <si>
    <t>1Q19</t>
  </si>
  <si>
    <t>2Q19</t>
  </si>
  <si>
    <t>3Q19</t>
  </si>
  <si>
    <t>4Q19</t>
  </si>
  <si>
    <t>1Q20</t>
  </si>
  <si>
    <t>2Q20</t>
  </si>
  <si>
    <t>4Q20</t>
  </si>
  <si>
    <t>1Q21</t>
  </si>
  <si>
    <t>3Q21</t>
  </si>
  <si>
    <t>4Q21</t>
  </si>
  <si>
    <t>(in JPY, millions)</t>
  </si>
  <si>
    <t>COGS</t>
  </si>
  <si>
    <t>Cost of Products</t>
  </si>
  <si>
    <t>Cost of Financial Services</t>
  </si>
  <si>
    <t>SG&amp;A</t>
  </si>
  <si>
    <t>Operating Income</t>
  </si>
  <si>
    <t>Gain/(Loss) of Investments</t>
  </si>
  <si>
    <t>Other Finance Income/(Expenses)</t>
  </si>
  <si>
    <t>FX Gain/(Loss)</t>
  </si>
  <si>
    <t>Other Income/(Loss)</t>
  </si>
  <si>
    <t>Pretax Income</t>
  </si>
  <si>
    <t>Taxes</t>
  </si>
  <si>
    <t>Net Income</t>
  </si>
  <si>
    <t>EPS</t>
  </si>
  <si>
    <t>Equity in Earnings of Affiliated Companies</t>
  </si>
  <si>
    <t>(in JPY)</t>
  </si>
  <si>
    <t>Maturity Value</t>
  </si>
  <si>
    <t>Discount Rate</t>
  </si>
  <si>
    <t>NPV</t>
  </si>
  <si>
    <t>Net Cash</t>
  </si>
  <si>
    <t>Total Value</t>
  </si>
  <si>
    <t>Difference</t>
  </si>
  <si>
    <t>JPY/USD</t>
  </si>
  <si>
    <t>Revenue Y/Y</t>
  </si>
  <si>
    <t>COGS Y/Y</t>
  </si>
  <si>
    <t>SG&amp;A Y/Y</t>
  </si>
  <si>
    <t>OI Y/Y</t>
  </si>
  <si>
    <t>Equity</t>
  </si>
  <si>
    <t>D+E</t>
  </si>
  <si>
    <t>Wdebt</t>
  </si>
  <si>
    <t>Wequity</t>
  </si>
  <si>
    <t>Tax rate</t>
  </si>
  <si>
    <t>Interest expense</t>
  </si>
  <si>
    <t>Cost of debt</t>
  </si>
  <si>
    <t>Risk-free rate</t>
  </si>
  <si>
    <t>Beta</t>
  </si>
  <si>
    <t>Market return</t>
  </si>
  <si>
    <t>Cost of equity</t>
  </si>
  <si>
    <t>WACC</t>
  </si>
  <si>
    <t>EPS Y/Y</t>
  </si>
  <si>
    <t>GM</t>
  </si>
  <si>
    <t>OM</t>
  </si>
  <si>
    <t>Per Share (common)</t>
  </si>
  <si>
    <t>Current price (common)</t>
  </si>
  <si>
    <t>Total Value in USD</t>
  </si>
  <si>
    <t>ADRs outstanding</t>
  </si>
  <si>
    <t>TM Price</t>
  </si>
  <si>
    <t>TM Current Price</t>
  </si>
  <si>
    <t>Year</t>
  </si>
  <si>
    <t>Dividend</t>
  </si>
  <si>
    <t>Discount Factor</t>
  </si>
  <si>
    <t>Dividends</t>
  </si>
  <si>
    <t>Discounted Dividends</t>
  </si>
  <si>
    <t>Assumptions</t>
  </si>
  <si>
    <t>Dividend Growth Rate</t>
  </si>
  <si>
    <t>Perpetual Growth Rate</t>
  </si>
  <si>
    <t>Cost of Equity</t>
  </si>
  <si>
    <t>Terminal Value</t>
  </si>
  <si>
    <t>Model Price</t>
  </si>
  <si>
    <t>Current</t>
  </si>
  <si>
    <t>Growth</t>
  </si>
  <si>
    <t>inflation target</t>
  </si>
  <si>
    <t>Gross Profit</t>
  </si>
  <si>
    <t>Avg Price of DCF &amp; DDM</t>
  </si>
  <si>
    <t>TOYOTA MOTOR CORPORATION (7203)</t>
  </si>
  <si>
    <t>average</t>
  </si>
  <si>
    <t>(from SeekingAlpha)</t>
  </si>
  <si>
    <t>Ex-Date</t>
  </si>
  <si>
    <t>1Q22</t>
  </si>
  <si>
    <t>2Q22</t>
  </si>
  <si>
    <t>3Q22</t>
  </si>
  <si>
    <t>4Q22</t>
  </si>
  <si>
    <t>1Q23</t>
  </si>
  <si>
    <t>2Q23</t>
  </si>
  <si>
    <t>3Q23</t>
  </si>
  <si>
    <t>4Q23</t>
  </si>
  <si>
    <t>1Q24</t>
  </si>
  <si>
    <t>2Q24</t>
  </si>
  <si>
    <t>3Q24</t>
  </si>
  <si>
    <t>4Q24</t>
  </si>
  <si>
    <t>Interest &amp; Dividend Income</t>
  </si>
  <si>
    <t>Interest Expense</t>
  </si>
  <si>
    <t>6/2017-3/2018</t>
  </si>
  <si>
    <t>6/2018-3/2019</t>
  </si>
  <si>
    <t>6/2019-3/2020</t>
  </si>
  <si>
    <t>6/2020-3/2021</t>
  </si>
  <si>
    <t>6/2021-3/2022</t>
  </si>
  <si>
    <t>6/2022-3/2023</t>
  </si>
  <si>
    <t>6/2023-3/2024</t>
  </si>
  <si>
    <t>NI Y/Y</t>
  </si>
  <si>
    <t>Product Revenue Y/Y</t>
  </si>
  <si>
    <t>Financial Services Revenue Y/Y</t>
  </si>
  <si>
    <t>5yr t-bond</t>
  </si>
  <si>
    <t>koyfin 3/8/24</t>
  </si>
  <si>
    <t>"interest paid" on statement of cash flows FY23</t>
  </si>
  <si>
    <t>ADS ratio</t>
  </si>
  <si>
    <t>1 ADS = 10 ordinary shares</t>
  </si>
  <si>
    <t>koyfin 10yr annualized</t>
  </si>
  <si>
    <t>average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</si>
</sst>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0.0000"/>
    <numFmt numFmtId="166" formatCode="_-[$¥-411]* #,##0.00_-;\-[$¥-411]* #,##0.00_-;_-[$¥-411]* &quot;-&quot;??_-;_-@_-"/>
  </numFmts>
  <fonts count="12"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Calibri"/>
      <family val="2"/>
      <scheme val="minor"/>
    </font>
    <font>
      <sz val="8"/>
      <name val="Calibri"/>
      <family val="2"/>
      <scheme val="minor"/>
    </font>
    <font>
      <b/>
      <sz val="11"/>
      <color theme="1"/>
      <name val="Arial"/>
      <family val="2"/>
    </font>
    <font>
      <i/>
      <sz val="11"/>
      <color theme="1"/>
      <name val="Arial"/>
      <family val="2"/>
    </font>
    <font>
      <i/>
      <u/>
      <sz val="11"/>
      <color theme="1"/>
      <name val="Arial"/>
      <family val="2"/>
    </font>
    <font>
      <sz val="9"/>
      <color indexed="81"/>
      <name val="Tahoma"/>
      <charset val="1"/>
    </font>
    <font>
      <u/>
      <sz val="11"/>
      <color theme="10"/>
      <name val="Calibri"/>
      <family val="2"/>
      <scheme val="minor"/>
    </font>
    <font>
      <u/>
      <sz val="11"/>
      <color theme="10"/>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4">
    <xf numFmtId="0" fontId="0" fillId="0" borderId="0"/>
    <xf numFmtId="44" fontId="4" fillId="0" borderId="0" applyFont="0" applyFill="0" applyBorder="0" applyAlignment="0" applyProtection="0"/>
    <xf numFmtId="9" fontId="4" fillId="0" borderId="0" applyFont="0" applyFill="0" applyBorder="0" applyAlignment="0" applyProtection="0"/>
    <xf numFmtId="0" fontId="10" fillId="0" borderId="0" applyNumberFormat="0" applyFill="0" applyBorder="0" applyAlignment="0" applyProtection="0"/>
  </cellStyleXfs>
  <cellXfs count="86">
    <xf numFmtId="0" fontId="0" fillId="0" borderId="0" xfId="0"/>
    <xf numFmtId="0" fontId="3" fillId="0" borderId="0" xfId="0" applyFont="1"/>
    <xf numFmtId="0" fontId="3" fillId="0" borderId="0" xfId="0" applyFont="1" applyAlignment="1">
      <alignment horizontal="center"/>
    </xf>
    <xf numFmtId="0" fontId="3" fillId="0" borderId="1" xfId="0" applyFont="1" applyBorder="1"/>
    <xf numFmtId="0" fontId="3" fillId="0" borderId="3" xfId="0" applyFont="1" applyBorder="1"/>
    <xf numFmtId="0" fontId="3" fillId="0" borderId="4" xfId="0" applyFont="1" applyBorder="1"/>
    <xf numFmtId="0" fontId="3" fillId="0" borderId="1" xfId="0" applyFont="1" applyBorder="1" applyAlignment="1">
      <alignment horizontal="right"/>
    </xf>
    <xf numFmtId="3" fontId="3" fillId="0" borderId="0" xfId="0" applyNumberFormat="1" applyFont="1" applyAlignment="1">
      <alignment horizontal="right"/>
    </xf>
    <xf numFmtId="0" fontId="3" fillId="0" borderId="4" xfId="0" applyFont="1" applyBorder="1" applyAlignment="1">
      <alignment horizontal="right"/>
    </xf>
    <xf numFmtId="0" fontId="3" fillId="0" borderId="5" xfId="0" applyFont="1" applyBorder="1"/>
    <xf numFmtId="3" fontId="3" fillId="0" borderId="6" xfId="0" applyNumberFormat="1" applyFont="1" applyBorder="1" applyAlignment="1">
      <alignment horizontal="right"/>
    </xf>
    <xf numFmtId="0" fontId="3" fillId="0" borderId="5" xfId="0" applyFont="1" applyBorder="1" applyAlignment="1">
      <alignment horizontal="right"/>
    </xf>
    <xf numFmtId="14" fontId="3" fillId="0" borderId="0" xfId="0" applyNumberFormat="1" applyFont="1"/>
    <xf numFmtId="0" fontId="3" fillId="0" borderId="0" xfId="0" applyFont="1" applyAlignment="1">
      <alignment horizontal="right"/>
    </xf>
    <xf numFmtId="0" fontId="3" fillId="0" borderId="0" xfId="0" applyFont="1" applyAlignment="1">
      <alignment horizontal="left"/>
    </xf>
    <xf numFmtId="3" fontId="3" fillId="0" borderId="0" xfId="0" applyNumberFormat="1" applyFont="1"/>
    <xf numFmtId="9" fontId="3" fillId="0" borderId="0" xfId="0" applyNumberFormat="1" applyFont="1"/>
    <xf numFmtId="9" fontId="3" fillId="0" borderId="7" xfId="0" applyNumberFormat="1" applyFont="1" applyBorder="1"/>
    <xf numFmtId="0" fontId="6" fillId="0" borderId="0" xfId="0" applyFont="1"/>
    <xf numFmtId="0" fontId="6" fillId="0" borderId="0" xfId="0" applyFont="1" applyAlignment="1">
      <alignment horizontal="left"/>
    </xf>
    <xf numFmtId="3" fontId="6" fillId="0" borderId="0" xfId="0" applyNumberFormat="1" applyFont="1"/>
    <xf numFmtId="164" fontId="3" fillId="0" borderId="8" xfId="0" applyNumberFormat="1" applyFont="1" applyBorder="1"/>
    <xf numFmtId="3" fontId="3" fillId="0" borderId="8" xfId="0" applyNumberFormat="1" applyFont="1" applyBorder="1"/>
    <xf numFmtId="3" fontId="7" fillId="0" borderId="0" xfId="0" applyNumberFormat="1" applyFont="1" applyAlignment="1">
      <alignment horizontal="right"/>
    </xf>
    <xf numFmtId="4" fontId="3" fillId="0" borderId="8" xfId="0" applyNumberFormat="1" applyFont="1" applyBorder="1"/>
    <xf numFmtId="9" fontId="3" fillId="0" borderId="9" xfId="2" applyFont="1" applyBorder="1"/>
    <xf numFmtId="3" fontId="3" fillId="0" borderId="3" xfId="0" applyNumberFormat="1" applyFont="1" applyBorder="1" applyAlignment="1">
      <alignment horizontal="right"/>
    </xf>
    <xf numFmtId="165" fontId="3" fillId="0" borderId="3" xfId="0" applyNumberFormat="1" applyFont="1" applyBorder="1"/>
    <xf numFmtId="14" fontId="3" fillId="0" borderId="10" xfId="0" applyNumberFormat="1" applyFont="1" applyBorder="1"/>
    <xf numFmtId="3" fontId="3" fillId="0" borderId="1" xfId="0" applyNumberFormat="1" applyFont="1" applyBorder="1" applyAlignment="1">
      <alignment horizontal="right"/>
    </xf>
    <xf numFmtId="3" fontId="3" fillId="0" borderId="7" xfId="0" applyNumberFormat="1" applyFont="1" applyBorder="1"/>
    <xf numFmtId="3" fontId="3" fillId="0" borderId="4" xfId="0" applyNumberFormat="1" applyFont="1" applyBorder="1" applyAlignment="1">
      <alignment horizontal="right"/>
    </xf>
    <xf numFmtId="3" fontId="3" fillId="0" borderId="5" xfId="0" applyNumberFormat="1" applyFont="1" applyBorder="1" applyAlignment="1">
      <alignment horizontal="right"/>
    </xf>
    <xf numFmtId="9" fontId="3" fillId="0" borderId="9" xfId="0" applyNumberFormat="1" applyFont="1" applyBorder="1"/>
    <xf numFmtId="4" fontId="3" fillId="0" borderId="0" xfId="0" applyNumberFormat="1" applyFont="1"/>
    <xf numFmtId="0" fontId="2" fillId="0" borderId="0" xfId="0" applyFont="1" applyAlignment="1">
      <alignment horizontal="left"/>
    </xf>
    <xf numFmtId="0" fontId="2" fillId="0" borderId="0" xfId="0" applyFont="1"/>
    <xf numFmtId="0" fontId="2" fillId="0" borderId="0" xfId="0" applyFont="1" applyAlignment="1">
      <alignment horizontal="center"/>
    </xf>
    <xf numFmtId="166" fontId="3" fillId="0" borderId="0" xfId="0" applyNumberFormat="1" applyFont="1"/>
    <xf numFmtId="3" fontId="2" fillId="0" borderId="0" xfId="0" applyNumberFormat="1" applyFont="1"/>
    <xf numFmtId="10" fontId="2" fillId="0" borderId="0" xfId="0" applyNumberFormat="1" applyFont="1"/>
    <xf numFmtId="9" fontId="2" fillId="0" borderId="0" xfId="0" applyNumberFormat="1" applyFont="1"/>
    <xf numFmtId="14" fontId="2" fillId="0" borderId="0" xfId="0" applyNumberFormat="1" applyFont="1"/>
    <xf numFmtId="14" fontId="2" fillId="0" borderId="0" xfId="0" applyNumberFormat="1" applyFont="1" applyAlignment="1">
      <alignment horizontal="center"/>
    </xf>
    <xf numFmtId="9" fontId="2" fillId="0" borderId="0" xfId="0" applyNumberFormat="1" applyFont="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0" xfId="0" applyFont="1" applyBorder="1" applyAlignment="1">
      <alignment horizontal="center"/>
    </xf>
    <xf numFmtId="0" fontId="2" fillId="0" borderId="13" xfId="0" applyFont="1" applyBorder="1" applyAlignment="1">
      <alignment horizontal="center"/>
    </xf>
    <xf numFmtId="2" fontId="2" fillId="0" borderId="0" xfId="0" applyNumberFormat="1" applyFont="1" applyAlignment="1">
      <alignment horizontal="center"/>
    </xf>
    <xf numFmtId="4" fontId="2" fillId="0" borderId="0" xfId="0" applyNumberFormat="1" applyFont="1" applyAlignment="1">
      <alignment horizontal="center"/>
    </xf>
    <xf numFmtId="2" fontId="2" fillId="0" borderId="8" xfId="0" applyNumberFormat="1" applyFont="1" applyBorder="1" applyAlignment="1">
      <alignment horizontal="center"/>
    </xf>
    <xf numFmtId="0" fontId="2" fillId="0" borderId="1" xfId="0" applyFont="1" applyBorder="1"/>
    <xf numFmtId="0" fontId="2" fillId="0" borderId="4" xfId="0" applyFont="1" applyBorder="1"/>
    <xf numFmtId="9" fontId="2" fillId="0" borderId="8" xfId="0" applyNumberFormat="1" applyFont="1" applyBorder="1" applyAlignment="1">
      <alignment horizontal="center"/>
    </xf>
    <xf numFmtId="0" fontId="2" fillId="0" borderId="5" xfId="0" applyFont="1" applyBorder="1"/>
    <xf numFmtId="9" fontId="2" fillId="0" borderId="9" xfId="0" applyNumberFormat="1" applyFont="1" applyBorder="1" applyAlignment="1">
      <alignment horizontal="center"/>
    </xf>
    <xf numFmtId="0" fontId="2" fillId="0" borderId="1" xfId="0" applyFont="1" applyBorder="1" applyAlignment="1">
      <alignment horizontal="left"/>
    </xf>
    <xf numFmtId="2" fontId="2" fillId="0" borderId="7" xfId="0" applyNumberFormat="1" applyFont="1" applyBorder="1" applyAlignment="1">
      <alignment horizontal="center"/>
    </xf>
    <xf numFmtId="4" fontId="2" fillId="0" borderId="8" xfId="0" applyNumberFormat="1" applyFont="1" applyBorder="1" applyAlignment="1">
      <alignment horizontal="center"/>
    </xf>
    <xf numFmtId="0" fontId="2" fillId="0" borderId="14" xfId="0" applyFont="1" applyBorder="1" applyAlignment="1">
      <alignment horizontal="center"/>
    </xf>
    <xf numFmtId="2" fontId="2" fillId="0" borderId="6" xfId="0" applyNumberFormat="1" applyFont="1" applyBorder="1" applyAlignment="1">
      <alignment horizontal="center"/>
    </xf>
    <xf numFmtId="2" fontId="2" fillId="0" borderId="9" xfId="0" applyNumberFormat="1" applyFont="1" applyBorder="1" applyAlignment="1">
      <alignment horizontal="center"/>
    </xf>
    <xf numFmtId="0" fontId="2" fillId="0" borderId="2" xfId="0" applyFont="1" applyBorder="1" applyAlignment="1">
      <alignment horizontal="center"/>
    </xf>
    <xf numFmtId="0" fontId="1" fillId="0" borderId="0" xfId="0" applyFont="1"/>
    <xf numFmtId="0" fontId="1" fillId="0" borderId="0" xfId="0" applyFont="1" applyAlignment="1">
      <alignment horizontal="center"/>
    </xf>
    <xf numFmtId="0" fontId="1" fillId="0" borderId="0" xfId="0" applyFont="1" applyAlignment="1">
      <alignment horizontal="right"/>
    </xf>
    <xf numFmtId="0" fontId="8" fillId="0" borderId="11" xfId="0" applyFont="1" applyBorder="1" applyAlignment="1">
      <alignment horizontal="center"/>
    </xf>
    <xf numFmtId="0" fontId="8" fillId="0" borderId="10" xfId="0" applyFont="1" applyBorder="1" applyAlignment="1">
      <alignment horizontal="center"/>
    </xf>
    <xf numFmtId="0" fontId="2" fillId="0" borderId="13" xfId="0" applyFont="1" applyBorder="1" applyAlignment="1">
      <alignment horizontal="center"/>
    </xf>
    <xf numFmtId="0" fontId="2" fillId="0" borderId="8" xfId="0" applyFont="1" applyBorder="1" applyAlignment="1">
      <alignment horizontal="center"/>
    </xf>
    <xf numFmtId="0" fontId="1" fillId="0" borderId="4" xfId="0" applyFont="1" applyBorder="1" applyAlignment="1">
      <alignment horizontal="right"/>
    </xf>
    <xf numFmtId="0" fontId="1" fillId="0" borderId="0" xfId="0" applyFont="1" applyAlignment="1">
      <alignment horizontal="left"/>
    </xf>
    <xf numFmtId="14" fontId="1" fillId="0" borderId="0" xfId="0" applyNumberFormat="1" applyFont="1"/>
    <xf numFmtId="0" fontId="3" fillId="0" borderId="0" xfId="0" applyFont="1" applyFill="1"/>
    <xf numFmtId="0" fontId="3" fillId="0" borderId="0" xfId="0" applyFont="1" applyFill="1" applyAlignment="1">
      <alignment horizontal="left"/>
    </xf>
    <xf numFmtId="4" fontId="3" fillId="0" borderId="0" xfId="0" applyNumberFormat="1" applyFont="1" applyFill="1"/>
    <xf numFmtId="4" fontId="3" fillId="0" borderId="0" xfId="1" applyNumberFormat="1" applyFont="1" applyFill="1"/>
    <xf numFmtId="3" fontId="3" fillId="0" borderId="0" xfId="0" applyNumberFormat="1" applyFont="1" applyFill="1"/>
    <xf numFmtId="0" fontId="1" fillId="0" borderId="0" xfId="0" applyFont="1" applyFill="1" applyAlignment="1">
      <alignment horizontal="left"/>
    </xf>
    <xf numFmtId="3" fontId="1" fillId="0" borderId="0" xfId="0" applyNumberFormat="1" applyFont="1" applyAlignment="1">
      <alignment horizontal="right"/>
    </xf>
    <xf numFmtId="0" fontId="11" fillId="0" borderId="0" xfId="3" applyFont="1"/>
    <xf numFmtId="44" fontId="1" fillId="0" borderId="0" xfId="1" applyFont="1" applyAlignment="1">
      <alignment horizontal="center"/>
    </xf>
    <xf numFmtId="9" fontId="6" fillId="0" borderId="0" xfId="0" applyNumberFormat="1" applyFont="1"/>
    <xf numFmtId="0" fontId="2" fillId="0" borderId="0" xfId="0" applyFont="1" applyAlignment="1"/>
    <xf numFmtId="0" fontId="11" fillId="0" borderId="0" xfId="3" applyFont="1" applyAlignment="1">
      <alignment horizontal="center"/>
    </xf>
  </cellXfs>
  <cellStyles count="4">
    <cellStyle name="Currency" xfId="1" builtinId="4"/>
    <cellStyle name="Hyperlink" xfId="3" builtinId="8"/>
    <cellStyle name="Normal" xfId="0" builtinId="0"/>
    <cellStyle name="Percent" xfId="2" builtinId="5"/>
  </cellStyles>
  <dxfs count="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30</xdr:col>
      <xdr:colOff>81915</xdr:colOff>
      <xdr:row>0</xdr:row>
      <xdr:rowOff>45720</xdr:rowOff>
    </xdr:from>
    <xdr:to>
      <xdr:col>30</xdr:col>
      <xdr:colOff>81915</xdr:colOff>
      <xdr:row>38</xdr:row>
      <xdr:rowOff>0</xdr:rowOff>
    </xdr:to>
    <xdr:cxnSp macro="">
      <xdr:nvCxnSpPr>
        <xdr:cNvPr id="3" name="Straight Connector 2">
          <a:extLst>
            <a:ext uri="{FF2B5EF4-FFF2-40B4-BE49-F238E27FC236}">
              <a16:creationId xmlns:a16="http://schemas.microsoft.com/office/drawing/2014/main" id="{1515289C-ECBF-4D23-9DD7-726C89EDBD3A}"/>
            </a:ext>
          </a:extLst>
        </xdr:cNvPr>
        <xdr:cNvCxnSpPr/>
      </xdr:nvCxnSpPr>
      <xdr:spPr>
        <a:xfrm>
          <a:off x="24359235" y="45720"/>
          <a:ext cx="0" cy="6629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87630</xdr:colOff>
      <xdr:row>0</xdr:row>
      <xdr:rowOff>110490</xdr:rowOff>
    </xdr:from>
    <xdr:to>
      <xdr:col>42</xdr:col>
      <xdr:colOff>87630</xdr:colOff>
      <xdr:row>38</xdr:row>
      <xdr:rowOff>137160</xdr:rowOff>
    </xdr:to>
    <xdr:cxnSp macro="">
      <xdr:nvCxnSpPr>
        <xdr:cNvPr id="4" name="Straight Connector 3">
          <a:extLst>
            <a:ext uri="{FF2B5EF4-FFF2-40B4-BE49-F238E27FC236}">
              <a16:creationId xmlns:a16="http://schemas.microsoft.com/office/drawing/2014/main" id="{12EE8F05-89DC-45E3-9C47-DE5692CB4FCD}"/>
            </a:ext>
          </a:extLst>
        </xdr:cNvPr>
        <xdr:cNvCxnSpPr/>
      </xdr:nvCxnSpPr>
      <xdr:spPr>
        <a:xfrm>
          <a:off x="34789110" y="110490"/>
          <a:ext cx="0" cy="67017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19050</xdr:colOff>
      <xdr:row>3</xdr:row>
      <xdr:rowOff>19050</xdr:rowOff>
    </xdr:from>
    <xdr:to>
      <xdr:col>19</xdr:col>
      <xdr:colOff>358497</xdr:colOff>
      <xdr:row>23</xdr:row>
      <xdr:rowOff>74597</xdr:rowOff>
    </xdr:to>
    <xdr:pic>
      <xdr:nvPicPr>
        <xdr:cNvPr id="2" name="Picture 1">
          <a:extLst>
            <a:ext uri="{FF2B5EF4-FFF2-40B4-BE49-F238E27FC236}">
              <a16:creationId xmlns:a16="http://schemas.microsoft.com/office/drawing/2014/main" id="{56C3E0B4-1154-52AB-65EA-0167EE6D8828}"/>
            </a:ext>
          </a:extLst>
        </xdr:cNvPr>
        <xdr:cNvPicPr>
          <a:picLocks noChangeAspect="1"/>
        </xdr:cNvPicPr>
      </xdr:nvPicPr>
      <xdr:blipFill>
        <a:blip xmlns:r="http://schemas.openxmlformats.org/officeDocument/2006/relationships" r:embed="rId1"/>
        <a:stretch>
          <a:fillRect/>
        </a:stretch>
      </xdr:blipFill>
      <xdr:spPr>
        <a:xfrm>
          <a:off x="11153775" y="542925"/>
          <a:ext cx="4115157" cy="348454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Dashboard.xlsx" TargetMode="External"/><Relationship Id="rId1" Type="http://schemas.openxmlformats.org/officeDocument/2006/relationships/externalLinkPath" Target="/Users/wlshe/Documents/Models/0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All"/>
      <sheetName val="Communication"/>
      <sheetName val="Discretionary"/>
      <sheetName val="Staples"/>
      <sheetName val="Energy"/>
      <sheetName val="Financials"/>
      <sheetName val="Health Care"/>
      <sheetName val="Industrials"/>
      <sheetName val="Materials"/>
      <sheetName val="Real Estate"/>
      <sheetName val="Tech"/>
      <sheetName val="Utilities"/>
      <sheetName val="Screens"/>
    </sheetNames>
    <sheetDataSet>
      <sheetData sheetId="0">
        <row r="12">
          <cell r="C12">
            <v>4.2999999999999997E-2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ersons/person.xml><?xml version="1.0" encoding="utf-8"?>
<personList xmlns="http://schemas.microsoft.com/office/spreadsheetml/2018/threadedcomments" xmlns:x="http://schemas.openxmlformats.org/spreadsheetml/2006/main">
  <person displayName="Bill Sheldon" id="{26DCDFCD-F974-4ECD-9B51-AE92F93599C5}"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https://www.bing.com/financeapi/forcetrigger?t=a24bh7&amp;q=XNYS%3aTM&amp;form=skydnc</v>
    <v>Learn more on Bing</v>
  </rv>
  <rv s="1">
    <v>en-US</v>
    <v>a24bh7</v>
    <v>268435456</v>
    <v>1</v>
    <v>Powered by Refinitiv</v>
    <v>0</v>
    <v>TOYOTA MOTOR CORPORATION (XNYS:TM)</v>
    <v>2</v>
    <v>3</v>
    <v>Finance</v>
    <v>4</v>
    <v>253.42500000000001</v>
    <v>132.35</v>
    <v>0.71609999999999996</v>
    <v>-5.12</v>
    <v>-8.6479999999999999E-4</v>
    <v>-2.0649999999999998E-2</v>
    <v>-0.21</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375235</v>
    <v>New York Stock Exchange</v>
    <v>XNYS</v>
    <v>XNYS</v>
    <v>1, Toyota-cho, TOYOTA-SHI, AICHI-KEN, 471-8571 JP</v>
    <v>245.8</v>
    <v>Automobiles &amp; Auto Parts</v>
    <v>Stock</v>
    <v>45359.881944444445</v>
    <v>0</v>
    <v>242.58</v>
    <v>397872800000</v>
    <v>TOYOTA MOTOR CORPORATION</v>
    <v>TOYOTA MOTOR CORPORATION</v>
    <v>245</v>
    <v>10.517300000000001</v>
    <v>247.94</v>
    <v>242.82</v>
    <v>242.61</v>
    <v>1631499000</v>
    <v>TM</v>
    <v>TOYOTA MOTOR CORPORATION (XNYS:TM)</v>
    <v>379629</v>
    <v>355104</v>
    <v>1937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Q5" dT="2024-03-10T17:26:02.95" personId="{26DCDFCD-F974-4ECD-9B51-AE92F93599C5}" id="{1828DC9A-8820-4087-AE75-24410B34D6F0}">
    <text>Toyota guidance: 43,500,000 yen</text>
  </threadedComment>
  <threadedComment ref="AQ11" dT="2024-03-10T17:26:18.90" personId="{26DCDFCD-F974-4ECD-9B51-AE92F93599C5}" id="{BC97728E-5DF8-45DC-8BC1-1E8C4CA85151}">
    <text>Toyota guidance: 4,900,000 yen</text>
  </threadedComment>
  <threadedComment ref="AQ18" dT="2024-03-10T17:26:42.06" personId="{26DCDFCD-F974-4ECD-9B51-AE92F93599C5}" id="{F4E67BB2-6410-4293-80BC-1EE0241824CD}">
    <text>Toyota guidance: 6,200,000 yen</text>
  </threadedComment>
  <threadedComment ref="AQ21" dT="2024-03-10T17:26:54.70" personId="{26DCDFCD-F974-4ECD-9B51-AE92F93599C5}" id="{FBDE8789-1840-406E-9513-EB6C9728E593}">
    <text>Toyota guidance: 4,500,000 yen</text>
  </threadedComment>
  <threadedComment ref="AQ22" dT="2024-03-10T17:33:57.32" personId="{26DCDFCD-F974-4ECD-9B51-AE92F93599C5}" id="{1EC1F218-1E67-45B5-9867-7B3C6E1817F5}">
    <text>Toyota guidance (for basic): 332.97 yen</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marketscreener.com/quote/stock/BANK-OF-NEW-YORK-MELLON-C-11848/news/General-Announcement-Toyota-Motor-Corporation-Ratio-Change-36353154/"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seekingalpha.com/symbol/TM/dividends/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D897D-7A97-463B-B7B1-F1F869C2C87F}">
  <dimension ref="B2:G12"/>
  <sheetViews>
    <sheetView tabSelected="1" workbookViewId="0">
      <selection activeCell="G5" sqref="G5"/>
    </sheetView>
  </sheetViews>
  <sheetFormatPr defaultColWidth="9.109375" defaultRowHeight="13.8" x14ac:dyDescent="0.25"/>
  <cols>
    <col min="1" max="1" width="9.109375" style="1"/>
    <col min="2" max="2" width="11.5546875" style="1" bestFit="1" customWidth="1"/>
    <col min="3" max="3" width="51.109375" style="1" bestFit="1" customWidth="1"/>
    <col min="4" max="4" width="7.6640625" style="1" bestFit="1" customWidth="1"/>
    <col min="5" max="5" width="9.109375" style="1"/>
    <col min="6" max="6" width="48.6640625" style="1" bestFit="1" customWidth="1"/>
    <col min="7" max="7" width="9.88671875" style="1" bestFit="1" customWidth="1"/>
    <col min="8" max="16384" width="9.109375" style="1"/>
  </cols>
  <sheetData>
    <row r="2" spans="2:7" x14ac:dyDescent="0.25">
      <c r="C2" s="65" t="s">
        <v>42</v>
      </c>
    </row>
    <row r="3" spans="2:7" x14ac:dyDescent="0.25">
      <c r="B3" s="3" t="s">
        <v>0</v>
      </c>
      <c r="C3" s="63" t="s">
        <v>91</v>
      </c>
      <c r="D3" s="4" t="s">
        <v>1</v>
      </c>
      <c r="F3" s="64" t="e" vm="1">
        <v>#VALUE!</v>
      </c>
      <c r="G3" s="82" cm="1">
        <f t="array" ref="G3">_FV(F3,"Price")</f>
        <v>242.82</v>
      </c>
    </row>
    <row r="4" spans="2:7" x14ac:dyDescent="0.25">
      <c r="B4" s="5" t="s">
        <v>2</v>
      </c>
      <c r="C4" s="38">
        <v>3610</v>
      </c>
      <c r="D4" s="6"/>
      <c r="F4" s="64" t="s">
        <v>90</v>
      </c>
      <c r="G4" s="82">
        <f>AVERAGE(DDM!I10,DCF!BE38)</f>
        <v>374.75999156070054</v>
      </c>
    </row>
    <row r="5" spans="2:7" x14ac:dyDescent="0.25">
      <c r="B5" s="5" t="s">
        <v>3</v>
      </c>
      <c r="C5" s="7">
        <f>DCF!AD23</f>
        <v>13755.73444643212</v>
      </c>
      <c r="D5" s="71" t="s">
        <v>105</v>
      </c>
      <c r="F5" s="18" t="s">
        <v>48</v>
      </c>
      <c r="G5" s="83">
        <f>G4/G3-1</f>
        <v>0.54336542113788222</v>
      </c>
    </row>
    <row r="6" spans="2:7" x14ac:dyDescent="0.25">
      <c r="B6" s="5" t="s">
        <v>5</v>
      </c>
      <c r="C6" s="7">
        <f>C4*C5</f>
        <v>49658201.351619951</v>
      </c>
      <c r="D6" s="8"/>
    </row>
    <row r="7" spans="2:7" x14ac:dyDescent="0.25">
      <c r="B7" s="5" t="s">
        <v>6</v>
      </c>
      <c r="C7" s="7">
        <v>7583154</v>
      </c>
      <c r="D7" s="71" t="s">
        <v>105</v>
      </c>
    </row>
    <row r="8" spans="2:7" x14ac:dyDescent="0.25">
      <c r="B8" s="5" t="s">
        <v>7</v>
      </c>
      <c r="C8" s="80">
        <f>14703717+19256186</f>
        <v>33959903</v>
      </c>
      <c r="D8" s="71" t="s">
        <v>105</v>
      </c>
    </row>
    <row r="9" spans="2:7" x14ac:dyDescent="0.25">
      <c r="B9" s="9" t="s">
        <v>8</v>
      </c>
      <c r="C9" s="10">
        <f>C6-C7+C8</f>
        <v>76034950.351619959</v>
      </c>
      <c r="D9" s="11"/>
    </row>
    <row r="12" spans="2:7" x14ac:dyDescent="0.25">
      <c r="B12" s="64" t="s">
        <v>122</v>
      </c>
      <c r="C12" s="64" t="s">
        <v>123</v>
      </c>
      <c r="D12" s="81" t="s">
        <v>1</v>
      </c>
    </row>
  </sheetData>
  <conditionalFormatting sqref="G5">
    <cfRule type="cellIs" dxfId="7" priority="1" operator="lessThan">
      <formula>0</formula>
    </cfRule>
    <cfRule type="cellIs" dxfId="6" priority="2" operator="greaterThan">
      <formula>0</formula>
    </cfRule>
  </conditionalFormatting>
  <hyperlinks>
    <hyperlink ref="D12" r:id="rId1" xr:uid="{AFF4EFE4-2438-4219-9C4B-8BE883E83B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555E6-172D-49B7-AB2D-1C7AED43F6AD}">
  <dimension ref="A1:ASX40"/>
  <sheetViews>
    <sheetView topLeftCell="B1" workbookViewId="0">
      <pane xSplit="2" ySplit="2" topLeftCell="AP9" activePane="bottomRight" state="frozen"/>
      <selection activeCell="B1" sqref="B1"/>
      <selection pane="topRight" activeCell="C1" sqref="C1"/>
      <selection pane="bottomLeft" activeCell="B3" sqref="B3"/>
      <selection pane="bottomRight" activeCell="BE38" sqref="BE38"/>
    </sheetView>
  </sheetViews>
  <sheetFormatPr defaultColWidth="9.109375" defaultRowHeight="13.8" x14ac:dyDescent="0.25"/>
  <cols>
    <col min="1" max="1" width="9.109375" style="1"/>
    <col min="2" max="2" width="8.109375" style="1" customWidth="1"/>
    <col min="3" max="3" width="40.5546875" style="14" bestFit="1" customWidth="1"/>
    <col min="4" max="5" width="10.109375" style="15" bestFit="1" customWidth="1"/>
    <col min="6" max="6" width="11.33203125" style="15" bestFit="1" customWidth="1"/>
    <col min="7" max="7" width="11" style="15" bestFit="1" customWidth="1"/>
    <col min="8" max="9" width="10.109375" style="15" bestFit="1" customWidth="1"/>
    <col min="10" max="11" width="11.33203125" style="15" bestFit="1" customWidth="1"/>
    <col min="12" max="13" width="10.109375" style="15" bestFit="1" customWidth="1"/>
    <col min="14" max="14" width="11.33203125" style="15" bestFit="1" customWidth="1"/>
    <col min="15" max="15" width="11.6640625" style="15" bestFit="1" customWidth="1"/>
    <col min="16" max="17" width="10.109375" style="15" bestFit="1" customWidth="1"/>
    <col min="18" max="18" width="11" style="15" bestFit="1" customWidth="1"/>
    <col min="19" max="19" width="11.6640625" style="15" bestFit="1" customWidth="1"/>
    <col min="20" max="36" width="11.33203125" style="15" customWidth="1"/>
    <col min="37" max="43" width="14" style="15" bestFit="1" customWidth="1"/>
    <col min="44" max="49" width="11.33203125" style="15" bestFit="1" customWidth="1"/>
    <col min="50" max="52" width="10.109375" style="15" bestFit="1" customWidth="1"/>
    <col min="53" max="53" width="14.33203125" style="15" customWidth="1"/>
    <col min="54" max="54" width="12.44140625" style="15" bestFit="1" customWidth="1"/>
    <col min="55" max="55" width="10.109375" style="15" bestFit="1" customWidth="1"/>
    <col min="56" max="56" width="23.21875" style="15" bestFit="1" customWidth="1"/>
    <col min="57" max="57" width="12.109375" style="15" bestFit="1" customWidth="1"/>
    <col min="58" max="188" width="10.109375" style="15" bestFit="1" customWidth="1"/>
    <col min="189" max="384" width="8.44140625" style="15" bestFit="1" customWidth="1"/>
    <col min="385" max="16384" width="9.109375" style="15"/>
  </cols>
  <sheetData>
    <row r="1" spans="1:49" s="1" customFormat="1" x14ac:dyDescent="0.25">
      <c r="D1" s="12">
        <v>42916</v>
      </c>
      <c r="E1" s="12">
        <v>43008</v>
      </c>
      <c r="F1" s="12">
        <v>43100</v>
      </c>
      <c r="G1" s="12">
        <v>43190</v>
      </c>
      <c r="H1" s="12">
        <v>43281</v>
      </c>
      <c r="I1" s="12">
        <v>43373</v>
      </c>
      <c r="J1" s="12">
        <v>43465</v>
      </c>
      <c r="K1" s="12">
        <v>43555</v>
      </c>
      <c r="L1" s="12">
        <v>43646</v>
      </c>
      <c r="M1" s="12">
        <v>43738</v>
      </c>
      <c r="N1" s="12">
        <v>43830</v>
      </c>
      <c r="O1" s="12">
        <v>43921</v>
      </c>
      <c r="P1" s="12">
        <v>44012</v>
      </c>
      <c r="Q1" s="12">
        <v>44104</v>
      </c>
      <c r="R1" s="12">
        <v>44196</v>
      </c>
      <c r="S1" s="12">
        <v>44286</v>
      </c>
      <c r="T1" s="12">
        <v>44377</v>
      </c>
      <c r="U1" s="12">
        <v>44469</v>
      </c>
      <c r="V1" s="12">
        <v>44561</v>
      </c>
      <c r="W1" s="12">
        <v>44651</v>
      </c>
      <c r="X1" s="12">
        <v>44742</v>
      </c>
      <c r="Y1" s="12">
        <v>44834</v>
      </c>
      <c r="Z1" s="12">
        <v>44926</v>
      </c>
      <c r="AA1" s="12">
        <v>45016</v>
      </c>
      <c r="AB1" s="12">
        <v>45107</v>
      </c>
      <c r="AC1" s="73">
        <v>45199</v>
      </c>
      <c r="AD1" s="12">
        <v>45291</v>
      </c>
      <c r="AE1" s="12">
        <v>45382</v>
      </c>
      <c r="AK1" s="64" t="s">
        <v>109</v>
      </c>
      <c r="AL1" s="64" t="s">
        <v>110</v>
      </c>
      <c r="AM1" s="64" t="s">
        <v>111</v>
      </c>
      <c r="AN1" s="64" t="s">
        <v>112</v>
      </c>
      <c r="AO1" s="64" t="s">
        <v>113</v>
      </c>
      <c r="AP1" s="64" t="s">
        <v>114</v>
      </c>
      <c r="AQ1" s="64" t="s">
        <v>115</v>
      </c>
    </row>
    <row r="2" spans="1:49" s="1" customFormat="1" x14ac:dyDescent="0.25">
      <c r="C2" s="2" t="s">
        <v>27</v>
      </c>
      <c r="D2" s="13" t="s">
        <v>13</v>
      </c>
      <c r="E2" s="13" t="s">
        <v>14</v>
      </c>
      <c r="F2" s="13" t="s">
        <v>15</v>
      </c>
      <c r="G2" s="13" t="s">
        <v>16</v>
      </c>
      <c r="H2" s="13" t="s">
        <v>17</v>
      </c>
      <c r="I2" s="13" t="s">
        <v>18</v>
      </c>
      <c r="J2" s="13" t="s">
        <v>19</v>
      </c>
      <c r="K2" s="13" t="s">
        <v>20</v>
      </c>
      <c r="L2" s="13" t="s">
        <v>21</v>
      </c>
      <c r="M2" s="13" t="s">
        <v>22</v>
      </c>
      <c r="N2" s="13" t="s">
        <v>4</v>
      </c>
      <c r="O2" s="13" t="s">
        <v>23</v>
      </c>
      <c r="P2" s="13" t="s">
        <v>24</v>
      </c>
      <c r="Q2" s="13" t="s">
        <v>9</v>
      </c>
      <c r="R2" s="13" t="s">
        <v>25</v>
      </c>
      <c r="S2" s="13" t="s">
        <v>26</v>
      </c>
      <c r="T2" s="66" t="s">
        <v>95</v>
      </c>
      <c r="U2" s="66" t="s">
        <v>96</v>
      </c>
      <c r="V2" s="66" t="s">
        <v>97</v>
      </c>
      <c r="W2" s="66" t="s">
        <v>98</v>
      </c>
      <c r="X2" s="66" t="s">
        <v>99</v>
      </c>
      <c r="Y2" s="66" t="s">
        <v>100</v>
      </c>
      <c r="Z2" s="66" t="s">
        <v>101</v>
      </c>
      <c r="AA2" s="66" t="s">
        <v>102</v>
      </c>
      <c r="AB2" s="66" t="s">
        <v>103</v>
      </c>
      <c r="AC2" s="66" t="s">
        <v>104</v>
      </c>
      <c r="AD2" s="66" t="s">
        <v>105</v>
      </c>
      <c r="AE2" s="66" t="s">
        <v>106</v>
      </c>
      <c r="AF2" s="66"/>
      <c r="AG2" s="66"/>
      <c r="AH2" s="66"/>
      <c r="AI2" s="66"/>
      <c r="AJ2" s="66"/>
      <c r="AK2" s="1">
        <v>2018</v>
      </c>
      <c r="AL2" s="1">
        <v>2019</v>
      </c>
      <c r="AM2" s="1">
        <v>2020</v>
      </c>
      <c r="AN2" s="1">
        <v>2021</v>
      </c>
      <c r="AO2" s="1">
        <v>2022</v>
      </c>
      <c r="AP2" s="1">
        <v>2023</v>
      </c>
      <c r="AQ2" s="1">
        <v>2024</v>
      </c>
      <c r="AR2" s="1">
        <v>2025</v>
      </c>
      <c r="AS2" s="1">
        <v>2026</v>
      </c>
      <c r="AT2" s="1">
        <v>2027</v>
      </c>
      <c r="AU2" s="1">
        <v>2028</v>
      </c>
      <c r="AV2" s="1">
        <v>2029</v>
      </c>
      <c r="AW2" s="1">
        <v>2030</v>
      </c>
    </row>
    <row r="3" spans="1:49" x14ac:dyDescent="0.25">
      <c r="C3" s="14" t="s">
        <v>10</v>
      </c>
      <c r="D3" s="15">
        <v>6578122</v>
      </c>
      <c r="E3" s="15">
        <v>6655852</v>
      </c>
      <c r="F3" s="15">
        <v>7101556</v>
      </c>
      <c r="G3" s="15">
        <f>27420276-SUM(D3:F3)</f>
        <v>7084746</v>
      </c>
      <c r="H3" s="15">
        <v>6853963</v>
      </c>
      <c r="I3" s="15">
        <v>6784867</v>
      </c>
      <c r="J3" s="15">
        <v>7257438</v>
      </c>
      <c r="K3" s="15">
        <f>28105338-SUM(H3:J3)</f>
        <v>7209070</v>
      </c>
      <c r="L3" s="15">
        <v>7177564</v>
      </c>
      <c r="M3" s="15">
        <v>7099592</v>
      </c>
      <c r="N3" s="15">
        <v>7061014</v>
      </c>
      <c r="O3" s="15">
        <f>27693693-SUM(L3:N3)</f>
        <v>6355523</v>
      </c>
      <c r="P3" s="15">
        <v>4069855</v>
      </c>
      <c r="Q3" s="15">
        <v>6247300</v>
      </c>
      <c r="R3" s="15">
        <v>7605418</v>
      </c>
      <c r="S3" s="15">
        <f>25077398-SUM(P3:R3)</f>
        <v>7154825</v>
      </c>
      <c r="T3" s="15">
        <v>7362417</v>
      </c>
      <c r="U3" s="15">
        <v>6982507</v>
      </c>
      <c r="V3" s="15">
        <v>7204419</v>
      </c>
      <c r="W3" s="15">
        <f>29073428-SUM(T3:V3)</f>
        <v>7524085</v>
      </c>
      <c r="X3" s="15">
        <v>7844455</v>
      </c>
      <c r="Y3" s="15">
        <v>8519475</v>
      </c>
      <c r="Z3" s="15">
        <v>9019920</v>
      </c>
      <c r="AA3" s="15">
        <f>34367619-SUM(X3:Z3)</f>
        <v>8983769</v>
      </c>
      <c r="AB3" s="15">
        <v>9785454</v>
      </c>
      <c r="AC3" s="15">
        <v>10597988</v>
      </c>
      <c r="AD3" s="15">
        <v>11128325</v>
      </c>
      <c r="AE3" s="15">
        <f>AA3*0.98</f>
        <v>8804093.6199999992</v>
      </c>
      <c r="AK3" s="15">
        <f>SUM(D3:G3)</f>
        <v>27420276</v>
      </c>
      <c r="AL3" s="15">
        <f>SUM(H3:K3)</f>
        <v>28105338</v>
      </c>
      <c r="AM3" s="15">
        <f>SUM(L3:O3)</f>
        <v>27693693</v>
      </c>
      <c r="AN3" s="15">
        <f>SUM(P3:S3)</f>
        <v>25077398</v>
      </c>
      <c r="AO3" s="15">
        <f>SUM(T3:W3)</f>
        <v>29073428</v>
      </c>
      <c r="AP3" s="15">
        <f>SUM(X3:AA3)</f>
        <v>34367619</v>
      </c>
      <c r="AQ3" s="15">
        <f>SUM(AB3:AE3)</f>
        <v>40315860.619999997</v>
      </c>
      <c r="AR3" s="15">
        <f>AQ3*1.1</f>
        <v>44347446.682000004</v>
      </c>
      <c r="AS3" s="15">
        <f>AR3*1.09</f>
        <v>48338716.883380011</v>
      </c>
      <c r="AT3" s="15">
        <f>AS3*1.08</f>
        <v>52205814.234050415</v>
      </c>
      <c r="AU3" s="15">
        <f>AT3*1.07</f>
        <v>55860221.230433948</v>
      </c>
      <c r="AV3" s="15">
        <f>AU3*1.06</f>
        <v>59211834.504259989</v>
      </c>
      <c r="AW3" s="15">
        <f>AV3*1.05</f>
        <v>62172426.229472987</v>
      </c>
    </row>
    <row r="4" spans="1:49" x14ac:dyDescent="0.25">
      <c r="C4" s="14" t="s">
        <v>11</v>
      </c>
      <c r="D4" s="15">
        <v>469484</v>
      </c>
      <c r="E4" s="15">
        <v>487749</v>
      </c>
      <c r="F4" s="15">
        <v>504211</v>
      </c>
      <c r="G4" s="15">
        <f>1959234-SUM(D4:F4)</f>
        <v>497790</v>
      </c>
      <c r="H4" s="15">
        <v>508770</v>
      </c>
      <c r="I4" s="15">
        <v>526406</v>
      </c>
      <c r="J4" s="15">
        <v>544104</v>
      </c>
      <c r="K4" s="15">
        <f>2120343-SUM(H4:J4)</f>
        <v>541063</v>
      </c>
      <c r="L4" s="15">
        <v>543709</v>
      </c>
      <c r="M4" s="15">
        <v>537412</v>
      </c>
      <c r="N4" s="15">
        <v>547917</v>
      </c>
      <c r="O4" s="15">
        <f>2172854-SUM(L4:N4)</f>
        <v>543816</v>
      </c>
      <c r="P4" s="15">
        <v>530941</v>
      </c>
      <c r="Q4" s="15">
        <v>527127</v>
      </c>
      <c r="R4" s="15">
        <v>544615</v>
      </c>
      <c r="S4" s="15">
        <f>2137195-SUM(P4:R4)</f>
        <v>534512</v>
      </c>
      <c r="T4" s="15">
        <v>573140</v>
      </c>
      <c r="U4" s="15">
        <v>563234</v>
      </c>
      <c r="V4" s="15">
        <v>581323</v>
      </c>
      <c r="W4" s="15">
        <f>2306079-SUM(T4:V4)</f>
        <v>588382</v>
      </c>
      <c r="X4" s="15">
        <v>646661</v>
      </c>
      <c r="Y4" s="15">
        <v>698757</v>
      </c>
      <c r="Z4" s="15">
        <v>734765</v>
      </c>
      <c r="AA4" s="15">
        <f>2786679-SUM(X4:Z4)</f>
        <v>706496</v>
      </c>
      <c r="AB4" s="15">
        <v>761377</v>
      </c>
      <c r="AC4" s="15">
        <v>836798</v>
      </c>
      <c r="AD4" s="15">
        <v>912778</v>
      </c>
      <c r="AE4" s="15">
        <f>AA4*0.98</f>
        <v>692366.08</v>
      </c>
      <c r="AK4" s="15">
        <f>SUM(D4:G4)</f>
        <v>1959234</v>
      </c>
      <c r="AL4" s="15">
        <f>SUM(H4:K4)</f>
        <v>2120343</v>
      </c>
      <c r="AM4" s="15">
        <f>SUM(L4:O4)</f>
        <v>2172854</v>
      </c>
      <c r="AN4" s="15">
        <f>SUM(P4:S4)</f>
        <v>2137195</v>
      </c>
      <c r="AO4" s="15">
        <f>SUM(T4:W4)</f>
        <v>2306079</v>
      </c>
      <c r="AP4" s="15">
        <f>SUM(X4:AA4)</f>
        <v>2786679</v>
      </c>
      <c r="AQ4" s="15">
        <f>SUM(AB4:AE4)</f>
        <v>3203319.08</v>
      </c>
      <c r="AR4" s="15">
        <f>AQ4*1.1</f>
        <v>3523650.9880000004</v>
      </c>
      <c r="AS4" s="15">
        <f>AR4*1.09</f>
        <v>3840779.5769200008</v>
      </c>
      <c r="AT4" s="15">
        <f>AS4*1.08</f>
        <v>4148041.943073601</v>
      </c>
      <c r="AU4" s="15">
        <f>AT4*1.07</f>
        <v>4438404.8790887529</v>
      </c>
      <c r="AV4" s="15">
        <f>AU4*1.06</f>
        <v>4704709.1718340786</v>
      </c>
      <c r="AW4" s="15">
        <f>AV4*1.05</f>
        <v>4939944.6304257829</v>
      </c>
    </row>
    <row r="5" spans="1:49" s="20" customFormat="1" x14ac:dyDescent="0.25">
      <c r="A5" s="18"/>
      <c r="B5" s="18"/>
      <c r="C5" s="19" t="s">
        <v>12</v>
      </c>
      <c r="D5" s="20">
        <f t="shared" ref="D5:Q5" si="0">+D3+D4</f>
        <v>7047606</v>
      </c>
      <c r="E5" s="20">
        <f t="shared" si="0"/>
        <v>7143601</v>
      </c>
      <c r="F5" s="20">
        <f t="shared" si="0"/>
        <v>7605767</v>
      </c>
      <c r="G5" s="20">
        <f t="shared" si="0"/>
        <v>7582536</v>
      </c>
      <c r="H5" s="20">
        <f t="shared" si="0"/>
        <v>7362733</v>
      </c>
      <c r="I5" s="20">
        <f t="shared" si="0"/>
        <v>7311273</v>
      </c>
      <c r="J5" s="20">
        <f t="shared" si="0"/>
        <v>7801542</v>
      </c>
      <c r="K5" s="20">
        <f>AL5-SUM(H5:J5)</f>
        <v>7750133</v>
      </c>
      <c r="L5" s="20">
        <f t="shared" si="0"/>
        <v>7721273</v>
      </c>
      <c r="M5" s="20">
        <f t="shared" si="0"/>
        <v>7637004</v>
      </c>
      <c r="N5" s="20">
        <f t="shared" si="0"/>
        <v>7608931</v>
      </c>
      <c r="O5" s="20">
        <f t="shared" si="0"/>
        <v>6899339</v>
      </c>
      <c r="P5" s="20">
        <f t="shared" si="0"/>
        <v>4600796</v>
      </c>
      <c r="Q5" s="20">
        <f t="shared" si="0"/>
        <v>6774427</v>
      </c>
      <c r="R5" s="20">
        <f t="shared" ref="R5:AC5" si="1">+R3+R4</f>
        <v>8150033</v>
      </c>
      <c r="S5" s="20">
        <f t="shared" si="1"/>
        <v>7689337</v>
      </c>
      <c r="T5" s="20">
        <f t="shared" si="1"/>
        <v>7935557</v>
      </c>
      <c r="U5" s="20">
        <f t="shared" si="1"/>
        <v>7545741</v>
      </c>
      <c r="V5" s="20">
        <f t="shared" si="1"/>
        <v>7785742</v>
      </c>
      <c r="W5" s="20">
        <f t="shared" si="1"/>
        <v>8112467</v>
      </c>
      <c r="X5" s="20">
        <f t="shared" si="1"/>
        <v>8491116</v>
      </c>
      <c r="Y5" s="20">
        <f t="shared" si="1"/>
        <v>9218232</v>
      </c>
      <c r="Z5" s="20">
        <f>+Z3+Z4</f>
        <v>9754685</v>
      </c>
      <c r="AA5" s="20">
        <f t="shared" ref="AA5:AB5" si="2">+AA3+AA4</f>
        <v>9690265</v>
      </c>
      <c r="AB5" s="20">
        <f t="shared" si="2"/>
        <v>10546831</v>
      </c>
      <c r="AC5" s="20">
        <f t="shared" si="1"/>
        <v>11434786</v>
      </c>
      <c r="AD5" s="20">
        <f>+AD3+AD4</f>
        <v>12041103</v>
      </c>
      <c r="AE5" s="20">
        <f t="shared" ref="AE5" si="3">+AE3+AE4</f>
        <v>9496459.6999999993</v>
      </c>
      <c r="AK5" s="20">
        <f t="shared" ref="AK5:AN5" si="4">+AK3+AK4</f>
        <v>29379510</v>
      </c>
      <c r="AL5" s="20">
        <f t="shared" si="4"/>
        <v>30225681</v>
      </c>
      <c r="AM5" s="20">
        <f t="shared" si="4"/>
        <v>29866547</v>
      </c>
      <c r="AN5" s="20">
        <f t="shared" si="4"/>
        <v>27214593</v>
      </c>
      <c r="AO5" s="20">
        <f>+AO3+AO4</f>
        <v>31379507</v>
      </c>
      <c r="AP5" s="20">
        <f>+AP3+AP4</f>
        <v>37154298</v>
      </c>
      <c r="AQ5" s="20">
        <f>+AQ3+AQ4</f>
        <v>43519179.699999996</v>
      </c>
      <c r="AR5" s="20">
        <f t="shared" ref="AQ5:AW5" si="5">+AR3+AR4</f>
        <v>47871097.670000002</v>
      </c>
      <c r="AS5" s="20">
        <f t="shared" si="5"/>
        <v>52179496.460300013</v>
      </c>
      <c r="AT5" s="20">
        <f t="shared" si="5"/>
        <v>56353856.177124016</v>
      </c>
      <c r="AU5" s="20">
        <f t="shared" si="5"/>
        <v>60298626.1095227</v>
      </c>
      <c r="AV5" s="20">
        <f t="shared" si="5"/>
        <v>63916543.67609407</v>
      </c>
      <c r="AW5" s="20">
        <f t="shared" si="5"/>
        <v>67112370.859898776</v>
      </c>
    </row>
    <row r="6" spans="1:49" x14ac:dyDescent="0.25">
      <c r="C6" s="14" t="s">
        <v>29</v>
      </c>
      <c r="D6" s="15">
        <v>5442731</v>
      </c>
      <c r="E6" s="15">
        <v>5547092</v>
      </c>
      <c r="F6" s="15">
        <v>5869991</v>
      </c>
      <c r="G6" s="15">
        <f>22600474-SUM(D6:F6)</f>
        <v>5740660</v>
      </c>
      <c r="H6" s="15">
        <v>5639996</v>
      </c>
      <c r="I6" s="15">
        <v>5650630</v>
      </c>
      <c r="J6" s="15">
        <v>5995359</v>
      </c>
      <c r="K6" s="15">
        <f>23389495-SUM(H6:J6)</f>
        <v>6103510</v>
      </c>
      <c r="L6" s="15">
        <v>5927739</v>
      </c>
      <c r="M6" s="15">
        <v>5973620</v>
      </c>
      <c r="N6" s="15">
        <v>5866014</v>
      </c>
      <c r="O6" s="15">
        <f>23103596-SUM(L6:N6)</f>
        <v>5336223</v>
      </c>
      <c r="P6" s="15">
        <v>3726300</v>
      </c>
      <c r="Q6" s="15">
        <v>5351939</v>
      </c>
      <c r="R6" s="15">
        <v>6211206</v>
      </c>
      <c r="S6" s="15">
        <f>21199890-SUM(P6:R6)</f>
        <v>5910445</v>
      </c>
      <c r="T6" s="15">
        <v>6014841</v>
      </c>
      <c r="U6" s="15">
        <v>5828074</v>
      </c>
      <c r="V6" s="15">
        <v>5975051</v>
      </c>
      <c r="W6" s="15">
        <f>24250784-SUM(T6:V6)</f>
        <v>6432818</v>
      </c>
      <c r="X6" s="15">
        <v>6700127</v>
      </c>
      <c r="Y6" s="15">
        <v>7349121</v>
      </c>
      <c r="Z6" s="15">
        <v>7385754</v>
      </c>
      <c r="AA6" s="15">
        <f>29128561-SUM(X6:Z6)</f>
        <v>7693559</v>
      </c>
      <c r="AB6" s="15">
        <v>8040979</v>
      </c>
      <c r="AC6" s="15">
        <v>8501716</v>
      </c>
      <c r="AD6" s="15">
        <v>8802750</v>
      </c>
      <c r="AE6" s="15">
        <f>AA6*0.98</f>
        <v>7539687.8200000003</v>
      </c>
      <c r="AK6" s="15">
        <f>SUM(D6:G6)</f>
        <v>22600474</v>
      </c>
      <c r="AL6" s="15">
        <f>SUM(H6:K6)</f>
        <v>23389495</v>
      </c>
      <c r="AM6" s="15">
        <f>SUM(L6:O6)</f>
        <v>23103596</v>
      </c>
      <c r="AN6" s="15">
        <f>SUM(P6:S6)</f>
        <v>21199890</v>
      </c>
      <c r="AO6" s="15">
        <f>SUM(T6:W6)</f>
        <v>24250784</v>
      </c>
      <c r="AP6" s="15">
        <f>SUM(X6:AA6)</f>
        <v>29128561</v>
      </c>
      <c r="AQ6" s="15">
        <f>SUM(AB6:AE6)</f>
        <v>32885132.82</v>
      </c>
      <c r="AR6" s="15">
        <f>AQ6*1.1</f>
        <v>36173646.102000006</v>
      </c>
      <c r="AS6" s="15">
        <f t="shared" ref="AS6:AS7" si="6">AR6*1.09</f>
        <v>39429274.251180008</v>
      </c>
      <c r="AT6" s="15">
        <f>AS6*1.08</f>
        <v>42583616.191274412</v>
      </c>
      <c r="AU6" s="15">
        <f>AT6*1.07</f>
        <v>45564469.324663624</v>
      </c>
      <c r="AV6" s="15">
        <f>AU6*1.06</f>
        <v>48298337.484143443</v>
      </c>
      <c r="AW6" s="15">
        <f>AV6*1.05</f>
        <v>50713254.35835062</v>
      </c>
    </row>
    <row r="7" spans="1:49" x14ac:dyDescent="0.25">
      <c r="C7" s="14" t="s">
        <v>30</v>
      </c>
      <c r="D7" s="15">
        <v>310332</v>
      </c>
      <c r="E7" s="15">
        <v>315927</v>
      </c>
      <c r="F7" s="15">
        <v>328159</v>
      </c>
      <c r="G7" s="15">
        <f>1288679-SUM(D7:F7)</f>
        <v>334261</v>
      </c>
      <c r="H7" s="15">
        <v>348155</v>
      </c>
      <c r="I7" s="15">
        <v>345376</v>
      </c>
      <c r="J7" s="15">
        <v>352802</v>
      </c>
      <c r="K7" s="15">
        <f>1392290-SUM(H7:J7)</f>
        <v>345957</v>
      </c>
      <c r="L7" s="15">
        <v>341406</v>
      </c>
      <c r="M7" s="15">
        <v>311792</v>
      </c>
      <c r="N7" s="15">
        <v>360742</v>
      </c>
      <c r="O7" s="15">
        <f>1381755-SUM(L7:N7)</f>
        <v>367815</v>
      </c>
      <c r="P7" s="15">
        <v>325068</v>
      </c>
      <c r="Q7" s="15">
        <v>274341</v>
      </c>
      <c r="R7" s="15">
        <v>282124</v>
      </c>
      <c r="S7" s="15">
        <f>1182330-SUM(P7:R7)</f>
        <v>300797</v>
      </c>
      <c r="T7" s="15">
        <v>271078</v>
      </c>
      <c r="U7" s="15">
        <v>278714</v>
      </c>
      <c r="V7" s="15">
        <v>284691</v>
      </c>
      <c r="W7" s="15">
        <f>1157050-SUM(T7:V7)</f>
        <v>322567</v>
      </c>
      <c r="X7" s="15">
        <v>399840</v>
      </c>
      <c r="Y7" s="15">
        <v>445382</v>
      </c>
      <c r="Z7" s="15">
        <v>435638</v>
      </c>
      <c r="AA7" s="15">
        <f>1712721-SUM(X7:Z7)</f>
        <v>431861</v>
      </c>
      <c r="AB7" s="15">
        <v>442948</v>
      </c>
      <c r="AC7" s="15">
        <v>563134</v>
      </c>
      <c r="AD7" s="15">
        <v>553063</v>
      </c>
      <c r="AE7" s="15">
        <f>AA7*0.97</f>
        <v>418905.17</v>
      </c>
      <c r="AK7" s="15">
        <f>SUM(D7:G7)</f>
        <v>1288679</v>
      </c>
      <c r="AL7" s="15">
        <f>SUM(H7:K7)</f>
        <v>1392290</v>
      </c>
      <c r="AM7" s="15">
        <f>SUM(L7:O7)</f>
        <v>1381755</v>
      </c>
      <c r="AN7" s="15">
        <f>SUM(P7:S7)</f>
        <v>1182330</v>
      </c>
      <c r="AO7" s="15">
        <f>SUM(T7:W7)</f>
        <v>1157050</v>
      </c>
      <c r="AP7" s="15">
        <f>SUM(X7:AA7)</f>
        <v>1712721</v>
      </c>
      <c r="AQ7" s="15">
        <f>SUM(AB7:AE7)</f>
        <v>1978050.17</v>
      </c>
      <c r="AR7" s="15">
        <f>AQ7*1.1</f>
        <v>2175855.1869999999</v>
      </c>
      <c r="AS7" s="15">
        <f t="shared" si="6"/>
        <v>2371682.1538300002</v>
      </c>
      <c r="AT7" s="15">
        <f>AS7*1.08</f>
        <v>2561416.7261364004</v>
      </c>
      <c r="AU7" s="15">
        <f>AT7*1.07</f>
        <v>2740715.8969659484</v>
      </c>
      <c r="AV7" s="15">
        <f>AU7*1.06</f>
        <v>2905158.8507839055</v>
      </c>
      <c r="AW7" s="15">
        <f>AV7*1.05</f>
        <v>3050416.793323101</v>
      </c>
    </row>
    <row r="8" spans="1:49" s="20" customFormat="1" x14ac:dyDescent="0.25">
      <c r="A8" s="18"/>
      <c r="B8" s="18"/>
      <c r="C8" s="19" t="s">
        <v>28</v>
      </c>
      <c r="D8" s="20">
        <f t="shared" ref="D8:Q8" si="7">+D6+D7</f>
        <v>5753063</v>
      </c>
      <c r="E8" s="20">
        <f t="shared" si="7"/>
        <v>5863019</v>
      </c>
      <c r="F8" s="20">
        <f t="shared" si="7"/>
        <v>6198150</v>
      </c>
      <c r="G8" s="20">
        <f t="shared" si="7"/>
        <v>6074921</v>
      </c>
      <c r="H8" s="20">
        <f t="shared" si="7"/>
        <v>5988151</v>
      </c>
      <c r="I8" s="20">
        <f>+I6+I7</f>
        <v>5996006</v>
      </c>
      <c r="J8" s="20">
        <f t="shared" si="7"/>
        <v>6348161</v>
      </c>
      <c r="K8" s="20">
        <f>AL8-SUM(H8:J8)</f>
        <v>6449467</v>
      </c>
      <c r="L8" s="20">
        <f t="shared" si="7"/>
        <v>6269145</v>
      </c>
      <c r="M8" s="20">
        <f t="shared" si="7"/>
        <v>6285412</v>
      </c>
      <c r="N8" s="20">
        <f t="shared" si="7"/>
        <v>6226756</v>
      </c>
      <c r="O8" s="20">
        <f t="shared" si="7"/>
        <v>5704038</v>
      </c>
      <c r="P8" s="20">
        <f t="shared" si="7"/>
        <v>4051368</v>
      </c>
      <c r="Q8" s="20">
        <f t="shared" si="7"/>
        <v>5626280</v>
      </c>
      <c r="R8" s="20">
        <f t="shared" ref="R8:AD8" si="8">+R6+R7</f>
        <v>6493330</v>
      </c>
      <c r="S8" s="20">
        <f t="shared" si="8"/>
        <v>6211242</v>
      </c>
      <c r="T8" s="20">
        <f t="shared" si="8"/>
        <v>6285919</v>
      </c>
      <c r="U8" s="20">
        <f t="shared" si="8"/>
        <v>6106788</v>
      </c>
      <c r="V8" s="20">
        <f t="shared" si="8"/>
        <v>6259742</v>
      </c>
      <c r="W8" s="20">
        <f t="shared" si="8"/>
        <v>6755385</v>
      </c>
      <c r="X8" s="20">
        <f t="shared" si="8"/>
        <v>7099967</v>
      </c>
      <c r="Y8" s="20">
        <f t="shared" si="8"/>
        <v>7794503</v>
      </c>
      <c r="Z8" s="20">
        <f>+Z6+Z7</f>
        <v>7821392</v>
      </c>
      <c r="AA8" s="20">
        <f t="shared" ref="AA8" si="9">+AA6+AA7</f>
        <v>8125420</v>
      </c>
      <c r="AB8" s="20">
        <f t="shared" si="8"/>
        <v>8483927</v>
      </c>
      <c r="AC8" s="20">
        <f t="shared" si="8"/>
        <v>9064850</v>
      </c>
      <c r="AD8" s="20">
        <f>+AD6+AD7</f>
        <v>9355813</v>
      </c>
      <c r="AE8" s="20">
        <f>+AE6+AE7</f>
        <v>7958592.9900000002</v>
      </c>
      <c r="AK8" s="20">
        <f t="shared" ref="AK8" si="10">+AK6+AK7</f>
        <v>23889153</v>
      </c>
      <c r="AL8" s="20">
        <f t="shared" ref="AL8" si="11">+AL6+AL7</f>
        <v>24781785</v>
      </c>
      <c r="AM8" s="20">
        <f t="shared" ref="AM8" si="12">+AM6+AM7</f>
        <v>24485351</v>
      </c>
      <c r="AN8" s="20">
        <f t="shared" ref="AN8" si="13">+AN6+AN7</f>
        <v>22382220</v>
      </c>
      <c r="AO8" s="20">
        <f>+AO6+AO7</f>
        <v>25407834</v>
      </c>
      <c r="AP8" s="20">
        <f t="shared" ref="AP8" si="14">+AP6+AP7</f>
        <v>30841282</v>
      </c>
      <c r="AQ8" s="20">
        <f>+AQ6+AQ7</f>
        <v>34863182.990000002</v>
      </c>
      <c r="AR8" s="20">
        <f t="shared" ref="AR8" si="15">+AR6+AR7</f>
        <v>38349501.289000005</v>
      </c>
      <c r="AS8" s="20">
        <f t="shared" ref="AS8" si="16">+AS6+AS7</f>
        <v>41800956.405010007</v>
      </c>
      <c r="AT8" s="20">
        <f t="shared" ref="AT8" si="17">+AT6+AT7</f>
        <v>45145032.917410813</v>
      </c>
      <c r="AU8" s="20">
        <f t="shared" ref="AU8" si="18">+AU6+AU7</f>
        <v>48305185.221629575</v>
      </c>
      <c r="AV8" s="20">
        <f t="shared" ref="AV8" si="19">+AV6+AV7</f>
        <v>51203496.33492735</v>
      </c>
      <c r="AW8" s="20">
        <f t="shared" ref="AW8" si="20">+AW6+AW7</f>
        <v>53763671.151673719</v>
      </c>
    </row>
    <row r="9" spans="1:49" x14ac:dyDescent="0.25">
      <c r="C9" s="35" t="s">
        <v>89</v>
      </c>
      <c r="D9" s="15">
        <f t="shared" ref="D9:Q9" si="21">+D5-D8</f>
        <v>1294543</v>
      </c>
      <c r="E9" s="15">
        <f t="shared" si="21"/>
        <v>1280582</v>
      </c>
      <c r="F9" s="15">
        <f t="shared" si="21"/>
        <v>1407617</v>
      </c>
      <c r="G9" s="15">
        <f t="shared" si="21"/>
        <v>1507615</v>
      </c>
      <c r="H9" s="15">
        <f t="shared" si="21"/>
        <v>1374582</v>
      </c>
      <c r="I9" s="15">
        <f>+I5-I8</f>
        <v>1315267</v>
      </c>
      <c r="J9" s="15">
        <f t="shared" si="21"/>
        <v>1453381</v>
      </c>
      <c r="K9" s="15">
        <f>AL9-SUM(H9:J9)</f>
        <v>1300666</v>
      </c>
      <c r="L9" s="15">
        <f t="shared" si="21"/>
        <v>1452128</v>
      </c>
      <c r="M9" s="15">
        <f t="shared" si="21"/>
        <v>1351592</v>
      </c>
      <c r="N9" s="15">
        <f t="shared" si="21"/>
        <v>1382175</v>
      </c>
      <c r="O9" s="15">
        <f t="shared" si="21"/>
        <v>1195301</v>
      </c>
      <c r="P9" s="15">
        <f t="shared" si="21"/>
        <v>549428</v>
      </c>
      <c r="Q9" s="15">
        <f t="shared" si="21"/>
        <v>1148147</v>
      </c>
      <c r="R9" s="15">
        <f t="shared" ref="R9:AC9" si="22">+R5-R8</f>
        <v>1656703</v>
      </c>
      <c r="S9" s="15">
        <f t="shared" si="22"/>
        <v>1478095</v>
      </c>
      <c r="T9" s="15">
        <f t="shared" si="22"/>
        <v>1649638</v>
      </c>
      <c r="U9" s="15">
        <f t="shared" si="22"/>
        <v>1438953</v>
      </c>
      <c r="V9" s="15">
        <f t="shared" si="22"/>
        <v>1526000</v>
      </c>
      <c r="W9" s="15">
        <f t="shared" si="22"/>
        <v>1357082</v>
      </c>
      <c r="X9" s="15">
        <f t="shared" si="22"/>
        <v>1391149</v>
      </c>
      <c r="Y9" s="15">
        <f t="shared" si="22"/>
        <v>1423729</v>
      </c>
      <c r="Z9" s="15">
        <f>+Z5-Z8</f>
        <v>1933293</v>
      </c>
      <c r="AA9" s="15">
        <f t="shared" ref="AA9" si="23">+AA5-AA8</f>
        <v>1564845</v>
      </c>
      <c r="AB9" s="15">
        <f t="shared" si="22"/>
        <v>2062904</v>
      </c>
      <c r="AC9" s="15">
        <f t="shared" si="22"/>
        <v>2369936</v>
      </c>
      <c r="AD9" s="15">
        <f>+AD5-AD8</f>
        <v>2685290</v>
      </c>
      <c r="AE9" s="15">
        <f>+AE5-AE8</f>
        <v>1537866.709999999</v>
      </c>
      <c r="AK9" s="15">
        <f t="shared" ref="AK9:AO9" si="24">+AK5-AK8</f>
        <v>5490357</v>
      </c>
      <c r="AL9" s="15">
        <f t="shared" si="24"/>
        <v>5443896</v>
      </c>
      <c r="AM9" s="15">
        <f t="shared" si="24"/>
        <v>5381196</v>
      </c>
      <c r="AN9" s="15">
        <f t="shared" si="24"/>
        <v>4832373</v>
      </c>
      <c r="AO9" s="15">
        <f t="shared" si="24"/>
        <v>5971673</v>
      </c>
      <c r="AP9" s="15">
        <f t="shared" ref="AP9" si="25">+AP5-AP8</f>
        <v>6313016</v>
      </c>
      <c r="AQ9" s="15">
        <f>+AQ5-AQ8</f>
        <v>8655996.7099999934</v>
      </c>
      <c r="AR9" s="15">
        <f>+AR5-AR8</f>
        <v>9521596.3809999973</v>
      </c>
      <c r="AS9" s="15">
        <f t="shared" ref="AQ9:AW9" si="26">+AS5-AS8</f>
        <v>10378540.055290006</v>
      </c>
      <c r="AT9" s="15">
        <f t="shared" si="26"/>
        <v>11208823.259713203</v>
      </c>
      <c r="AU9" s="15">
        <f t="shared" si="26"/>
        <v>11993440.887893125</v>
      </c>
      <c r="AV9" s="15">
        <f t="shared" si="26"/>
        <v>12713047.34116672</v>
      </c>
      <c r="AW9" s="15">
        <f t="shared" si="26"/>
        <v>13348699.708225057</v>
      </c>
    </row>
    <row r="10" spans="1:49" x14ac:dyDescent="0.25">
      <c r="C10" s="14" t="s">
        <v>31</v>
      </c>
      <c r="D10" s="15">
        <v>720249</v>
      </c>
      <c r="E10" s="15">
        <v>758335</v>
      </c>
      <c r="F10" s="15">
        <v>733972</v>
      </c>
      <c r="G10" s="15">
        <f>3090495-SUM(D10:F10)</f>
        <v>877939</v>
      </c>
      <c r="H10" s="15">
        <v>691895</v>
      </c>
      <c r="I10" s="15">
        <v>736109</v>
      </c>
      <c r="J10" s="15">
        <v>777252</v>
      </c>
      <c r="K10" s="15">
        <f>2976351-SUM(H10:J10)</f>
        <v>771095</v>
      </c>
      <c r="L10" s="15">
        <v>711517</v>
      </c>
      <c r="M10" s="15">
        <v>692985</v>
      </c>
      <c r="N10" s="15">
        <v>742078</v>
      </c>
      <c r="O10" s="15">
        <f>2981965-SUM(L10:N10)</f>
        <v>835385</v>
      </c>
      <c r="P10" s="15">
        <v>535508</v>
      </c>
      <c r="Q10" s="15">
        <v>642086</v>
      </c>
      <c r="R10" s="15">
        <v>668762</v>
      </c>
      <c r="S10" s="15">
        <f>2634625-SUM(P10:R10)</f>
        <v>788269</v>
      </c>
      <c r="T10" s="15">
        <v>652150</v>
      </c>
      <c r="U10" s="15">
        <v>688978</v>
      </c>
      <c r="V10" s="15">
        <v>741629</v>
      </c>
      <c r="W10" s="15">
        <f>2975977-SUM(T10:V10)</f>
        <v>893220</v>
      </c>
      <c r="X10" s="15">
        <v>812494</v>
      </c>
      <c r="Y10" s="15">
        <v>860940</v>
      </c>
      <c r="Z10" s="15">
        <v>976641</v>
      </c>
      <c r="AA10" s="15">
        <f>3587990-SUM(X10:Z10)</f>
        <v>937915</v>
      </c>
      <c r="AB10" s="15">
        <v>942003</v>
      </c>
      <c r="AC10" s="15">
        <v>931543</v>
      </c>
      <c r="AD10" s="15">
        <v>1004347</v>
      </c>
      <c r="AE10" s="15">
        <f>AA10*0.97</f>
        <v>909777.54999999993</v>
      </c>
      <c r="AK10" s="15">
        <f>SUM(D10:G10)</f>
        <v>3090495</v>
      </c>
      <c r="AL10" s="15">
        <f>SUM(H10:K10)</f>
        <v>2976351</v>
      </c>
      <c r="AM10" s="15">
        <f>SUM(L10:O10)</f>
        <v>2981965</v>
      </c>
      <c r="AN10" s="15">
        <f>SUM(P10:S10)</f>
        <v>2634625</v>
      </c>
      <c r="AO10" s="15">
        <f>SUM(T10:W10)</f>
        <v>2975977</v>
      </c>
      <c r="AP10" s="15">
        <f>SUM(X10:AA10)</f>
        <v>3587990</v>
      </c>
      <c r="AQ10" s="15">
        <f>SUM(AB10:AE10)</f>
        <v>3787670.55</v>
      </c>
      <c r="AR10" s="15">
        <f>AQ10*1.05</f>
        <v>3977054.0775000001</v>
      </c>
      <c r="AS10" s="15">
        <f>AR10*1.08</f>
        <v>4295218.4037000006</v>
      </c>
      <c r="AT10" s="15">
        <f>AS10*1.07</f>
        <v>4595883.6919590011</v>
      </c>
      <c r="AU10" s="15">
        <f>AT10*1.06</f>
        <v>4871636.7134765415</v>
      </c>
      <c r="AV10" s="15">
        <f>AU10*1.05</f>
        <v>5115218.5491503691</v>
      </c>
      <c r="AW10" s="15">
        <f>AV10*1.04</f>
        <v>5319827.2911163839</v>
      </c>
    </row>
    <row r="11" spans="1:49" s="20" customFormat="1" x14ac:dyDescent="0.25">
      <c r="A11" s="18"/>
      <c r="B11" s="18"/>
      <c r="C11" s="19" t="s">
        <v>32</v>
      </c>
      <c r="D11" s="20">
        <f t="shared" ref="D11:P11" si="27">+D9-D10</f>
        <v>574294</v>
      </c>
      <c r="E11" s="20">
        <f t="shared" si="27"/>
        <v>522247</v>
      </c>
      <c r="F11" s="20">
        <f t="shared" si="27"/>
        <v>673645</v>
      </c>
      <c r="G11" s="20">
        <f t="shared" si="27"/>
        <v>629676</v>
      </c>
      <c r="H11" s="20">
        <f t="shared" si="27"/>
        <v>682687</v>
      </c>
      <c r="I11" s="20">
        <f>+I9-I10</f>
        <v>579158</v>
      </c>
      <c r="J11" s="20">
        <f t="shared" si="27"/>
        <v>676129</v>
      </c>
      <c r="K11" s="20">
        <f>AL11-SUM(H11:J11)</f>
        <v>529571</v>
      </c>
      <c r="L11" s="20">
        <f t="shared" si="27"/>
        <v>740611</v>
      </c>
      <c r="M11" s="20">
        <f t="shared" si="27"/>
        <v>658607</v>
      </c>
      <c r="N11" s="20">
        <f t="shared" si="27"/>
        <v>640097</v>
      </c>
      <c r="O11" s="20">
        <f t="shared" si="27"/>
        <v>359916</v>
      </c>
      <c r="P11" s="20">
        <f t="shared" si="27"/>
        <v>13920</v>
      </c>
      <c r="Q11" s="20">
        <f>+Q9-Q10</f>
        <v>506061</v>
      </c>
      <c r="R11" s="20">
        <f t="shared" ref="R11:AC11" si="28">+R9-R10</f>
        <v>987941</v>
      </c>
      <c r="S11" s="20">
        <f t="shared" si="28"/>
        <v>689826</v>
      </c>
      <c r="T11" s="20">
        <f t="shared" si="28"/>
        <v>997488</v>
      </c>
      <c r="U11" s="20">
        <f t="shared" si="28"/>
        <v>749975</v>
      </c>
      <c r="V11" s="20">
        <f t="shared" si="28"/>
        <v>784371</v>
      </c>
      <c r="W11" s="20">
        <f t="shared" si="28"/>
        <v>463862</v>
      </c>
      <c r="X11" s="20">
        <f t="shared" si="28"/>
        <v>578655</v>
      </c>
      <c r="Y11" s="20">
        <f t="shared" si="28"/>
        <v>562789</v>
      </c>
      <c r="Z11" s="20">
        <f>+Z9-Z10</f>
        <v>956652</v>
      </c>
      <c r="AA11" s="20">
        <f t="shared" ref="AA11" si="29">+AA9-AA10</f>
        <v>626930</v>
      </c>
      <c r="AB11" s="20">
        <f t="shared" si="28"/>
        <v>1120901</v>
      </c>
      <c r="AC11" s="20">
        <f t="shared" si="28"/>
        <v>1438393</v>
      </c>
      <c r="AD11" s="20">
        <f>+AD9-AD10</f>
        <v>1680943</v>
      </c>
      <c r="AE11" s="20">
        <f>+AE9-AE10</f>
        <v>628089.1599999991</v>
      </c>
      <c r="AK11" s="20">
        <f t="shared" ref="AK11" si="30">+AK9-AK10</f>
        <v>2399862</v>
      </c>
      <c r="AL11" s="20">
        <f t="shared" ref="AL11" si="31">+AL9-AL10</f>
        <v>2467545</v>
      </c>
      <c r="AM11" s="20">
        <f t="shared" ref="AM11" si="32">+AM9-AM10</f>
        <v>2399231</v>
      </c>
      <c r="AN11" s="20">
        <f t="shared" ref="AN11" si="33">+AN9-AN10</f>
        <v>2197748</v>
      </c>
      <c r="AO11" s="20">
        <f>+AO9-AO10</f>
        <v>2995696</v>
      </c>
      <c r="AP11" s="20">
        <f>+AP9-AP10</f>
        <v>2725026</v>
      </c>
      <c r="AQ11" s="20">
        <f>+AQ9-AQ10</f>
        <v>4868326.1599999936</v>
      </c>
      <c r="AR11" s="20">
        <f t="shared" ref="AR11" si="34">+AR9-AR10</f>
        <v>5544542.3034999967</v>
      </c>
      <c r="AS11" s="20">
        <f t="shared" ref="AS11" si="35">+AS9-AS10</f>
        <v>6083321.6515900055</v>
      </c>
      <c r="AT11" s="20">
        <f t="shared" ref="AT11" si="36">+AT9-AT10</f>
        <v>6612939.5677542016</v>
      </c>
      <c r="AU11" s="20">
        <f t="shared" ref="AU11" si="37">+AU9-AU10</f>
        <v>7121804.174416584</v>
      </c>
      <c r="AV11" s="20">
        <f t="shared" ref="AV11" si="38">+AV9-AV10</f>
        <v>7597828.7920163507</v>
      </c>
      <c r="AW11" s="20">
        <f t="shared" ref="AW11" si="39">+AW9-AW10</f>
        <v>8028872.4171086727</v>
      </c>
    </row>
    <row r="12" spans="1:49" x14ac:dyDescent="0.25">
      <c r="C12" s="72" t="s">
        <v>107</v>
      </c>
      <c r="D12" s="15">
        <v>66760</v>
      </c>
      <c r="E12" s="15">
        <v>26002</v>
      </c>
      <c r="F12" s="15">
        <v>55899</v>
      </c>
      <c r="G12" s="15">
        <f>179541-SUM(D12:F12)</f>
        <v>30880</v>
      </c>
      <c r="H12" s="15">
        <v>87888</v>
      </c>
      <c r="I12" s="15">
        <v>36890</v>
      </c>
      <c r="J12" s="15">
        <v>65625</v>
      </c>
      <c r="K12" s="15">
        <f>225495-SUM(H12:J12)</f>
        <v>35092</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f>AA12</f>
        <v>0</v>
      </c>
      <c r="AK12" s="15">
        <f>SUM(D12:G12)</f>
        <v>179541</v>
      </c>
      <c r="AL12" s="15">
        <f>SUM(H12:K12)</f>
        <v>225495</v>
      </c>
      <c r="AM12" s="15">
        <f>SUM(L12:O12)</f>
        <v>0</v>
      </c>
      <c r="AN12" s="15">
        <f>SUM(P12:S12)</f>
        <v>0</v>
      </c>
      <c r="AO12" s="15">
        <f>SUM(T12:W12)</f>
        <v>0</v>
      </c>
      <c r="AP12" s="15">
        <f>SUM(X12:AA12)</f>
        <v>0</v>
      </c>
      <c r="AQ12" s="15">
        <f t="shared" ref="AQ12:AQ17" si="40">SUM(AB12:AE12)</f>
        <v>0</v>
      </c>
      <c r="AR12" s="15">
        <f>AQ12*1.1</f>
        <v>0</v>
      </c>
      <c r="AS12" s="15">
        <f>AR12*1.05</f>
        <v>0</v>
      </c>
      <c r="AT12" s="15">
        <f t="shared" ref="AT12:AW12" si="41">AS12*1.05</f>
        <v>0</v>
      </c>
      <c r="AU12" s="15">
        <f t="shared" si="41"/>
        <v>0</v>
      </c>
      <c r="AV12" s="15">
        <f t="shared" si="41"/>
        <v>0</v>
      </c>
      <c r="AW12" s="15">
        <f t="shared" si="41"/>
        <v>0</v>
      </c>
    </row>
    <row r="13" spans="1:49" x14ac:dyDescent="0.25">
      <c r="C13" s="72" t="s">
        <v>108</v>
      </c>
      <c r="D13" s="15">
        <v>-4388</v>
      </c>
      <c r="E13" s="15">
        <v>-9153</v>
      </c>
      <c r="F13" s="15">
        <v>-6508</v>
      </c>
      <c r="G13" s="15">
        <f>-27586-SUM(D13:F13)</f>
        <v>-7537</v>
      </c>
      <c r="H13" s="15">
        <v>-3439</v>
      </c>
      <c r="I13" s="15">
        <v>-8164</v>
      </c>
      <c r="J13" s="15">
        <v>-8905</v>
      </c>
      <c r="K13" s="15">
        <f>-28078-SUM(H13:J13)</f>
        <v>-7570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f>AA13</f>
        <v>0</v>
      </c>
      <c r="AK13" s="15">
        <f>SUM(D13:G13)</f>
        <v>-27586</v>
      </c>
      <c r="AL13" s="15">
        <f>SUM(H13:K13)</f>
        <v>-28078</v>
      </c>
      <c r="AM13" s="15">
        <f>SUM(L13:O13)</f>
        <v>0</v>
      </c>
      <c r="AN13" s="15">
        <f>SUM(P13:S13)</f>
        <v>0</v>
      </c>
      <c r="AO13" s="15">
        <f>SUM(T13:W13)</f>
        <v>0</v>
      </c>
      <c r="AP13" s="15">
        <f>SUM(X13:AA13)</f>
        <v>0</v>
      </c>
      <c r="AQ13" s="15">
        <f t="shared" si="40"/>
        <v>0</v>
      </c>
      <c r="AR13" s="15">
        <f t="shared" ref="AR13:AR16" si="42">AQ13*1.1</f>
        <v>0</v>
      </c>
      <c r="AS13" s="15">
        <f t="shared" ref="AS13:AW13" si="43">AR13*1.05</f>
        <v>0</v>
      </c>
      <c r="AT13" s="15">
        <f t="shared" si="43"/>
        <v>0</v>
      </c>
      <c r="AU13" s="15">
        <f t="shared" si="43"/>
        <v>0</v>
      </c>
      <c r="AV13" s="15">
        <f t="shared" si="43"/>
        <v>0</v>
      </c>
      <c r="AW13" s="15">
        <f t="shared" si="43"/>
        <v>0</v>
      </c>
    </row>
    <row r="14" spans="1:49" x14ac:dyDescent="0.25">
      <c r="C14" s="14" t="s">
        <v>33</v>
      </c>
      <c r="D14" s="15">
        <v>0</v>
      </c>
      <c r="E14" s="15">
        <v>0</v>
      </c>
      <c r="F14" s="15">
        <v>0</v>
      </c>
      <c r="G14" s="15">
        <v>0</v>
      </c>
      <c r="H14" s="15">
        <v>35033</v>
      </c>
      <c r="I14" s="15">
        <v>112816</v>
      </c>
      <c r="J14" s="15">
        <v>-503661</v>
      </c>
      <c r="K14" s="15">
        <f>+-341054-SUM(H14:J14)</f>
        <v>14758</v>
      </c>
      <c r="L14" s="15">
        <v>104744</v>
      </c>
      <c r="M14" s="15">
        <v>95122</v>
      </c>
      <c r="N14" s="15">
        <v>75836</v>
      </c>
      <c r="O14" s="15">
        <f>310247-SUM(L14:N14)</f>
        <v>34545</v>
      </c>
      <c r="P14" s="15">
        <v>-12572</v>
      </c>
      <c r="Q14" s="15">
        <v>88962</v>
      </c>
      <c r="R14" s="15">
        <v>125084</v>
      </c>
      <c r="S14" s="15">
        <f>351029-SUM(P14:R14)</f>
        <v>149555</v>
      </c>
      <c r="T14" s="15">
        <v>161483</v>
      </c>
      <c r="U14" s="15">
        <v>99559</v>
      </c>
      <c r="V14" s="15">
        <v>154482</v>
      </c>
      <c r="W14" s="15">
        <f>560346-SUM(T14:V14)</f>
        <v>144822</v>
      </c>
      <c r="X14" s="15">
        <v>171069</v>
      </c>
      <c r="Y14" s="15">
        <v>133554</v>
      </c>
      <c r="Z14" s="15">
        <v>170093</v>
      </c>
      <c r="AA14" s="15">
        <f>643063-SUM(X14:Z14)</f>
        <v>168347</v>
      </c>
      <c r="AB14" s="15">
        <v>193356</v>
      </c>
      <c r="AC14" s="15">
        <v>185174</v>
      </c>
      <c r="AD14" s="15">
        <v>217651</v>
      </c>
      <c r="AE14" s="15">
        <f>AA14*1.1</f>
        <v>185181.7</v>
      </c>
      <c r="AK14" s="15">
        <f>SUM(D14:G14)</f>
        <v>0</v>
      </c>
      <c r="AL14" s="15">
        <f>SUM(H14:K14)</f>
        <v>-341054</v>
      </c>
      <c r="AM14" s="15">
        <f>SUM(L14:O14)</f>
        <v>310247</v>
      </c>
      <c r="AN14" s="15">
        <f>SUM(P14:S14)</f>
        <v>351029</v>
      </c>
      <c r="AO14" s="15">
        <f>SUM(T14:W14)</f>
        <v>560346</v>
      </c>
      <c r="AP14" s="15">
        <f>SUM(X14:AA14)</f>
        <v>643063</v>
      </c>
      <c r="AQ14" s="15">
        <f t="shared" si="40"/>
        <v>781362.7</v>
      </c>
      <c r="AR14" s="15">
        <f t="shared" si="42"/>
        <v>859498.97</v>
      </c>
      <c r="AS14" s="15">
        <f t="shared" ref="AS14:AW14" si="44">AR14*1.05</f>
        <v>902473.91850000003</v>
      </c>
      <c r="AT14" s="15">
        <f t="shared" si="44"/>
        <v>947597.61442500004</v>
      </c>
      <c r="AU14" s="15">
        <f t="shared" si="44"/>
        <v>994977.49514625012</v>
      </c>
      <c r="AV14" s="15">
        <f t="shared" si="44"/>
        <v>1044726.3699035627</v>
      </c>
      <c r="AW14" s="15">
        <f t="shared" si="44"/>
        <v>1096962.688398741</v>
      </c>
    </row>
    <row r="15" spans="1:49" x14ac:dyDescent="0.25">
      <c r="C15" s="14" t="s">
        <v>34</v>
      </c>
      <c r="D15" s="15">
        <v>0</v>
      </c>
      <c r="E15" s="15">
        <v>0</v>
      </c>
      <c r="F15" s="15">
        <v>0</v>
      </c>
      <c r="G15" s="15">
        <v>0</v>
      </c>
      <c r="H15" s="15">
        <v>0</v>
      </c>
      <c r="I15" s="15">
        <v>0</v>
      </c>
      <c r="J15" s="15">
        <v>0</v>
      </c>
      <c r="K15" s="15">
        <v>0</v>
      </c>
      <c r="L15" s="15">
        <f>77551-9842</f>
        <v>67709</v>
      </c>
      <c r="M15" s="15">
        <f>64152-12707</f>
        <v>51445</v>
      </c>
      <c r="N15" s="15">
        <f>61093-11851</f>
        <v>49242</v>
      </c>
      <c r="O15" s="15">
        <f>((305846-47155)-SUM(L15:N15))</f>
        <v>90295</v>
      </c>
      <c r="P15" s="15">
        <f>114789-10012</f>
        <v>104777</v>
      </c>
      <c r="Q15" s="15">
        <f>53185-13225</f>
        <v>39960</v>
      </c>
      <c r="R15" s="15">
        <f>52879-9859</f>
        <v>43020</v>
      </c>
      <c r="S15" s="15">
        <f>((435229-47537)-SUM(P15:R15))</f>
        <v>199935</v>
      </c>
      <c r="T15" s="15">
        <f>72065-7484</f>
        <v>64581</v>
      </c>
      <c r="U15" s="15">
        <f>43808-8875</f>
        <v>34933</v>
      </c>
      <c r="V15" s="15">
        <f>136542-9193</f>
        <v>127349</v>
      </c>
      <c r="W15" s="15">
        <f>((334760-43997)-SUM(T15:V15))</f>
        <v>63900</v>
      </c>
      <c r="X15" s="15">
        <f>125793-19362</f>
        <v>106431</v>
      </c>
      <c r="Y15" s="15">
        <f>71561-50988</f>
        <v>20573</v>
      </c>
      <c r="Z15" s="15">
        <f>110164-37963</f>
        <v>72201</v>
      </c>
      <c r="AA15" s="15">
        <f>((379350-125113)-SUM(X15:Z15))</f>
        <v>55032</v>
      </c>
      <c r="AB15" s="15">
        <f>190127-23339</f>
        <v>166788</v>
      </c>
      <c r="AC15" s="15">
        <f>147813-20961</f>
        <v>126852</v>
      </c>
      <c r="AD15" s="15">
        <f>206364-34452</f>
        <v>171912</v>
      </c>
      <c r="AE15" s="15">
        <f t="shared" ref="AE15:AE17" si="45">AA15*1.1</f>
        <v>60535.200000000004</v>
      </c>
      <c r="AK15" s="15">
        <f>SUM(D15:G15)</f>
        <v>0</v>
      </c>
      <c r="AL15" s="15">
        <f>SUM(H15:K15)</f>
        <v>0</v>
      </c>
      <c r="AM15" s="15">
        <f>SUM(L15:O15)</f>
        <v>258691</v>
      </c>
      <c r="AN15" s="15">
        <f>SUM(P15:S15)</f>
        <v>387692</v>
      </c>
      <c r="AO15" s="15">
        <f>SUM(T15:W15)</f>
        <v>290763</v>
      </c>
      <c r="AP15" s="15">
        <f>SUM(X15:AA15)</f>
        <v>254237</v>
      </c>
      <c r="AQ15" s="15">
        <f t="shared" si="40"/>
        <v>526087.19999999995</v>
      </c>
      <c r="AR15" s="15">
        <f t="shared" si="42"/>
        <v>578695.92000000004</v>
      </c>
      <c r="AS15" s="15">
        <f t="shared" ref="AS15:AW15" si="46">AR15*1.05</f>
        <v>607630.71600000001</v>
      </c>
      <c r="AT15" s="15">
        <f t="shared" si="46"/>
        <v>638012.25180000009</v>
      </c>
      <c r="AU15" s="15">
        <f t="shared" si="46"/>
        <v>669912.86439000012</v>
      </c>
      <c r="AV15" s="15">
        <f t="shared" si="46"/>
        <v>703408.5076095002</v>
      </c>
      <c r="AW15" s="15">
        <f t="shared" si="46"/>
        <v>738578.9329899752</v>
      </c>
    </row>
    <row r="16" spans="1:49" x14ac:dyDescent="0.25">
      <c r="C16" s="14" t="s">
        <v>35</v>
      </c>
      <c r="D16" s="15">
        <v>22791</v>
      </c>
      <c r="E16" s="15">
        <v>31028</v>
      </c>
      <c r="F16" s="15">
        <v>19936</v>
      </c>
      <c r="G16" s="15">
        <f>22664-SUM(D16:F16)</f>
        <v>-51091</v>
      </c>
      <c r="H16" s="15">
        <v>39216</v>
      </c>
      <c r="I16" s="15">
        <v>25568</v>
      </c>
      <c r="J16" s="15">
        <v>-52012</v>
      </c>
      <c r="K16" s="15">
        <f>12400-SUM(H16:J16)</f>
        <v>-372</v>
      </c>
      <c r="L16" s="15">
        <v>-63060</v>
      </c>
      <c r="M16" s="15">
        <v>-20252</v>
      </c>
      <c r="N16" s="15">
        <v>26326</v>
      </c>
      <c r="O16" s="15">
        <f>-94619-SUM(L16:N16)</f>
        <v>-37633</v>
      </c>
      <c r="P16" s="15">
        <v>8510</v>
      </c>
      <c r="Q16" s="15">
        <v>-20695</v>
      </c>
      <c r="R16" s="15">
        <v>-622</v>
      </c>
      <c r="S16" s="15">
        <f>15142-SUM(P16:R16)</f>
        <v>27949</v>
      </c>
      <c r="T16" s="15">
        <v>25921</v>
      </c>
      <c r="U16" s="15">
        <v>17475</v>
      </c>
      <c r="V16" s="15">
        <v>47800</v>
      </c>
      <c r="W16" s="15">
        <f>216187-SUM(T16:V16)</f>
        <v>124991</v>
      </c>
      <c r="X16" s="15">
        <v>183259</v>
      </c>
      <c r="Y16" s="15">
        <v>108196</v>
      </c>
      <c r="Z16" s="15">
        <v>-163080</v>
      </c>
      <c r="AA16" s="15">
        <f>124516-SUM(X16:Z16)</f>
        <v>-3859</v>
      </c>
      <c r="AB16" s="15">
        <v>246776</v>
      </c>
      <c r="AC16" s="15">
        <v>52600</v>
      </c>
      <c r="AD16" s="15">
        <v>-244042</v>
      </c>
      <c r="AE16" s="15">
        <f t="shared" si="45"/>
        <v>-4244.9000000000005</v>
      </c>
      <c r="AK16" s="15">
        <f>SUM(D16:G16)</f>
        <v>22664</v>
      </c>
      <c r="AL16" s="15">
        <f>SUM(H16:K16)</f>
        <v>12400</v>
      </c>
      <c r="AM16" s="15">
        <f>SUM(L16:O16)</f>
        <v>-94619</v>
      </c>
      <c r="AN16" s="15">
        <f>SUM(P16:S16)</f>
        <v>15142</v>
      </c>
      <c r="AO16" s="15">
        <f>SUM(T16:W16)</f>
        <v>216187</v>
      </c>
      <c r="AP16" s="15">
        <f>SUM(X16:AA16)</f>
        <v>124516</v>
      </c>
      <c r="AQ16" s="15">
        <f t="shared" si="40"/>
        <v>51089.1</v>
      </c>
      <c r="AR16" s="15">
        <f t="shared" si="42"/>
        <v>56198.01</v>
      </c>
      <c r="AS16" s="15">
        <f t="shared" ref="AS16:AW16" si="47">AR16*1.05</f>
        <v>59007.910500000005</v>
      </c>
      <c r="AT16" s="15">
        <f t="shared" si="47"/>
        <v>61958.306025000005</v>
      </c>
      <c r="AU16" s="15">
        <f t="shared" si="47"/>
        <v>65056.221326250008</v>
      </c>
      <c r="AV16" s="15">
        <f t="shared" si="47"/>
        <v>68309.032392562513</v>
      </c>
      <c r="AW16" s="15">
        <f t="shared" si="47"/>
        <v>71724.484012190645</v>
      </c>
    </row>
    <row r="17" spans="1:1194" x14ac:dyDescent="0.25">
      <c r="C17" s="14" t="s">
        <v>36</v>
      </c>
      <c r="D17" s="15">
        <v>19891</v>
      </c>
      <c r="E17" s="15">
        <v>2701</v>
      </c>
      <c r="F17" s="15">
        <v>7968</v>
      </c>
      <c r="G17" s="15">
        <f>45948-SUM(D17:F17)</f>
        <v>15388</v>
      </c>
      <c r="H17" s="15">
        <v>-27521</v>
      </c>
      <c r="I17" s="15">
        <v>-11323</v>
      </c>
      <c r="J17" s="15">
        <v>-206</v>
      </c>
      <c r="K17" s="15">
        <f>-50843-SUM(H17:J17)</f>
        <v>-11793</v>
      </c>
      <c r="L17" s="15">
        <v>980</v>
      </c>
      <c r="M17" s="15">
        <v>-14087</v>
      </c>
      <c r="N17" s="15">
        <v>-19559</v>
      </c>
      <c r="O17" s="15">
        <f>-80607-SUM(L17:N17)</f>
        <v>-47941</v>
      </c>
      <c r="P17" s="15">
        <v>3599</v>
      </c>
      <c r="Q17" s="15">
        <v>-3706</v>
      </c>
      <c r="R17" s="15">
        <v>-14249</v>
      </c>
      <c r="S17" s="15">
        <f>-19257-SUM(P17:R17)</f>
        <v>-4901</v>
      </c>
      <c r="T17" s="15">
        <v>7746</v>
      </c>
      <c r="U17" s="15">
        <v>-15117</v>
      </c>
      <c r="V17" s="15">
        <v>-20495</v>
      </c>
      <c r="W17" s="15">
        <f>-72461-SUM(T17:V17)</f>
        <v>-44595</v>
      </c>
      <c r="X17" s="15">
        <v>-17667</v>
      </c>
      <c r="Y17" s="15">
        <v>-12583</v>
      </c>
      <c r="Z17" s="15">
        <v>-868</v>
      </c>
      <c r="AA17" s="15">
        <f>-78109-SUM(X17:Z17)</f>
        <v>-46991</v>
      </c>
      <c r="AB17" s="15">
        <v>-7267</v>
      </c>
      <c r="AC17" s="15">
        <v>-2047</v>
      </c>
      <c r="AD17" s="15">
        <v>9075</v>
      </c>
      <c r="AE17" s="15">
        <f t="shared" si="45"/>
        <v>-51690.100000000006</v>
      </c>
      <c r="AK17" s="15">
        <f>SUM(D17:G17)</f>
        <v>45948</v>
      </c>
      <c r="AL17" s="15">
        <f>SUM(H17:K17)</f>
        <v>-50843</v>
      </c>
      <c r="AM17" s="15">
        <f>SUM(L17:O17)</f>
        <v>-80607</v>
      </c>
      <c r="AN17" s="15">
        <f>SUM(P17:S17)</f>
        <v>-19257</v>
      </c>
      <c r="AO17" s="15">
        <f>SUM(T17:W17)</f>
        <v>-72461</v>
      </c>
      <c r="AP17" s="15">
        <f>SUM(X17:AA17)</f>
        <v>-78109</v>
      </c>
      <c r="AQ17" s="15">
        <f t="shared" si="40"/>
        <v>-51929.100000000006</v>
      </c>
      <c r="AR17" s="15">
        <f>AQ17*1.1</f>
        <v>-57122.010000000009</v>
      </c>
      <c r="AS17" s="15">
        <f t="shared" ref="AS17:AW17" si="48">AR17*1.05</f>
        <v>-59978.11050000001</v>
      </c>
      <c r="AT17" s="15">
        <f t="shared" si="48"/>
        <v>-62977.016025000012</v>
      </c>
      <c r="AU17" s="15">
        <f t="shared" si="48"/>
        <v>-66125.866826250014</v>
      </c>
      <c r="AV17" s="15">
        <f t="shared" si="48"/>
        <v>-69432.160167562513</v>
      </c>
      <c r="AW17" s="15">
        <f t="shared" si="48"/>
        <v>-72903.768175940641</v>
      </c>
    </row>
    <row r="18" spans="1:1194" s="20" customFormat="1" x14ac:dyDescent="0.25">
      <c r="A18" s="18"/>
      <c r="B18" s="18"/>
      <c r="C18" s="19" t="s">
        <v>37</v>
      </c>
      <c r="D18" s="20">
        <f t="shared" ref="D18:J18" si="49">D11+D12+D13+D14+D15+D16+D17</f>
        <v>679348</v>
      </c>
      <c r="E18" s="20">
        <f t="shared" si="49"/>
        <v>572825</v>
      </c>
      <c r="F18" s="20">
        <f t="shared" si="49"/>
        <v>750940</v>
      </c>
      <c r="G18" s="20">
        <f t="shared" si="49"/>
        <v>617316</v>
      </c>
      <c r="H18" s="20">
        <f t="shared" si="49"/>
        <v>813864</v>
      </c>
      <c r="I18" s="20">
        <f t="shared" si="49"/>
        <v>734945</v>
      </c>
      <c r="J18" s="20">
        <f t="shared" si="49"/>
        <v>176970</v>
      </c>
      <c r="K18" s="20">
        <f>K11+K12+K13+K14+K15+K16+K17</f>
        <v>559686</v>
      </c>
      <c r="L18" s="20">
        <f t="shared" ref="L18:AE18" si="50">L11+L12+L13+L14+L15+L16+L17</f>
        <v>850984</v>
      </c>
      <c r="M18" s="20">
        <f t="shared" si="50"/>
        <v>770835</v>
      </c>
      <c r="N18" s="20">
        <f t="shared" si="50"/>
        <v>771942</v>
      </c>
      <c r="O18" s="20">
        <f t="shared" si="50"/>
        <v>399182</v>
      </c>
      <c r="P18" s="20">
        <f t="shared" si="50"/>
        <v>118234</v>
      </c>
      <c r="Q18" s="20">
        <f t="shared" si="50"/>
        <v>610582</v>
      </c>
      <c r="R18" s="20">
        <f t="shared" si="50"/>
        <v>1141174</v>
      </c>
      <c r="S18" s="20">
        <f t="shared" si="50"/>
        <v>1062364</v>
      </c>
      <c r="T18" s="20">
        <f t="shared" si="50"/>
        <v>1257219</v>
      </c>
      <c r="U18" s="20">
        <f t="shared" si="50"/>
        <v>886825</v>
      </c>
      <c r="V18" s="20">
        <f t="shared" si="50"/>
        <v>1093507</v>
      </c>
      <c r="W18" s="20">
        <f t="shared" si="50"/>
        <v>752980</v>
      </c>
      <c r="X18" s="20">
        <f t="shared" si="50"/>
        <v>1021747</v>
      </c>
      <c r="Y18" s="20">
        <f t="shared" si="50"/>
        <v>812529</v>
      </c>
      <c r="Z18" s="20">
        <f t="shared" si="50"/>
        <v>1034998</v>
      </c>
      <c r="AA18" s="20">
        <f t="shared" si="50"/>
        <v>799459</v>
      </c>
      <c r="AB18" s="20">
        <f t="shared" si="50"/>
        <v>1720554</v>
      </c>
      <c r="AC18" s="20">
        <f t="shared" si="50"/>
        <v>1800972</v>
      </c>
      <c r="AD18" s="20">
        <f t="shared" si="50"/>
        <v>1835539</v>
      </c>
      <c r="AE18" s="20">
        <f t="shared" si="50"/>
        <v>817871.05999999912</v>
      </c>
      <c r="AK18" s="20">
        <f t="shared" ref="AK18" si="51">AK11+AK12+AK13+AK14+AK15+AK16+AK17</f>
        <v>2620429</v>
      </c>
      <c r="AL18" s="20">
        <f t="shared" ref="AL18" si="52">AL11+AL12+AL13+AL14+AL15+AL16+AL17</f>
        <v>2285465</v>
      </c>
      <c r="AM18" s="20">
        <f t="shared" ref="AM18" si="53">AM11+AM12+AM13+AM14+AM15+AM16+AM17</f>
        <v>2792943</v>
      </c>
      <c r="AN18" s="20">
        <f t="shared" ref="AN18" si="54">AN11+AN12+AN13+AN14+AN15+AN16+AN17</f>
        <v>2932354</v>
      </c>
      <c r="AO18" s="20">
        <f t="shared" ref="AO18" si="55">AO11+AO12+AO13+AO14+AO15+AO16+AO17</f>
        <v>3990531</v>
      </c>
      <c r="AP18" s="20">
        <f>AP11+AP12+AP13+AP14+AP15+AP16+AP17</f>
        <v>3668733</v>
      </c>
      <c r="AQ18" s="20">
        <f t="shared" ref="AQ18:AW18" si="56">AQ11+AQ12+AQ13+AQ14+AQ15+AQ16+AQ17</f>
        <v>6174936.059999994</v>
      </c>
      <c r="AR18" s="20">
        <f t="shared" si="56"/>
        <v>6981813.1934999963</v>
      </c>
      <c r="AS18" s="20">
        <f t="shared" si="56"/>
        <v>7592456.086090005</v>
      </c>
      <c r="AT18" s="20">
        <f t="shared" si="56"/>
        <v>8197530.7239792012</v>
      </c>
      <c r="AU18" s="20">
        <f t="shared" si="56"/>
        <v>8785624.8884528354</v>
      </c>
      <c r="AV18" s="20">
        <f t="shared" si="56"/>
        <v>9344840.5417544153</v>
      </c>
      <c r="AW18" s="20">
        <f t="shared" si="56"/>
        <v>9863234.7543336377</v>
      </c>
    </row>
    <row r="19" spans="1:1194" x14ac:dyDescent="0.25">
      <c r="C19" s="14" t="s">
        <v>38</v>
      </c>
      <c r="D19" s="15">
        <v>185398</v>
      </c>
      <c r="E19" s="15">
        <v>188849</v>
      </c>
      <c r="F19" s="15">
        <v>-95938</v>
      </c>
      <c r="G19" s="15">
        <f>504406-SUM(D19:F19)</f>
        <v>226097</v>
      </c>
      <c r="H19" s="15">
        <v>246163</v>
      </c>
      <c r="I19" s="15">
        <v>227428</v>
      </c>
      <c r="J19" s="15">
        <v>6148</v>
      </c>
      <c r="K19" s="15">
        <f>659944-SUM(H19:J19)</f>
        <v>180205</v>
      </c>
      <c r="L19" s="15">
        <v>219603</v>
      </c>
      <c r="M19" s="15">
        <v>218224</v>
      </c>
      <c r="N19" s="15">
        <v>185748</v>
      </c>
      <c r="O19" s="15">
        <f>681817-SUM(L19:N19)</f>
        <v>58242</v>
      </c>
      <c r="P19" s="15">
        <v>-31214</v>
      </c>
      <c r="Q19" s="15">
        <v>128841</v>
      </c>
      <c r="R19" s="15">
        <v>273666</v>
      </c>
      <c r="S19" s="15">
        <f>649976-SUM(P19:R19)</f>
        <v>278683</v>
      </c>
      <c r="T19" s="15">
        <v>330679</v>
      </c>
      <c r="U19" s="15">
        <v>248310</v>
      </c>
      <c r="V19" s="15">
        <v>274665</v>
      </c>
      <c r="W19" s="15">
        <f>1115918-SUM(T19:V19)</f>
        <v>262264</v>
      </c>
      <c r="X19" s="15">
        <v>263496</v>
      </c>
      <c r="Y19" s="15">
        <v>351225</v>
      </c>
      <c r="Z19" s="15">
        <v>290432</v>
      </c>
      <c r="AA19" s="15">
        <f>1175765-SUM(X19:Z19)</f>
        <v>270612</v>
      </c>
      <c r="AB19" s="15">
        <v>393663</v>
      </c>
      <c r="AC19" s="15">
        <v>480341</v>
      </c>
      <c r="AD19" s="15">
        <v>451437</v>
      </c>
      <c r="AE19" s="15">
        <f>AE18*0.32</f>
        <v>261718.73919999972</v>
      </c>
      <c r="AK19" s="15">
        <f>SUM(D19:G19)</f>
        <v>504406</v>
      </c>
      <c r="AL19" s="15">
        <f>SUM(H19:K19)</f>
        <v>659944</v>
      </c>
      <c r="AM19" s="15">
        <f>SUM(L19:O19)</f>
        <v>681817</v>
      </c>
      <c r="AN19" s="15">
        <f>SUM(P19:S19)</f>
        <v>649976</v>
      </c>
      <c r="AO19" s="15">
        <f>SUM(T19:W19)</f>
        <v>1115918</v>
      </c>
      <c r="AP19" s="15">
        <f>SUM(X19:AA19)</f>
        <v>1175765</v>
      </c>
      <c r="AQ19" s="15">
        <f t="shared" ref="AQ19:AQ20" si="57">SUM(AB19:AE19)</f>
        <v>1587159.7391999997</v>
      </c>
      <c r="AR19" s="15">
        <f>AVERAGE($AK$36:$AP$36)*AR18</f>
        <v>1800317.5263955211</v>
      </c>
      <c r="AS19" s="15">
        <f t="shared" ref="AS19:AW19" si="58">AVERAGE($AK$36:$AP$36)*AS18</f>
        <v>1957776.7810948787</v>
      </c>
      <c r="AT19" s="15">
        <f t="shared" si="58"/>
        <v>2113800.2158644446</v>
      </c>
      <c r="AU19" s="15">
        <f t="shared" si="58"/>
        <v>2265445.0969475573</v>
      </c>
      <c r="AV19" s="15">
        <f t="shared" si="58"/>
        <v>2409643.4181817672</v>
      </c>
      <c r="AW19" s="15">
        <f t="shared" si="58"/>
        <v>2543315.5976891262</v>
      </c>
    </row>
    <row r="20" spans="1:1194" x14ac:dyDescent="0.25">
      <c r="C20" s="14" t="s">
        <v>41</v>
      </c>
      <c r="D20" s="15">
        <v>137802</v>
      </c>
      <c r="E20" s="15">
        <v>97241</v>
      </c>
      <c r="F20" s="15">
        <v>123808</v>
      </c>
      <c r="G20" s="15">
        <f>470083-SUM(D20:F20)</f>
        <v>111232</v>
      </c>
      <c r="H20" s="15">
        <v>116535</v>
      </c>
      <c r="I20" s="15">
        <v>106052</v>
      </c>
      <c r="J20" s="15">
        <v>32278</v>
      </c>
      <c r="K20" s="15">
        <f>360066-SUM(H20:J20)</f>
        <v>105201</v>
      </c>
      <c r="L20" s="15">
        <v>0</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0</v>
      </c>
      <c r="AK20" s="15">
        <f>SUM(D20:G20)</f>
        <v>470083</v>
      </c>
      <c r="AL20" s="15">
        <f>SUM(H20:K20)</f>
        <v>360066</v>
      </c>
      <c r="AM20" s="15">
        <f>SUM(L20:O20)</f>
        <v>0</v>
      </c>
      <c r="AN20" s="15">
        <f>SUM(P20:S20)</f>
        <v>0</v>
      </c>
      <c r="AO20" s="15">
        <f>SUM(T20:W20)</f>
        <v>0</v>
      </c>
      <c r="AP20" s="15">
        <f>SUM(X20:AA20)</f>
        <v>0</v>
      </c>
      <c r="AQ20" s="15">
        <f t="shared" si="57"/>
        <v>0</v>
      </c>
      <c r="AR20" s="15">
        <v>0</v>
      </c>
      <c r="AS20" s="15">
        <v>0</v>
      </c>
      <c r="AT20" s="15">
        <v>0</v>
      </c>
      <c r="AU20" s="15">
        <v>0</v>
      </c>
      <c r="AV20" s="15">
        <v>0</v>
      </c>
      <c r="AW20" s="15">
        <v>0</v>
      </c>
    </row>
    <row r="21" spans="1:1194" s="20" customFormat="1" x14ac:dyDescent="0.25">
      <c r="A21" s="18"/>
      <c r="B21" s="18"/>
      <c r="C21" s="19" t="s">
        <v>39</v>
      </c>
      <c r="D21" s="20">
        <f t="shared" ref="D21" si="59">+D18-D19+D20</f>
        <v>631752</v>
      </c>
      <c r="E21" s="20">
        <f t="shared" ref="E21" si="60">+E18-E19+E20</f>
        <v>481217</v>
      </c>
      <c r="F21" s="20">
        <f t="shared" ref="F21" si="61">+F18-F19+F20</f>
        <v>970686</v>
      </c>
      <c r="G21" s="20">
        <f t="shared" ref="G21" si="62">+G18-G19+G20</f>
        <v>502451</v>
      </c>
      <c r="H21" s="20">
        <f t="shared" ref="H21" si="63">+H18-H19+H20</f>
        <v>684236</v>
      </c>
      <c r="I21" s="20">
        <f t="shared" ref="I21" si="64">+I18-I19+I20</f>
        <v>613569</v>
      </c>
      <c r="J21" s="20">
        <f t="shared" ref="J21" si="65">+J18-J19+J20</f>
        <v>203100</v>
      </c>
      <c r="K21" s="20">
        <f t="shared" ref="K21" si="66">+K18-K19+K20</f>
        <v>484682</v>
      </c>
      <c r="L21" s="20">
        <f t="shared" ref="L21" si="67">+L18-L19+L20</f>
        <v>631381</v>
      </c>
      <c r="M21" s="20">
        <f t="shared" ref="M21" si="68">+M18-M19+M20</f>
        <v>552611</v>
      </c>
      <c r="N21" s="20">
        <f t="shared" ref="N21" si="69">+N18-N19+N20</f>
        <v>586194</v>
      </c>
      <c r="O21" s="20">
        <f t="shared" ref="O21" si="70">+O18-O19+O20</f>
        <v>340940</v>
      </c>
      <c r="P21" s="20">
        <f t="shared" ref="P21" si="71">+P18-P19+P20</f>
        <v>149448</v>
      </c>
      <c r="Q21" s="20">
        <f t="shared" ref="Q21" si="72">+Q18-Q19+Q20</f>
        <v>481741</v>
      </c>
      <c r="R21" s="20">
        <f t="shared" ref="R21" si="73">+R18-R19+R20</f>
        <v>867508</v>
      </c>
      <c r="S21" s="20">
        <f t="shared" ref="S21" si="74">+S18-S19+S20</f>
        <v>783681</v>
      </c>
      <c r="T21" s="20">
        <f t="shared" ref="T21:AC21" si="75">+T18-T19+T20</f>
        <v>926540</v>
      </c>
      <c r="U21" s="20">
        <f t="shared" si="75"/>
        <v>638515</v>
      </c>
      <c r="V21" s="20">
        <f t="shared" si="75"/>
        <v>818842</v>
      </c>
      <c r="W21" s="20">
        <f t="shared" si="75"/>
        <v>490716</v>
      </c>
      <c r="X21" s="20">
        <f t="shared" si="75"/>
        <v>758251</v>
      </c>
      <c r="Y21" s="20">
        <f t="shared" si="75"/>
        <v>461304</v>
      </c>
      <c r="Z21" s="20">
        <f t="shared" si="75"/>
        <v>744566</v>
      </c>
      <c r="AA21" s="20">
        <f t="shared" si="75"/>
        <v>528847</v>
      </c>
      <c r="AB21" s="20">
        <f t="shared" si="75"/>
        <v>1326891</v>
      </c>
      <c r="AC21" s="20">
        <f t="shared" si="75"/>
        <v>1320631</v>
      </c>
      <c r="AD21" s="20">
        <f>+AD18-AD19+AD20</f>
        <v>1384102</v>
      </c>
      <c r="AE21" s="20">
        <f t="shared" ref="AE21" si="76">+AE18-AE19+AE20</f>
        <v>556152.3207999994</v>
      </c>
      <c r="AK21" s="20">
        <f t="shared" ref="AK21" si="77">+AK18-AK19+AK20</f>
        <v>2586106</v>
      </c>
      <c r="AL21" s="20">
        <f t="shared" ref="AL21" si="78">+AL18-AL19+AL20</f>
        <v>1985587</v>
      </c>
      <c r="AM21" s="20">
        <f t="shared" ref="AM21" si="79">+AM18-AM19+AM20</f>
        <v>2111126</v>
      </c>
      <c r="AN21" s="20">
        <f t="shared" ref="AN21" si="80">+AN18-AN19+AN20</f>
        <v>2282378</v>
      </c>
      <c r="AO21" s="20">
        <f t="shared" ref="AO21" si="81">+AO18-AO19+AO20</f>
        <v>2874613</v>
      </c>
      <c r="AP21" s="20">
        <f t="shared" ref="AP21" si="82">+AP18-AP19+AP20</f>
        <v>2492968</v>
      </c>
      <c r="AQ21" s="20">
        <f t="shared" ref="AQ21" si="83">+AQ18-AQ19+AQ20</f>
        <v>4587776.3207999943</v>
      </c>
      <c r="AR21" s="20">
        <f t="shared" ref="AR21" si="84">+AR18-AR19+AR20</f>
        <v>5181495.6671044752</v>
      </c>
      <c r="AS21" s="20">
        <f t="shared" ref="AS21" si="85">+AS18-AS19+AS20</f>
        <v>5634679.3049951261</v>
      </c>
      <c r="AT21" s="20">
        <f t="shared" ref="AT21" si="86">+AT18-AT19+AT20</f>
        <v>6083730.508114757</v>
      </c>
      <c r="AU21" s="20">
        <f t="shared" ref="AU21" si="87">+AU18-AU19+AU20</f>
        <v>6520179.7915052781</v>
      </c>
      <c r="AV21" s="20">
        <f t="shared" ref="AV21" si="88">+AV18-AV19+AV20</f>
        <v>6935197.1235726476</v>
      </c>
      <c r="AW21" s="20">
        <f t="shared" ref="AW21" si="89">+AW18-AW19+AW20</f>
        <v>7319919.156644512</v>
      </c>
      <c r="AX21" s="20">
        <f>AW21*(1+$BE$25)</f>
        <v>7246719.965078067</v>
      </c>
      <c r="AY21" s="20">
        <f t="shared" ref="AY21:DJ21" si="90">AX21*(1+$BE$25)</f>
        <v>7174252.7654272867</v>
      </c>
      <c r="AZ21" s="20">
        <f t="shared" si="90"/>
        <v>7102510.2377730142</v>
      </c>
      <c r="BA21" s="20">
        <f t="shared" si="90"/>
        <v>7031485.1353952838</v>
      </c>
      <c r="BB21" s="20">
        <f t="shared" si="90"/>
        <v>6961170.2840413311</v>
      </c>
      <c r="BC21" s="20">
        <f t="shared" si="90"/>
        <v>6891558.5812009182</v>
      </c>
      <c r="BD21" s="20">
        <f t="shared" si="90"/>
        <v>6822642.9953889092</v>
      </c>
      <c r="BE21" s="20">
        <f t="shared" si="90"/>
        <v>6754416.5654350203</v>
      </c>
      <c r="BF21" s="20">
        <f t="shared" si="90"/>
        <v>6686872.3997806702</v>
      </c>
      <c r="BG21" s="20">
        <f t="shared" si="90"/>
        <v>6620003.6757828631</v>
      </c>
      <c r="BH21" s="20">
        <f t="shared" si="90"/>
        <v>6553803.6390250344</v>
      </c>
      <c r="BI21" s="20">
        <f t="shared" si="90"/>
        <v>6488265.6026347838</v>
      </c>
      <c r="BJ21" s="20">
        <f t="shared" si="90"/>
        <v>6423382.9466084363</v>
      </c>
      <c r="BK21" s="20">
        <f t="shared" si="90"/>
        <v>6359149.1171423523</v>
      </c>
      <c r="BL21" s="20">
        <f t="shared" si="90"/>
        <v>6295557.6259709289</v>
      </c>
      <c r="BM21" s="20">
        <f t="shared" si="90"/>
        <v>6232602.04971122</v>
      </c>
      <c r="BN21" s="20">
        <f t="shared" si="90"/>
        <v>6170276.0292141074</v>
      </c>
      <c r="BO21" s="20">
        <f t="shared" si="90"/>
        <v>6108573.2689219667</v>
      </c>
      <c r="BP21" s="20">
        <f t="shared" si="90"/>
        <v>6047487.5362327471</v>
      </c>
      <c r="BQ21" s="20">
        <f t="shared" si="90"/>
        <v>5987012.6608704198</v>
      </c>
      <c r="BR21" s="20">
        <f t="shared" si="90"/>
        <v>5927142.5342617156</v>
      </c>
      <c r="BS21" s="20">
        <f t="shared" si="90"/>
        <v>5867871.108919098</v>
      </c>
      <c r="BT21" s="20">
        <f t="shared" si="90"/>
        <v>5809192.397829907</v>
      </c>
      <c r="BU21" s="20">
        <f t="shared" si="90"/>
        <v>5751100.4738516081</v>
      </c>
      <c r="BV21" s="20">
        <f t="shared" si="90"/>
        <v>5693589.4691130919</v>
      </c>
      <c r="BW21" s="20">
        <f t="shared" si="90"/>
        <v>5636653.5744219609</v>
      </c>
      <c r="BX21" s="20">
        <f t="shared" si="90"/>
        <v>5580287.0386777408</v>
      </c>
      <c r="BY21" s="20">
        <f t="shared" si="90"/>
        <v>5524484.1682909634</v>
      </c>
      <c r="BZ21" s="20">
        <f t="shared" si="90"/>
        <v>5469239.3266080534</v>
      </c>
      <c r="CA21" s="20">
        <f t="shared" si="90"/>
        <v>5414546.9333419725</v>
      </c>
      <c r="CB21" s="20">
        <f t="shared" si="90"/>
        <v>5360401.464008553</v>
      </c>
      <c r="CC21" s="20">
        <f t="shared" si="90"/>
        <v>5306797.4493684676</v>
      </c>
      <c r="CD21" s="20">
        <f t="shared" si="90"/>
        <v>5253729.4748747824</v>
      </c>
      <c r="CE21" s="20">
        <f t="shared" si="90"/>
        <v>5201192.1801260347</v>
      </c>
      <c r="CF21" s="20">
        <f t="shared" si="90"/>
        <v>5149180.258324774</v>
      </c>
      <c r="CG21" s="20">
        <f t="shared" si="90"/>
        <v>5097688.4557415266</v>
      </c>
      <c r="CH21" s="20">
        <f t="shared" si="90"/>
        <v>5046711.5711841108</v>
      </c>
      <c r="CI21" s="20">
        <f t="shared" si="90"/>
        <v>4996244.45547227</v>
      </c>
      <c r="CJ21" s="20">
        <f t="shared" si="90"/>
        <v>4946282.0109175472</v>
      </c>
      <c r="CK21" s="20">
        <f t="shared" si="90"/>
        <v>4896819.1908083716</v>
      </c>
      <c r="CL21" s="20">
        <f t="shared" si="90"/>
        <v>4847850.9989002878</v>
      </c>
      <c r="CM21" s="20">
        <f t="shared" si="90"/>
        <v>4799372.4889112851</v>
      </c>
      <c r="CN21" s="20">
        <f t="shared" si="90"/>
        <v>4751378.7640221724</v>
      </c>
      <c r="CO21" s="20">
        <f t="shared" si="90"/>
        <v>4703864.976381951</v>
      </c>
      <c r="CP21" s="20">
        <f t="shared" si="90"/>
        <v>4656826.3266181313</v>
      </c>
      <c r="CQ21" s="20">
        <f t="shared" si="90"/>
        <v>4610258.0633519497</v>
      </c>
      <c r="CR21" s="20">
        <f t="shared" si="90"/>
        <v>4564155.4827184305</v>
      </c>
      <c r="CS21" s="20">
        <f t="shared" si="90"/>
        <v>4518513.927891246</v>
      </c>
      <c r="CT21" s="20">
        <f t="shared" si="90"/>
        <v>4473328.7886123331</v>
      </c>
      <c r="CU21" s="20">
        <f t="shared" si="90"/>
        <v>4428595.50072621</v>
      </c>
      <c r="CV21" s="20">
        <f t="shared" si="90"/>
        <v>4384309.5457189474</v>
      </c>
      <c r="CW21" s="20">
        <f t="shared" si="90"/>
        <v>4340466.4502617577</v>
      </c>
      <c r="CX21" s="20">
        <f t="shared" si="90"/>
        <v>4297061.7857591398</v>
      </c>
      <c r="CY21" s="20">
        <f t="shared" si="90"/>
        <v>4254091.1679015486</v>
      </c>
      <c r="CZ21" s="20">
        <f t="shared" si="90"/>
        <v>4211550.2562225331</v>
      </c>
      <c r="DA21" s="20">
        <f t="shared" si="90"/>
        <v>4169434.7536603077</v>
      </c>
      <c r="DB21" s="20">
        <f t="shared" si="90"/>
        <v>4127740.4061237047</v>
      </c>
      <c r="DC21" s="20">
        <f t="shared" si="90"/>
        <v>4086463.0020624679</v>
      </c>
      <c r="DD21" s="20">
        <f t="shared" si="90"/>
        <v>4045598.3720418434</v>
      </c>
      <c r="DE21" s="20">
        <f t="shared" si="90"/>
        <v>4005142.3883214248</v>
      </c>
      <c r="DF21" s="20">
        <f t="shared" si="90"/>
        <v>3965090.9644382107</v>
      </c>
      <c r="DG21" s="20">
        <f t="shared" si="90"/>
        <v>3925440.0547938286</v>
      </c>
      <c r="DH21" s="20">
        <f t="shared" si="90"/>
        <v>3886185.6542458902</v>
      </c>
      <c r="DI21" s="20">
        <f t="shared" si="90"/>
        <v>3847323.7977034315</v>
      </c>
      <c r="DJ21" s="20">
        <f t="shared" si="90"/>
        <v>3808850.559726397</v>
      </c>
      <c r="DK21" s="20">
        <f t="shared" ref="DK21:FV21" si="91">DJ21*(1+$BE$25)</f>
        <v>3770762.054129133</v>
      </c>
      <c r="DL21" s="20">
        <f t="shared" si="91"/>
        <v>3733054.4335878417</v>
      </c>
      <c r="DM21" s="20">
        <f t="shared" si="91"/>
        <v>3695723.8892519632</v>
      </c>
      <c r="DN21" s="20">
        <f t="shared" si="91"/>
        <v>3658766.6503594434</v>
      </c>
      <c r="DO21" s="20">
        <f t="shared" si="91"/>
        <v>3622178.9838558491</v>
      </c>
      <c r="DP21" s="20">
        <f t="shared" si="91"/>
        <v>3585957.1940172906</v>
      </c>
      <c r="DQ21" s="20">
        <f t="shared" si="91"/>
        <v>3550097.6220771177</v>
      </c>
      <c r="DR21" s="20">
        <f t="shared" si="91"/>
        <v>3514596.6458563465</v>
      </c>
      <c r="DS21" s="20">
        <f t="shared" si="91"/>
        <v>3479450.6793977828</v>
      </c>
      <c r="DT21" s="20">
        <f t="shared" si="91"/>
        <v>3444656.1726038051</v>
      </c>
      <c r="DU21" s="20">
        <f t="shared" si="91"/>
        <v>3410209.6108777672</v>
      </c>
      <c r="DV21" s="20">
        <f t="shared" si="91"/>
        <v>3376107.5147689893</v>
      </c>
      <c r="DW21" s="20">
        <f t="shared" si="91"/>
        <v>3342346.4396212995</v>
      </c>
      <c r="DX21" s="20">
        <f t="shared" si="91"/>
        <v>3308922.9752250863</v>
      </c>
      <c r="DY21" s="20">
        <f t="shared" si="91"/>
        <v>3275833.7454728354</v>
      </c>
      <c r="DZ21" s="20">
        <f t="shared" si="91"/>
        <v>3243075.4080181071</v>
      </c>
      <c r="EA21" s="20">
        <f t="shared" si="91"/>
        <v>3210644.6539379261</v>
      </c>
      <c r="EB21" s="20">
        <f t="shared" si="91"/>
        <v>3178538.2073985469</v>
      </c>
      <c r="EC21" s="20">
        <f t="shared" si="91"/>
        <v>3146752.8253245614</v>
      </c>
      <c r="ED21" s="20">
        <f t="shared" si="91"/>
        <v>3115285.2970713158</v>
      </c>
      <c r="EE21" s="20">
        <f t="shared" si="91"/>
        <v>3084132.4441006025</v>
      </c>
      <c r="EF21" s="20">
        <f t="shared" si="91"/>
        <v>3053291.1196595966</v>
      </c>
      <c r="EG21" s="20">
        <f t="shared" si="91"/>
        <v>3022758.2084630006</v>
      </c>
      <c r="EH21" s="20">
        <f t="shared" si="91"/>
        <v>2992530.6263783704</v>
      </c>
      <c r="EI21" s="20">
        <f t="shared" si="91"/>
        <v>2962605.3201145865</v>
      </c>
      <c r="EJ21" s="20">
        <f t="shared" si="91"/>
        <v>2932979.2669134405</v>
      </c>
      <c r="EK21" s="20">
        <f t="shared" si="91"/>
        <v>2903649.4742443063</v>
      </c>
      <c r="EL21" s="20">
        <f t="shared" si="91"/>
        <v>2874612.979501863</v>
      </c>
      <c r="EM21" s="20">
        <f t="shared" si="91"/>
        <v>2845866.8497068444</v>
      </c>
      <c r="EN21" s="20">
        <f t="shared" si="91"/>
        <v>2817408.1812097761</v>
      </c>
      <c r="EO21" s="20">
        <f t="shared" si="91"/>
        <v>2789234.0993976784</v>
      </c>
      <c r="EP21" s="20">
        <f t="shared" si="91"/>
        <v>2761341.7584037017</v>
      </c>
      <c r="EQ21" s="20">
        <f t="shared" si="91"/>
        <v>2733728.3408196648</v>
      </c>
      <c r="ER21" s="20">
        <f t="shared" si="91"/>
        <v>2706391.0574114681</v>
      </c>
      <c r="ES21" s="20">
        <f t="shared" si="91"/>
        <v>2679327.1468373532</v>
      </c>
      <c r="ET21" s="20">
        <f t="shared" si="91"/>
        <v>2652533.8753689798</v>
      </c>
      <c r="EU21" s="20">
        <f t="shared" si="91"/>
        <v>2626008.5366152897</v>
      </c>
      <c r="EV21" s="20">
        <f t="shared" si="91"/>
        <v>2599748.4512491371</v>
      </c>
      <c r="EW21" s="20">
        <f t="shared" si="91"/>
        <v>2573750.9667366454</v>
      </c>
      <c r="EX21" s="20">
        <f t="shared" si="91"/>
        <v>2548013.4570692792</v>
      </c>
      <c r="EY21" s="20">
        <f t="shared" si="91"/>
        <v>2522533.3224985865</v>
      </c>
      <c r="EZ21" s="20">
        <f t="shared" si="91"/>
        <v>2497307.9892736007</v>
      </c>
      <c r="FA21" s="20">
        <f t="shared" si="91"/>
        <v>2472334.9093808648</v>
      </c>
      <c r="FB21" s="20">
        <f t="shared" si="91"/>
        <v>2447611.560287056</v>
      </c>
      <c r="FC21" s="20">
        <f t="shared" si="91"/>
        <v>2423135.4446841856</v>
      </c>
      <c r="FD21" s="20">
        <f t="shared" si="91"/>
        <v>2398904.0902373437</v>
      </c>
      <c r="FE21" s="20">
        <f t="shared" si="91"/>
        <v>2374915.0493349703</v>
      </c>
      <c r="FF21" s="20">
        <f t="shared" si="91"/>
        <v>2351165.8988416204</v>
      </c>
      <c r="FG21" s="20">
        <f t="shared" si="91"/>
        <v>2327654.2398532042</v>
      </c>
      <c r="FH21" s="20">
        <f t="shared" si="91"/>
        <v>2304377.6974546723</v>
      </c>
      <c r="FI21" s="20">
        <f t="shared" si="91"/>
        <v>2281333.9204801256</v>
      </c>
      <c r="FJ21" s="20">
        <f t="shared" si="91"/>
        <v>2258520.5812753243</v>
      </c>
      <c r="FK21" s="20">
        <f t="shared" si="91"/>
        <v>2235935.3754625712</v>
      </c>
      <c r="FL21" s="20">
        <f t="shared" si="91"/>
        <v>2213576.0217079455</v>
      </c>
      <c r="FM21" s="20">
        <f t="shared" si="91"/>
        <v>2191440.2614908661</v>
      </c>
      <c r="FN21" s="20">
        <f t="shared" si="91"/>
        <v>2169525.8588759573</v>
      </c>
      <c r="FO21" s="20">
        <f t="shared" si="91"/>
        <v>2147830.6002871976</v>
      </c>
      <c r="FP21" s="20">
        <f t="shared" si="91"/>
        <v>2126352.2942843256</v>
      </c>
      <c r="FQ21" s="20">
        <f t="shared" si="91"/>
        <v>2105088.7713414822</v>
      </c>
      <c r="FR21" s="20">
        <f t="shared" si="91"/>
        <v>2084037.8836280673</v>
      </c>
      <c r="FS21" s="20">
        <f t="shared" si="91"/>
        <v>2063197.5047917867</v>
      </c>
      <c r="FT21" s="20">
        <f t="shared" si="91"/>
        <v>2042565.5297438689</v>
      </c>
      <c r="FU21" s="20">
        <f t="shared" si="91"/>
        <v>2022139.8744464302</v>
      </c>
      <c r="FV21" s="20">
        <f t="shared" si="91"/>
        <v>2001918.4757019659</v>
      </c>
      <c r="FW21" s="20">
        <f t="shared" ref="FW21:IH21" si="92">FV21*(1+$BE$25)</f>
        <v>1981899.2909449462</v>
      </c>
      <c r="FX21" s="20">
        <f t="shared" si="92"/>
        <v>1962080.2980354968</v>
      </c>
      <c r="FY21" s="20">
        <f t="shared" si="92"/>
        <v>1942459.4950551419</v>
      </c>
      <c r="FZ21" s="20">
        <f t="shared" si="92"/>
        <v>1923034.9001045905</v>
      </c>
      <c r="GA21" s="20">
        <f t="shared" si="92"/>
        <v>1903804.5511035444</v>
      </c>
      <c r="GB21" s="20">
        <f t="shared" si="92"/>
        <v>1884766.5055925089</v>
      </c>
      <c r="GC21" s="20">
        <f t="shared" si="92"/>
        <v>1865918.8405365839</v>
      </c>
      <c r="GD21" s="20">
        <f t="shared" si="92"/>
        <v>1847259.652131218</v>
      </c>
      <c r="GE21" s="20">
        <f t="shared" si="92"/>
        <v>1828787.0556099059</v>
      </c>
      <c r="GF21" s="20">
        <f t="shared" si="92"/>
        <v>1810499.1850538068</v>
      </c>
      <c r="GG21" s="20">
        <f t="shared" si="92"/>
        <v>1792394.1932032686</v>
      </c>
      <c r="GH21" s="20">
        <f t="shared" si="92"/>
        <v>1774470.2512712358</v>
      </c>
      <c r="GI21" s="20">
        <f t="shared" si="92"/>
        <v>1756725.5487585233</v>
      </c>
      <c r="GJ21" s="20">
        <f t="shared" si="92"/>
        <v>1739158.2932709381</v>
      </c>
      <c r="GK21" s="20">
        <f t="shared" si="92"/>
        <v>1721766.7103382286</v>
      </c>
      <c r="GL21" s="20">
        <f t="shared" si="92"/>
        <v>1704549.0432348463</v>
      </c>
      <c r="GM21" s="20">
        <f t="shared" si="92"/>
        <v>1687503.5528024978</v>
      </c>
      <c r="GN21" s="20">
        <f t="shared" si="92"/>
        <v>1670628.5172744729</v>
      </c>
      <c r="GO21" s="20">
        <f t="shared" si="92"/>
        <v>1653922.2321017282</v>
      </c>
      <c r="GP21" s="20">
        <f t="shared" si="92"/>
        <v>1637383.0097807108</v>
      </c>
      <c r="GQ21" s="20">
        <f t="shared" si="92"/>
        <v>1621009.1796829037</v>
      </c>
      <c r="GR21" s="20">
        <f t="shared" si="92"/>
        <v>1604799.0878860746</v>
      </c>
      <c r="GS21" s="20">
        <f t="shared" si="92"/>
        <v>1588751.0970072139</v>
      </c>
      <c r="GT21" s="20">
        <f t="shared" si="92"/>
        <v>1572863.5860371417</v>
      </c>
      <c r="GU21" s="20">
        <f t="shared" si="92"/>
        <v>1557134.9501767703</v>
      </c>
      <c r="GV21" s="20">
        <f t="shared" si="92"/>
        <v>1541563.6006750027</v>
      </c>
      <c r="GW21" s="20">
        <f t="shared" si="92"/>
        <v>1526147.9646682527</v>
      </c>
      <c r="GX21" s="20">
        <f t="shared" si="92"/>
        <v>1510886.4850215702</v>
      </c>
      <c r="GY21" s="20">
        <f t="shared" si="92"/>
        <v>1495777.6201713546</v>
      </c>
      <c r="GZ21" s="20">
        <f t="shared" si="92"/>
        <v>1480819.843969641</v>
      </c>
      <c r="HA21" s="20">
        <f t="shared" si="92"/>
        <v>1466011.6455299447</v>
      </c>
      <c r="HB21" s="20">
        <f t="shared" si="92"/>
        <v>1451351.5290746451</v>
      </c>
      <c r="HC21" s="20">
        <f t="shared" si="92"/>
        <v>1436838.0137838987</v>
      </c>
      <c r="HD21" s="20">
        <f t="shared" si="92"/>
        <v>1422469.6336460598</v>
      </c>
      <c r="HE21" s="20">
        <f t="shared" si="92"/>
        <v>1408244.9373095992</v>
      </c>
      <c r="HF21" s="20">
        <f t="shared" si="92"/>
        <v>1394162.4879365033</v>
      </c>
      <c r="HG21" s="20">
        <f t="shared" si="92"/>
        <v>1380220.8630571382</v>
      </c>
      <c r="HH21" s="20">
        <f t="shared" si="92"/>
        <v>1366418.6544265668</v>
      </c>
      <c r="HI21" s="20">
        <f t="shared" si="92"/>
        <v>1352754.4678823012</v>
      </c>
      <c r="HJ21" s="20">
        <f t="shared" si="92"/>
        <v>1339226.9232034781</v>
      </c>
      <c r="HK21" s="20">
        <f t="shared" si="92"/>
        <v>1325834.6539714434</v>
      </c>
      <c r="HL21" s="20">
        <f t="shared" si="92"/>
        <v>1312576.307431729</v>
      </c>
      <c r="HM21" s="20">
        <f t="shared" si="92"/>
        <v>1299450.5443574118</v>
      </c>
      <c r="HN21" s="20">
        <f t="shared" si="92"/>
        <v>1286456.0389138376</v>
      </c>
      <c r="HO21" s="20">
        <f t="shared" si="92"/>
        <v>1273591.4785246993</v>
      </c>
      <c r="HP21" s="20">
        <f t="shared" si="92"/>
        <v>1260855.5637394523</v>
      </c>
      <c r="HQ21" s="20">
        <f t="shared" si="92"/>
        <v>1248247.0081020577</v>
      </c>
      <c r="HR21" s="20">
        <f t="shared" si="92"/>
        <v>1235764.5380210371</v>
      </c>
      <c r="HS21" s="20">
        <f t="shared" si="92"/>
        <v>1223406.8926408268</v>
      </c>
      <c r="HT21" s="20">
        <f t="shared" si="92"/>
        <v>1211172.8237144186</v>
      </c>
      <c r="HU21" s="20">
        <f t="shared" si="92"/>
        <v>1199061.0954772744</v>
      </c>
      <c r="HV21" s="20">
        <f t="shared" si="92"/>
        <v>1187070.4845225017</v>
      </c>
      <c r="HW21" s="20">
        <f t="shared" si="92"/>
        <v>1175199.7796772767</v>
      </c>
      <c r="HX21" s="20">
        <f t="shared" si="92"/>
        <v>1163447.781880504</v>
      </c>
      <c r="HY21" s="20">
        <f t="shared" si="92"/>
        <v>1151813.304061699</v>
      </c>
      <c r="HZ21" s="20">
        <f t="shared" si="92"/>
        <v>1140295.171021082</v>
      </c>
      <c r="IA21" s="20">
        <f t="shared" si="92"/>
        <v>1128892.2193108711</v>
      </c>
      <c r="IB21" s="20">
        <f t="shared" si="92"/>
        <v>1117603.2971177623</v>
      </c>
      <c r="IC21" s="20">
        <f t="shared" si="92"/>
        <v>1106427.2641465846</v>
      </c>
      <c r="ID21" s="20">
        <f t="shared" si="92"/>
        <v>1095362.9915051188</v>
      </c>
      <c r="IE21" s="20">
        <f t="shared" si="92"/>
        <v>1084409.3615900676</v>
      </c>
      <c r="IF21" s="20">
        <f t="shared" si="92"/>
        <v>1073565.2679741669</v>
      </c>
      <c r="IG21" s="20">
        <f t="shared" si="92"/>
        <v>1062829.6152944253</v>
      </c>
      <c r="IH21" s="20">
        <f t="shared" si="92"/>
        <v>1052201.3191414811</v>
      </c>
      <c r="II21" s="20">
        <f t="shared" ref="II21:KT21" si="93">IH21*(1+$BE$25)</f>
        <v>1041679.3059500663</v>
      </c>
      <c r="IJ21" s="20">
        <f t="shared" si="93"/>
        <v>1031262.5128905657</v>
      </c>
      <c r="IK21" s="20">
        <f t="shared" si="93"/>
        <v>1020949.88776166</v>
      </c>
      <c r="IL21" s="20">
        <f t="shared" si="93"/>
        <v>1010740.3888840434</v>
      </c>
      <c r="IM21" s="20">
        <f t="shared" si="93"/>
        <v>1000632.984995203</v>
      </c>
      <c r="IN21" s="20">
        <f t="shared" si="93"/>
        <v>990626.65514525096</v>
      </c>
      <c r="IO21" s="20">
        <f t="shared" si="93"/>
        <v>980720.38859379839</v>
      </c>
      <c r="IP21" s="20">
        <f t="shared" si="93"/>
        <v>970913.18470786035</v>
      </c>
      <c r="IQ21" s="20">
        <f t="shared" si="93"/>
        <v>961204.05286078178</v>
      </c>
      <c r="IR21" s="20">
        <f t="shared" si="93"/>
        <v>951592.012332174</v>
      </c>
      <c r="IS21" s="20">
        <f t="shared" si="93"/>
        <v>942076.09220885229</v>
      </c>
      <c r="IT21" s="20">
        <f t="shared" si="93"/>
        <v>932655.33128676377</v>
      </c>
      <c r="IU21" s="20">
        <f t="shared" si="93"/>
        <v>923328.77797389613</v>
      </c>
      <c r="IV21" s="20">
        <f t="shared" si="93"/>
        <v>914095.49019415712</v>
      </c>
      <c r="IW21" s="20">
        <f t="shared" si="93"/>
        <v>904954.53529221553</v>
      </c>
      <c r="IX21" s="20">
        <f t="shared" si="93"/>
        <v>895904.98993929336</v>
      </c>
      <c r="IY21" s="20">
        <f t="shared" si="93"/>
        <v>886945.94003990036</v>
      </c>
      <c r="IZ21" s="20">
        <f t="shared" si="93"/>
        <v>878076.48063950136</v>
      </c>
      <c r="JA21" s="20">
        <f t="shared" si="93"/>
        <v>869295.71583310631</v>
      </c>
      <c r="JB21" s="20">
        <f t="shared" si="93"/>
        <v>860602.75867477525</v>
      </c>
      <c r="JC21" s="20">
        <f t="shared" si="93"/>
        <v>851996.73108802747</v>
      </c>
      <c r="JD21" s="20">
        <f t="shared" si="93"/>
        <v>843476.76377714716</v>
      </c>
      <c r="JE21" s="20">
        <f t="shared" si="93"/>
        <v>835041.99613937573</v>
      </c>
      <c r="JF21" s="20">
        <f t="shared" si="93"/>
        <v>826691.57617798191</v>
      </c>
      <c r="JG21" s="20">
        <f t="shared" si="93"/>
        <v>818424.66041620204</v>
      </c>
      <c r="JH21" s="20">
        <f t="shared" si="93"/>
        <v>810240.41381204</v>
      </c>
      <c r="JI21" s="20">
        <f t="shared" si="93"/>
        <v>802138.00967391965</v>
      </c>
      <c r="JJ21" s="20">
        <f t="shared" si="93"/>
        <v>794116.62957718049</v>
      </c>
      <c r="JK21" s="20">
        <f t="shared" si="93"/>
        <v>786175.46328140865</v>
      </c>
      <c r="JL21" s="20">
        <f t="shared" si="93"/>
        <v>778313.70864859456</v>
      </c>
      <c r="JM21" s="20">
        <f t="shared" si="93"/>
        <v>770530.57156210858</v>
      </c>
      <c r="JN21" s="20">
        <f t="shared" si="93"/>
        <v>762825.26584648748</v>
      </c>
      <c r="JO21" s="20">
        <f t="shared" si="93"/>
        <v>755197.01318802265</v>
      </c>
      <c r="JP21" s="20">
        <f t="shared" si="93"/>
        <v>747645.0430561424</v>
      </c>
      <c r="JQ21" s="20">
        <f t="shared" si="93"/>
        <v>740168.59262558096</v>
      </c>
      <c r="JR21" s="20">
        <f t="shared" si="93"/>
        <v>732766.90669932519</v>
      </c>
      <c r="JS21" s="20">
        <f t="shared" si="93"/>
        <v>725439.2376323319</v>
      </c>
      <c r="JT21" s="20">
        <f t="shared" si="93"/>
        <v>718184.84525600856</v>
      </c>
      <c r="JU21" s="20">
        <f t="shared" si="93"/>
        <v>711002.99680344842</v>
      </c>
      <c r="JV21" s="20">
        <f t="shared" si="93"/>
        <v>703892.96683541394</v>
      </c>
      <c r="JW21" s="20">
        <f t="shared" si="93"/>
        <v>696854.03716705984</v>
      </c>
      <c r="JX21" s="20">
        <f t="shared" si="93"/>
        <v>689885.49679538922</v>
      </c>
      <c r="JY21" s="20">
        <f t="shared" si="93"/>
        <v>682986.64182743535</v>
      </c>
      <c r="JZ21" s="20">
        <f t="shared" si="93"/>
        <v>676156.775409161</v>
      </c>
      <c r="KA21" s="20">
        <f t="shared" si="93"/>
        <v>669395.20765506942</v>
      </c>
      <c r="KB21" s="20">
        <f t="shared" si="93"/>
        <v>662701.25557851873</v>
      </c>
      <c r="KC21" s="20">
        <f t="shared" si="93"/>
        <v>656074.24302273348</v>
      </c>
      <c r="KD21" s="20">
        <f t="shared" si="93"/>
        <v>649513.50059250614</v>
      </c>
      <c r="KE21" s="20">
        <f t="shared" si="93"/>
        <v>643018.36558658106</v>
      </c>
      <c r="KF21" s="20">
        <f t="shared" si="93"/>
        <v>636588.18193071522</v>
      </c>
      <c r="KG21" s="20">
        <f t="shared" si="93"/>
        <v>630222.30011140811</v>
      </c>
      <c r="KH21" s="20">
        <f t="shared" si="93"/>
        <v>623920.07711029402</v>
      </c>
      <c r="KI21" s="20">
        <f t="shared" si="93"/>
        <v>617680.87633919111</v>
      </c>
      <c r="KJ21" s="20">
        <f t="shared" si="93"/>
        <v>611504.06757579918</v>
      </c>
      <c r="KK21" s="20">
        <f t="shared" si="93"/>
        <v>605389.02690004115</v>
      </c>
      <c r="KL21" s="20">
        <f t="shared" si="93"/>
        <v>599335.13663104072</v>
      </c>
      <c r="KM21" s="20">
        <f t="shared" si="93"/>
        <v>593341.78526473034</v>
      </c>
      <c r="KN21" s="20">
        <f t="shared" si="93"/>
        <v>587408.36741208308</v>
      </c>
      <c r="KO21" s="20">
        <f t="shared" si="93"/>
        <v>581534.28373796225</v>
      </c>
      <c r="KP21" s="20">
        <f t="shared" si="93"/>
        <v>575718.94090058259</v>
      </c>
      <c r="KQ21" s="20">
        <f t="shared" si="93"/>
        <v>569961.75149157678</v>
      </c>
      <c r="KR21" s="20">
        <f t="shared" si="93"/>
        <v>564262.13397666102</v>
      </c>
      <c r="KS21" s="20">
        <f t="shared" si="93"/>
        <v>558619.51263689436</v>
      </c>
      <c r="KT21" s="20">
        <f t="shared" si="93"/>
        <v>553033.31751052546</v>
      </c>
      <c r="KU21" s="20">
        <f t="shared" ref="KU21:NF21" si="94">KT21*(1+$BE$25)</f>
        <v>547502.98433542019</v>
      </c>
      <c r="KV21" s="20">
        <f t="shared" si="94"/>
        <v>542027.95449206594</v>
      </c>
      <c r="KW21" s="20">
        <f t="shared" si="94"/>
        <v>536607.67494714528</v>
      </c>
      <c r="KX21" s="20">
        <f t="shared" si="94"/>
        <v>531241.5981976738</v>
      </c>
      <c r="KY21" s="20">
        <f t="shared" si="94"/>
        <v>525929.18221569702</v>
      </c>
      <c r="KZ21" s="20">
        <f t="shared" si="94"/>
        <v>520669.89039354003</v>
      </c>
      <c r="LA21" s="20">
        <f t="shared" si="94"/>
        <v>515463.19148960465</v>
      </c>
      <c r="LB21" s="20">
        <f t="shared" si="94"/>
        <v>510308.55957470858</v>
      </c>
      <c r="LC21" s="20">
        <f t="shared" si="94"/>
        <v>505205.47397896147</v>
      </c>
      <c r="LD21" s="20">
        <f t="shared" si="94"/>
        <v>500153.41923917184</v>
      </c>
      <c r="LE21" s="20">
        <f t="shared" si="94"/>
        <v>495151.88504678011</v>
      </c>
      <c r="LF21" s="20">
        <f t="shared" si="94"/>
        <v>490200.3661963123</v>
      </c>
      <c r="LG21" s="20">
        <f t="shared" si="94"/>
        <v>485298.3625343492</v>
      </c>
      <c r="LH21" s="20">
        <f t="shared" si="94"/>
        <v>480445.37890900573</v>
      </c>
      <c r="LI21" s="20">
        <f t="shared" si="94"/>
        <v>475640.92511991569</v>
      </c>
      <c r="LJ21" s="20">
        <f t="shared" si="94"/>
        <v>470884.51586871652</v>
      </c>
      <c r="LK21" s="20">
        <f t="shared" si="94"/>
        <v>466175.67071002937</v>
      </c>
      <c r="LL21" s="20">
        <f t="shared" si="94"/>
        <v>461513.91400292906</v>
      </c>
      <c r="LM21" s="20">
        <f t="shared" si="94"/>
        <v>456898.77486289974</v>
      </c>
      <c r="LN21" s="20">
        <f t="shared" si="94"/>
        <v>452329.78711427073</v>
      </c>
      <c r="LO21" s="20">
        <f t="shared" si="94"/>
        <v>447806.48924312805</v>
      </c>
      <c r="LP21" s="20">
        <f t="shared" si="94"/>
        <v>443328.42435069679</v>
      </c>
      <c r="LQ21" s="20">
        <f t="shared" si="94"/>
        <v>438895.14010718983</v>
      </c>
      <c r="LR21" s="20">
        <f t="shared" si="94"/>
        <v>434506.18870611791</v>
      </c>
      <c r="LS21" s="20">
        <f t="shared" si="94"/>
        <v>430161.12681905675</v>
      </c>
      <c r="LT21" s="20">
        <f t="shared" si="94"/>
        <v>425859.5155508662</v>
      </c>
      <c r="LU21" s="20">
        <f t="shared" si="94"/>
        <v>421600.92039535753</v>
      </c>
      <c r="LV21" s="20">
        <f t="shared" si="94"/>
        <v>417384.91119140398</v>
      </c>
      <c r="LW21" s="20">
        <f t="shared" si="94"/>
        <v>413211.06207948993</v>
      </c>
      <c r="LX21" s="20">
        <f t="shared" si="94"/>
        <v>409078.95145869505</v>
      </c>
      <c r="LY21" s="20">
        <f t="shared" si="94"/>
        <v>404988.16194410808</v>
      </c>
      <c r="LZ21" s="20">
        <f t="shared" si="94"/>
        <v>400938.28032466699</v>
      </c>
      <c r="MA21" s="20">
        <f t="shared" si="94"/>
        <v>396928.89752142032</v>
      </c>
      <c r="MB21" s="20">
        <f t="shared" si="94"/>
        <v>392959.60854620615</v>
      </c>
      <c r="MC21" s="20">
        <f t="shared" si="94"/>
        <v>389030.01246074407</v>
      </c>
      <c r="MD21" s="20">
        <f t="shared" si="94"/>
        <v>385139.71233613661</v>
      </c>
      <c r="ME21" s="20">
        <f t="shared" si="94"/>
        <v>381288.31521277525</v>
      </c>
      <c r="MF21" s="20">
        <f t="shared" si="94"/>
        <v>377475.43206064752</v>
      </c>
      <c r="MG21" s="20">
        <f t="shared" si="94"/>
        <v>373700.67774004105</v>
      </c>
      <c r="MH21" s="20">
        <f t="shared" si="94"/>
        <v>369963.67096264061</v>
      </c>
      <c r="MI21" s="20">
        <f t="shared" si="94"/>
        <v>366264.03425301419</v>
      </c>
      <c r="MJ21" s="20">
        <f t="shared" si="94"/>
        <v>362601.39391048404</v>
      </c>
      <c r="MK21" s="20">
        <f t="shared" si="94"/>
        <v>358975.37997137918</v>
      </c>
      <c r="ML21" s="20">
        <f t="shared" si="94"/>
        <v>355385.62617166538</v>
      </c>
      <c r="MM21" s="20">
        <f t="shared" si="94"/>
        <v>351831.76990994875</v>
      </c>
      <c r="MN21" s="20">
        <f t="shared" si="94"/>
        <v>348313.45221084927</v>
      </c>
      <c r="MO21" s="20">
        <f t="shared" si="94"/>
        <v>344830.31768874079</v>
      </c>
      <c r="MP21" s="20">
        <f t="shared" si="94"/>
        <v>341382.0145118534</v>
      </c>
      <c r="MQ21" s="20">
        <f t="shared" si="94"/>
        <v>337968.19436673488</v>
      </c>
      <c r="MR21" s="20">
        <f t="shared" si="94"/>
        <v>334588.51242306753</v>
      </c>
      <c r="MS21" s="20">
        <f t="shared" si="94"/>
        <v>331242.62729883683</v>
      </c>
      <c r="MT21" s="20">
        <f t="shared" si="94"/>
        <v>327930.20102584845</v>
      </c>
      <c r="MU21" s="20">
        <f t="shared" si="94"/>
        <v>324650.89901558997</v>
      </c>
      <c r="MV21" s="20">
        <f t="shared" si="94"/>
        <v>321404.39002543408</v>
      </c>
      <c r="MW21" s="20">
        <f t="shared" si="94"/>
        <v>318190.34612517973</v>
      </c>
      <c r="MX21" s="20">
        <f t="shared" si="94"/>
        <v>315008.44266392791</v>
      </c>
      <c r="MY21" s="20">
        <f t="shared" si="94"/>
        <v>311858.3582372886</v>
      </c>
      <c r="MZ21" s="20">
        <f t="shared" si="94"/>
        <v>308739.77465491573</v>
      </c>
      <c r="NA21" s="20">
        <f t="shared" si="94"/>
        <v>305652.37690836657</v>
      </c>
      <c r="NB21" s="20">
        <f t="shared" si="94"/>
        <v>302595.8531392829</v>
      </c>
      <c r="NC21" s="20">
        <f t="shared" si="94"/>
        <v>299569.89460789005</v>
      </c>
      <c r="ND21" s="20">
        <f t="shared" si="94"/>
        <v>296574.19566181116</v>
      </c>
      <c r="NE21" s="20">
        <f t="shared" si="94"/>
        <v>293608.45370519307</v>
      </c>
      <c r="NF21" s="20">
        <f t="shared" si="94"/>
        <v>290672.36916814116</v>
      </c>
      <c r="NG21" s="20">
        <f t="shared" ref="NG21:PR21" si="95">NF21*(1+$BE$25)</f>
        <v>287765.64547645976</v>
      </c>
      <c r="NH21" s="20">
        <f t="shared" si="95"/>
        <v>284887.98902169516</v>
      </c>
      <c r="NI21" s="20">
        <f t="shared" si="95"/>
        <v>282039.10913147818</v>
      </c>
      <c r="NJ21" s="20">
        <f t="shared" si="95"/>
        <v>279218.7180401634</v>
      </c>
      <c r="NK21" s="20">
        <f t="shared" si="95"/>
        <v>276426.53085976175</v>
      </c>
      <c r="NL21" s="20">
        <f t="shared" si="95"/>
        <v>273662.26555116411</v>
      </c>
      <c r="NM21" s="20">
        <f t="shared" si="95"/>
        <v>270925.64289565245</v>
      </c>
      <c r="NN21" s="20">
        <f t="shared" si="95"/>
        <v>268216.38646669593</v>
      </c>
      <c r="NO21" s="20">
        <f t="shared" si="95"/>
        <v>265534.22260202898</v>
      </c>
      <c r="NP21" s="20">
        <f t="shared" si="95"/>
        <v>262878.88037600869</v>
      </c>
      <c r="NQ21" s="20">
        <f t="shared" si="95"/>
        <v>260250.09157224861</v>
      </c>
      <c r="NR21" s="20">
        <f t="shared" si="95"/>
        <v>257647.59065652612</v>
      </c>
      <c r="NS21" s="20">
        <f t="shared" si="95"/>
        <v>255071.11474996086</v>
      </c>
      <c r="NT21" s="20">
        <f t="shared" si="95"/>
        <v>252520.40360246124</v>
      </c>
      <c r="NU21" s="20">
        <f t="shared" si="95"/>
        <v>249995.19956643664</v>
      </c>
      <c r="NV21" s="20">
        <f t="shared" si="95"/>
        <v>247495.24757077228</v>
      </c>
      <c r="NW21" s="20">
        <f t="shared" si="95"/>
        <v>245020.29509506456</v>
      </c>
      <c r="NX21" s="20">
        <f t="shared" si="95"/>
        <v>242570.09214411391</v>
      </c>
      <c r="NY21" s="20">
        <f t="shared" si="95"/>
        <v>240144.39122267277</v>
      </c>
      <c r="NZ21" s="20">
        <f t="shared" si="95"/>
        <v>237742.94731044603</v>
      </c>
      <c r="OA21" s="20">
        <f t="shared" si="95"/>
        <v>235365.51783734158</v>
      </c>
      <c r="OB21" s="20">
        <f t="shared" si="95"/>
        <v>233011.86265896817</v>
      </c>
      <c r="OC21" s="20">
        <f t="shared" si="95"/>
        <v>230681.74403237848</v>
      </c>
      <c r="OD21" s="20">
        <f t="shared" si="95"/>
        <v>228374.92659205469</v>
      </c>
      <c r="OE21" s="20">
        <f t="shared" si="95"/>
        <v>226091.17732613414</v>
      </c>
      <c r="OF21" s="20">
        <f t="shared" si="95"/>
        <v>223830.26555287279</v>
      </c>
      <c r="OG21" s="20">
        <f t="shared" si="95"/>
        <v>221591.96289734406</v>
      </c>
      <c r="OH21" s="20">
        <f t="shared" si="95"/>
        <v>219376.04326837062</v>
      </c>
      <c r="OI21" s="20">
        <f t="shared" si="95"/>
        <v>217182.2828356869</v>
      </c>
      <c r="OJ21" s="20">
        <f t="shared" si="95"/>
        <v>215010.46000733002</v>
      </c>
      <c r="OK21" s="20">
        <f t="shared" si="95"/>
        <v>212860.35540725672</v>
      </c>
      <c r="OL21" s="20">
        <f t="shared" si="95"/>
        <v>210731.75185318416</v>
      </c>
      <c r="OM21" s="20">
        <f t="shared" si="95"/>
        <v>208624.43433465232</v>
      </c>
      <c r="ON21" s="20">
        <f t="shared" si="95"/>
        <v>206538.18999130579</v>
      </c>
      <c r="OO21" s="20">
        <f t="shared" si="95"/>
        <v>204472.80809139274</v>
      </c>
      <c r="OP21" s="20">
        <f t="shared" si="95"/>
        <v>202428.08001047882</v>
      </c>
      <c r="OQ21" s="20">
        <f t="shared" si="95"/>
        <v>200403.79921037404</v>
      </c>
      <c r="OR21" s="20">
        <f t="shared" si="95"/>
        <v>198399.76121827029</v>
      </c>
      <c r="OS21" s="20">
        <f t="shared" si="95"/>
        <v>196415.7636060876</v>
      </c>
      <c r="OT21" s="20">
        <f t="shared" si="95"/>
        <v>194451.60597002672</v>
      </c>
      <c r="OU21" s="20">
        <f t="shared" si="95"/>
        <v>192507.08991032644</v>
      </c>
      <c r="OV21" s="20">
        <f t="shared" si="95"/>
        <v>190582.01901122316</v>
      </c>
      <c r="OW21" s="20">
        <f t="shared" si="95"/>
        <v>188676.19882111094</v>
      </c>
      <c r="OX21" s="20">
        <f t="shared" si="95"/>
        <v>186789.43683289984</v>
      </c>
      <c r="OY21" s="20">
        <f t="shared" si="95"/>
        <v>184921.54246457084</v>
      </c>
      <c r="OZ21" s="20">
        <f t="shared" si="95"/>
        <v>183072.32703992512</v>
      </c>
      <c r="PA21" s="20">
        <f t="shared" si="95"/>
        <v>181241.60376952586</v>
      </c>
      <c r="PB21" s="20">
        <f t="shared" si="95"/>
        <v>179429.18773183061</v>
      </c>
      <c r="PC21" s="20">
        <f t="shared" si="95"/>
        <v>177634.89585451229</v>
      </c>
      <c r="PD21" s="20">
        <f t="shared" si="95"/>
        <v>175858.54689596716</v>
      </c>
      <c r="PE21" s="20">
        <f t="shared" si="95"/>
        <v>174099.96142700748</v>
      </c>
      <c r="PF21" s="20">
        <f t="shared" si="95"/>
        <v>172358.9618127374</v>
      </c>
      <c r="PG21" s="20">
        <f t="shared" si="95"/>
        <v>170635.37219461001</v>
      </c>
      <c r="PH21" s="20">
        <f t="shared" si="95"/>
        <v>168929.01847266391</v>
      </c>
      <c r="PI21" s="20">
        <f t="shared" si="95"/>
        <v>167239.72828793727</v>
      </c>
      <c r="PJ21" s="20">
        <f t="shared" si="95"/>
        <v>165567.3310050579</v>
      </c>
      <c r="PK21" s="20">
        <f t="shared" si="95"/>
        <v>163911.65769500734</v>
      </c>
      <c r="PL21" s="20">
        <f t="shared" si="95"/>
        <v>162272.54111805727</v>
      </c>
      <c r="PM21" s="20">
        <f t="shared" si="95"/>
        <v>160649.81570687669</v>
      </c>
      <c r="PN21" s="20">
        <f t="shared" si="95"/>
        <v>159043.31754980792</v>
      </c>
      <c r="PO21" s="20">
        <f t="shared" si="95"/>
        <v>157452.88437430986</v>
      </c>
      <c r="PP21" s="20">
        <f t="shared" si="95"/>
        <v>155878.35553056677</v>
      </c>
      <c r="PQ21" s="20">
        <f t="shared" si="95"/>
        <v>154319.57197526109</v>
      </c>
      <c r="PR21" s="20">
        <f t="shared" si="95"/>
        <v>152776.37625550848</v>
      </c>
      <c r="PS21" s="20">
        <f t="shared" ref="PS21:SD21" si="96">PR21*(1+$BE$25)</f>
        <v>151248.6124929534</v>
      </c>
      <c r="PT21" s="20">
        <f t="shared" si="96"/>
        <v>149736.12636802386</v>
      </c>
      <c r="PU21" s="20">
        <f t="shared" si="96"/>
        <v>148238.76510434362</v>
      </c>
      <c r="PV21" s="20">
        <f t="shared" si="96"/>
        <v>146756.37745330017</v>
      </c>
      <c r="PW21" s="20">
        <f t="shared" si="96"/>
        <v>145288.81367876715</v>
      </c>
      <c r="PX21" s="20">
        <f t="shared" si="96"/>
        <v>143835.92554197949</v>
      </c>
      <c r="PY21" s="20">
        <f t="shared" si="96"/>
        <v>142397.56628655971</v>
      </c>
      <c r="PZ21" s="20">
        <f t="shared" si="96"/>
        <v>140973.59062369412</v>
      </c>
      <c r="QA21" s="20">
        <f t="shared" si="96"/>
        <v>139563.85471745717</v>
      </c>
      <c r="QB21" s="20">
        <f t="shared" si="96"/>
        <v>138168.2161702826</v>
      </c>
      <c r="QC21" s="20">
        <f t="shared" si="96"/>
        <v>136786.53400857977</v>
      </c>
      <c r="QD21" s="20">
        <f t="shared" si="96"/>
        <v>135418.66866849398</v>
      </c>
      <c r="QE21" s="20">
        <f t="shared" si="96"/>
        <v>134064.48198180905</v>
      </c>
      <c r="QF21" s="20">
        <f t="shared" si="96"/>
        <v>132723.83716199096</v>
      </c>
      <c r="QG21" s="20">
        <f t="shared" si="96"/>
        <v>131396.59879037106</v>
      </c>
      <c r="QH21" s="20">
        <f t="shared" si="96"/>
        <v>130082.63280246736</v>
      </c>
      <c r="QI21" s="20">
        <f t="shared" si="96"/>
        <v>128781.80647444268</v>
      </c>
      <c r="QJ21" s="20">
        <f t="shared" si="96"/>
        <v>127493.98840969826</v>
      </c>
      <c r="QK21" s="20">
        <f t="shared" si="96"/>
        <v>126219.04852560128</v>
      </c>
      <c r="QL21" s="20">
        <f t="shared" si="96"/>
        <v>124956.85804034527</v>
      </c>
      <c r="QM21" s="20">
        <f t="shared" si="96"/>
        <v>123707.28945994181</v>
      </c>
      <c r="QN21" s="20">
        <f t="shared" si="96"/>
        <v>122470.21656534239</v>
      </c>
      <c r="QO21" s="20">
        <f t="shared" si="96"/>
        <v>121245.51439968897</v>
      </c>
      <c r="QP21" s="20">
        <f t="shared" si="96"/>
        <v>120033.05925569207</v>
      </c>
      <c r="QQ21" s="20">
        <f t="shared" si="96"/>
        <v>118832.72866313516</v>
      </c>
      <c r="QR21" s="20">
        <f t="shared" si="96"/>
        <v>117644.40137650381</v>
      </c>
      <c r="QS21" s="20">
        <f t="shared" si="96"/>
        <v>116467.95736273877</v>
      </c>
      <c r="QT21" s="20">
        <f t="shared" si="96"/>
        <v>115303.27778911138</v>
      </c>
      <c r="QU21" s="20">
        <f t="shared" si="96"/>
        <v>114150.24501122026</v>
      </c>
      <c r="QV21" s="20">
        <f t="shared" si="96"/>
        <v>113008.74256110805</v>
      </c>
      <c r="QW21" s="20">
        <f t="shared" si="96"/>
        <v>111878.65513549697</v>
      </c>
      <c r="QX21" s="20">
        <f t="shared" si="96"/>
        <v>110759.86858414199</v>
      </c>
      <c r="QY21" s="20">
        <f t="shared" si="96"/>
        <v>109652.26989830057</v>
      </c>
      <c r="QZ21" s="20">
        <f t="shared" si="96"/>
        <v>108555.74719931756</v>
      </c>
      <c r="RA21" s="20">
        <f t="shared" si="96"/>
        <v>107470.18972732438</v>
      </c>
      <c r="RB21" s="20">
        <f t="shared" si="96"/>
        <v>106395.48783005113</v>
      </c>
      <c r="RC21" s="20">
        <f t="shared" si="96"/>
        <v>105331.53295175062</v>
      </c>
      <c r="RD21" s="20">
        <f t="shared" si="96"/>
        <v>104278.2176222331</v>
      </c>
      <c r="RE21" s="20">
        <f t="shared" si="96"/>
        <v>103235.43544601077</v>
      </c>
      <c r="RF21" s="20">
        <f t="shared" si="96"/>
        <v>102203.08109155066</v>
      </c>
      <c r="RG21" s="20">
        <f t="shared" si="96"/>
        <v>101181.05028063516</v>
      </c>
      <c r="RH21" s="20">
        <f t="shared" si="96"/>
        <v>100169.2397778288</v>
      </c>
      <c r="RI21" s="20">
        <f t="shared" si="96"/>
        <v>99167.547380050513</v>
      </c>
      <c r="RJ21" s="20">
        <f t="shared" si="96"/>
        <v>98175.871906250002</v>
      </c>
      <c r="RK21" s="20">
        <f t="shared" si="96"/>
        <v>97194.113187187497</v>
      </c>
      <c r="RL21" s="20">
        <f t="shared" si="96"/>
        <v>96222.172055315619</v>
      </c>
      <c r="RM21" s="20">
        <f t="shared" si="96"/>
        <v>95259.950334762456</v>
      </c>
      <c r="RN21" s="20">
        <f t="shared" si="96"/>
        <v>94307.350831414835</v>
      </c>
      <c r="RO21" s="20">
        <f t="shared" si="96"/>
        <v>93364.277323100687</v>
      </c>
      <c r="RP21" s="20">
        <f t="shared" si="96"/>
        <v>92430.634549869676</v>
      </c>
      <c r="RQ21" s="20">
        <f t="shared" si="96"/>
        <v>91506.328204370977</v>
      </c>
      <c r="RR21" s="20">
        <f t="shared" si="96"/>
        <v>90591.26492232726</v>
      </c>
      <c r="RS21" s="20">
        <f t="shared" si="96"/>
        <v>89685.352273103985</v>
      </c>
      <c r="RT21" s="20">
        <f t="shared" si="96"/>
        <v>88788.49875037295</v>
      </c>
      <c r="RU21" s="20">
        <f t="shared" si="96"/>
        <v>87900.613762869223</v>
      </c>
      <c r="RV21" s="20">
        <f t="shared" si="96"/>
        <v>87021.607625240533</v>
      </c>
      <c r="RW21" s="20">
        <f t="shared" si="96"/>
        <v>86151.391548988133</v>
      </c>
      <c r="RX21" s="20">
        <f t="shared" si="96"/>
        <v>85289.877633498254</v>
      </c>
      <c r="RY21" s="20">
        <f t="shared" si="96"/>
        <v>84436.978857163267</v>
      </c>
      <c r="RZ21" s="20">
        <f t="shared" si="96"/>
        <v>83592.609068591628</v>
      </c>
      <c r="SA21" s="20">
        <f t="shared" si="96"/>
        <v>82756.682977905715</v>
      </c>
      <c r="SB21" s="20">
        <f t="shared" si="96"/>
        <v>81929.116148126661</v>
      </c>
      <c r="SC21" s="20">
        <f t="shared" si="96"/>
        <v>81109.824986645399</v>
      </c>
      <c r="SD21" s="20">
        <f t="shared" si="96"/>
        <v>80298.726736778946</v>
      </c>
      <c r="SE21" s="20">
        <f t="shared" ref="SE21:UP21" si="97">SD21*(1+$BE$25)</f>
        <v>79495.739469411157</v>
      </c>
      <c r="SF21" s="20">
        <f t="shared" si="97"/>
        <v>78700.782074717048</v>
      </c>
      <c r="SG21" s="20">
        <f t="shared" si="97"/>
        <v>77913.774253969881</v>
      </c>
      <c r="SH21" s="20">
        <f t="shared" si="97"/>
        <v>77134.636511430188</v>
      </c>
      <c r="SI21" s="20">
        <f t="shared" si="97"/>
        <v>76363.290146315892</v>
      </c>
      <c r="SJ21" s="20">
        <f t="shared" si="97"/>
        <v>75599.657244852729</v>
      </c>
      <c r="SK21" s="20">
        <f t="shared" si="97"/>
        <v>74843.660672404207</v>
      </c>
      <c r="SL21" s="20">
        <f t="shared" si="97"/>
        <v>74095.224065680159</v>
      </c>
      <c r="SM21" s="20">
        <f t="shared" si="97"/>
        <v>73354.271825023359</v>
      </c>
      <c r="SN21" s="20">
        <f t="shared" si="97"/>
        <v>72620.729106773128</v>
      </c>
      <c r="SO21" s="20">
        <f t="shared" si="97"/>
        <v>71894.52181570539</v>
      </c>
      <c r="SP21" s="20">
        <f t="shared" si="97"/>
        <v>71175.576597548337</v>
      </c>
      <c r="SQ21" s="20">
        <f t="shared" si="97"/>
        <v>70463.820831572855</v>
      </c>
      <c r="SR21" s="20">
        <f t="shared" si="97"/>
        <v>69759.182623257133</v>
      </c>
      <c r="SS21" s="20">
        <f t="shared" si="97"/>
        <v>69061.590797024561</v>
      </c>
      <c r="ST21" s="20">
        <f t="shared" si="97"/>
        <v>68370.974889054312</v>
      </c>
      <c r="SU21" s="20">
        <f t="shared" si="97"/>
        <v>67687.26514016377</v>
      </c>
      <c r="SV21" s="20">
        <f t="shared" si="97"/>
        <v>67010.392488762125</v>
      </c>
      <c r="SW21" s="20">
        <f t="shared" si="97"/>
        <v>66340.288563874507</v>
      </c>
      <c r="SX21" s="20">
        <f t="shared" si="97"/>
        <v>65676.885678235762</v>
      </c>
      <c r="SY21" s="20">
        <f t="shared" si="97"/>
        <v>65020.116821453405</v>
      </c>
      <c r="SZ21" s="20">
        <f t="shared" si="97"/>
        <v>64369.915653238873</v>
      </c>
      <c r="TA21" s="20">
        <f t="shared" si="97"/>
        <v>63726.216496706482</v>
      </c>
      <c r="TB21" s="20">
        <f t="shared" si="97"/>
        <v>63088.95433173942</v>
      </c>
      <c r="TC21" s="20">
        <f t="shared" si="97"/>
        <v>62458.064788422023</v>
      </c>
      <c r="TD21" s="20">
        <f t="shared" si="97"/>
        <v>61833.484140537803</v>
      </c>
      <c r="TE21" s="20">
        <f t="shared" si="97"/>
        <v>61215.149299132427</v>
      </c>
      <c r="TF21" s="20">
        <f t="shared" si="97"/>
        <v>60602.997806141102</v>
      </c>
      <c r="TG21" s="20">
        <f t="shared" si="97"/>
        <v>59996.967828079687</v>
      </c>
      <c r="TH21" s="20">
        <f t="shared" si="97"/>
        <v>59396.998149798892</v>
      </c>
      <c r="TI21" s="20">
        <f t="shared" si="97"/>
        <v>58803.028168300902</v>
      </c>
      <c r="TJ21" s="20">
        <f t="shared" si="97"/>
        <v>58214.997886617894</v>
      </c>
      <c r="TK21" s="20">
        <f t="shared" si="97"/>
        <v>57632.847907751711</v>
      </c>
      <c r="TL21" s="20">
        <f t="shared" si="97"/>
        <v>57056.519428674197</v>
      </c>
      <c r="TM21" s="20">
        <f t="shared" si="97"/>
        <v>56485.954234387456</v>
      </c>
      <c r="TN21" s="20">
        <f t="shared" si="97"/>
        <v>55921.094692043582</v>
      </c>
      <c r="TO21" s="20">
        <f t="shared" si="97"/>
        <v>55361.883745123145</v>
      </c>
      <c r="TP21" s="20">
        <f t="shared" si="97"/>
        <v>54808.26490767191</v>
      </c>
      <c r="TQ21" s="20">
        <f t="shared" si="97"/>
        <v>54260.182258595189</v>
      </c>
      <c r="TR21" s="20">
        <f t="shared" si="97"/>
        <v>53717.580436009237</v>
      </c>
      <c r="TS21" s="20">
        <f t="shared" si="97"/>
        <v>53180.404631649144</v>
      </c>
      <c r="TT21" s="20">
        <f t="shared" si="97"/>
        <v>52648.60058533265</v>
      </c>
      <c r="TU21" s="20">
        <f t="shared" si="97"/>
        <v>52122.114579479319</v>
      </c>
      <c r="TV21" s="20">
        <f t="shared" si="97"/>
        <v>51600.893433684527</v>
      </c>
      <c r="TW21" s="20">
        <f t="shared" si="97"/>
        <v>51084.884499347681</v>
      </c>
      <c r="TX21" s="20">
        <f t="shared" si="97"/>
        <v>50574.035654354208</v>
      </c>
      <c r="TY21" s="20">
        <f t="shared" si="97"/>
        <v>50068.295297810662</v>
      </c>
      <c r="TZ21" s="20">
        <f t="shared" si="97"/>
        <v>49567.612344832552</v>
      </c>
      <c r="UA21" s="20">
        <f t="shared" si="97"/>
        <v>49071.936221384225</v>
      </c>
      <c r="UB21" s="20">
        <f t="shared" si="97"/>
        <v>48581.216859170381</v>
      </c>
      <c r="UC21" s="20">
        <f t="shared" si="97"/>
        <v>48095.404690578674</v>
      </c>
      <c r="UD21" s="20">
        <f t="shared" si="97"/>
        <v>47614.450643672884</v>
      </c>
      <c r="UE21" s="20">
        <f t="shared" si="97"/>
        <v>47138.306137236155</v>
      </c>
      <c r="UF21" s="20">
        <f t="shared" si="97"/>
        <v>46666.923075863793</v>
      </c>
      <c r="UG21" s="20">
        <f t="shared" si="97"/>
        <v>46200.253845105151</v>
      </c>
      <c r="UH21" s="20">
        <f t="shared" si="97"/>
        <v>45738.2513066541</v>
      </c>
      <c r="UI21" s="20">
        <f t="shared" si="97"/>
        <v>45280.868793587557</v>
      </c>
      <c r="UJ21" s="20">
        <f t="shared" si="97"/>
        <v>44828.060105651683</v>
      </c>
      <c r="UK21" s="20">
        <f t="shared" si="97"/>
        <v>44379.779504595164</v>
      </c>
      <c r="UL21" s="20">
        <f t="shared" si="97"/>
        <v>43935.981709549211</v>
      </c>
      <c r="UM21" s="20">
        <f t="shared" si="97"/>
        <v>43496.621892453717</v>
      </c>
      <c r="UN21" s="20">
        <f t="shared" si="97"/>
        <v>43061.655673529182</v>
      </c>
      <c r="UO21" s="20">
        <f t="shared" si="97"/>
        <v>42631.039116793887</v>
      </c>
      <c r="UP21" s="20">
        <f t="shared" si="97"/>
        <v>42204.728725625944</v>
      </c>
      <c r="UQ21" s="20">
        <f t="shared" ref="UQ21:XB21" si="98">UP21*(1+$BE$25)</f>
        <v>41782.681438369684</v>
      </c>
      <c r="UR21" s="20">
        <f t="shared" si="98"/>
        <v>41364.854623985986</v>
      </c>
      <c r="US21" s="20">
        <f t="shared" si="98"/>
        <v>40951.206077746123</v>
      </c>
      <c r="UT21" s="20">
        <f t="shared" si="98"/>
        <v>40541.694016968664</v>
      </c>
      <c r="UU21" s="20">
        <f t="shared" si="98"/>
        <v>40136.277076798979</v>
      </c>
      <c r="UV21" s="20">
        <f t="shared" si="98"/>
        <v>39734.914306030987</v>
      </c>
      <c r="UW21" s="20">
        <f t="shared" si="98"/>
        <v>39337.565162970677</v>
      </c>
      <c r="UX21" s="20">
        <f t="shared" si="98"/>
        <v>38944.18951134097</v>
      </c>
      <c r="UY21" s="20">
        <f t="shared" si="98"/>
        <v>38554.747616227563</v>
      </c>
      <c r="UZ21" s="20">
        <f t="shared" si="98"/>
        <v>38169.200140065288</v>
      </c>
      <c r="VA21" s="20">
        <f t="shared" si="98"/>
        <v>37787.508138664634</v>
      </c>
      <c r="VB21" s="20">
        <f t="shared" si="98"/>
        <v>37409.633057277984</v>
      </c>
      <c r="VC21" s="20">
        <f t="shared" si="98"/>
        <v>37035.536726705206</v>
      </c>
      <c r="VD21" s="20">
        <f t="shared" si="98"/>
        <v>36665.181359438153</v>
      </c>
      <c r="VE21" s="20">
        <f t="shared" si="98"/>
        <v>36298.529545843769</v>
      </c>
      <c r="VF21" s="20">
        <f t="shared" si="98"/>
        <v>35935.544250385334</v>
      </c>
      <c r="VG21" s="20">
        <f t="shared" si="98"/>
        <v>35576.188807881481</v>
      </c>
      <c r="VH21" s="20">
        <f t="shared" si="98"/>
        <v>35220.426919802667</v>
      </c>
      <c r="VI21" s="20">
        <f t="shared" si="98"/>
        <v>34868.222650604643</v>
      </c>
      <c r="VJ21" s="20">
        <f t="shared" si="98"/>
        <v>34519.540424098595</v>
      </c>
      <c r="VK21" s="20">
        <f t="shared" si="98"/>
        <v>34174.34501985761</v>
      </c>
      <c r="VL21" s="20">
        <f t="shared" si="98"/>
        <v>33832.601569659033</v>
      </c>
      <c r="VM21" s="20">
        <f t="shared" si="98"/>
        <v>33494.275553962441</v>
      </c>
      <c r="VN21" s="20">
        <f t="shared" si="98"/>
        <v>33159.332798422816</v>
      </c>
      <c r="VO21" s="20">
        <f t="shared" si="98"/>
        <v>32827.739470438588</v>
      </c>
      <c r="VP21" s="20">
        <f t="shared" si="98"/>
        <v>32499.462075734202</v>
      </c>
      <c r="VQ21" s="20">
        <f t="shared" si="98"/>
        <v>32174.467454976861</v>
      </c>
      <c r="VR21" s="20">
        <f t="shared" si="98"/>
        <v>31852.722780427091</v>
      </c>
      <c r="VS21" s="20">
        <f t="shared" si="98"/>
        <v>31534.195552622819</v>
      </c>
      <c r="VT21" s="20">
        <f t="shared" si="98"/>
        <v>31218.85359709659</v>
      </c>
      <c r="VU21" s="20">
        <f t="shared" si="98"/>
        <v>30906.665061125623</v>
      </c>
      <c r="VV21" s="20">
        <f t="shared" si="98"/>
        <v>30597.598410514365</v>
      </c>
      <c r="VW21" s="20">
        <f t="shared" si="98"/>
        <v>30291.62242640922</v>
      </c>
      <c r="VX21" s="20">
        <f t="shared" si="98"/>
        <v>29988.706202145127</v>
      </c>
      <c r="VY21" s="20">
        <f t="shared" si="98"/>
        <v>29688.819140123676</v>
      </c>
      <c r="VZ21" s="20">
        <f t="shared" si="98"/>
        <v>29391.930948722438</v>
      </c>
      <c r="WA21" s="20">
        <f t="shared" si="98"/>
        <v>29098.011639235214</v>
      </c>
      <c r="WB21" s="20">
        <f t="shared" si="98"/>
        <v>28807.031522842863</v>
      </c>
      <c r="WC21" s="20">
        <f t="shared" si="98"/>
        <v>28518.961207614433</v>
      </c>
      <c r="WD21" s="20">
        <f t="shared" si="98"/>
        <v>28233.771595538288</v>
      </c>
      <c r="WE21" s="20">
        <f t="shared" si="98"/>
        <v>27951.433879582906</v>
      </c>
      <c r="WF21" s="20">
        <f t="shared" si="98"/>
        <v>27671.919540787076</v>
      </c>
      <c r="WG21" s="20">
        <f t="shared" si="98"/>
        <v>27395.200345379206</v>
      </c>
      <c r="WH21" s="20">
        <f t="shared" si="98"/>
        <v>27121.248341925413</v>
      </c>
      <c r="WI21" s="20">
        <f t="shared" si="98"/>
        <v>26850.035858506159</v>
      </c>
      <c r="WJ21" s="20">
        <f t="shared" si="98"/>
        <v>26581.535499921098</v>
      </c>
      <c r="WK21" s="20">
        <f t="shared" si="98"/>
        <v>26315.720144921885</v>
      </c>
      <c r="WL21" s="20">
        <f t="shared" si="98"/>
        <v>26052.562943472665</v>
      </c>
      <c r="WM21" s="20">
        <f t="shared" si="98"/>
        <v>25792.037314037938</v>
      </c>
      <c r="WN21" s="20">
        <f t="shared" si="98"/>
        <v>25534.116940897558</v>
      </c>
      <c r="WO21" s="20">
        <f t="shared" si="98"/>
        <v>25278.775771488581</v>
      </c>
      <c r="WP21" s="20">
        <f t="shared" si="98"/>
        <v>25025.988013773695</v>
      </c>
      <c r="WQ21" s="20">
        <f t="shared" si="98"/>
        <v>24775.728133635956</v>
      </c>
      <c r="WR21" s="20">
        <f t="shared" si="98"/>
        <v>24527.970852299597</v>
      </c>
      <c r="WS21" s="20">
        <f t="shared" si="98"/>
        <v>24282.691143776599</v>
      </c>
      <c r="WT21" s="20">
        <f t="shared" si="98"/>
        <v>24039.864232338834</v>
      </c>
      <c r="WU21" s="20">
        <f t="shared" si="98"/>
        <v>23799.465590015447</v>
      </c>
      <c r="WV21" s="20">
        <f t="shared" si="98"/>
        <v>23561.470934115292</v>
      </c>
      <c r="WW21" s="20">
        <f t="shared" si="98"/>
        <v>23325.856224774139</v>
      </c>
      <c r="WX21" s="20">
        <f t="shared" si="98"/>
        <v>23092.597662526397</v>
      </c>
      <c r="WY21" s="20">
        <f t="shared" si="98"/>
        <v>22861.671685901132</v>
      </c>
      <c r="WZ21" s="20">
        <f t="shared" si="98"/>
        <v>22633.054969042121</v>
      </c>
      <c r="XA21" s="20">
        <f t="shared" si="98"/>
        <v>22406.7244193517</v>
      </c>
      <c r="XB21" s="20">
        <f t="shared" si="98"/>
        <v>22182.657175158183</v>
      </c>
      <c r="XC21" s="20">
        <f t="shared" ref="XC21:ZN21" si="99">XB21*(1+$BE$25)</f>
        <v>21960.830603406601</v>
      </c>
      <c r="XD21" s="20">
        <f t="shared" si="99"/>
        <v>21741.222297372533</v>
      </c>
      <c r="XE21" s="20">
        <f t="shared" si="99"/>
        <v>21523.810074398807</v>
      </c>
      <c r="XF21" s="20">
        <f t="shared" si="99"/>
        <v>21308.57197365482</v>
      </c>
      <c r="XG21" s="20">
        <f t="shared" si="99"/>
        <v>21095.486253918272</v>
      </c>
      <c r="XH21" s="20">
        <f t="shared" si="99"/>
        <v>20884.531391379089</v>
      </c>
      <c r="XI21" s="20">
        <f t="shared" si="99"/>
        <v>20675.686077465296</v>
      </c>
      <c r="XJ21" s="20">
        <f t="shared" si="99"/>
        <v>20468.929216690642</v>
      </c>
      <c r="XK21" s="20">
        <f t="shared" si="99"/>
        <v>20264.239924523736</v>
      </c>
      <c r="XL21" s="20">
        <f t="shared" si="99"/>
        <v>20061.597525278499</v>
      </c>
      <c r="XM21" s="20">
        <f t="shared" si="99"/>
        <v>19860.981550025714</v>
      </c>
      <c r="XN21" s="20">
        <f t="shared" si="99"/>
        <v>19662.371734525455</v>
      </c>
      <c r="XO21" s="20">
        <f t="shared" si="99"/>
        <v>19465.748017180202</v>
      </c>
      <c r="XP21" s="20">
        <f t="shared" si="99"/>
        <v>19271.0905370084</v>
      </c>
      <c r="XQ21" s="20">
        <f t="shared" si="99"/>
        <v>19078.379631638316</v>
      </c>
      <c r="XR21" s="20">
        <f t="shared" si="99"/>
        <v>18887.595835321932</v>
      </c>
      <c r="XS21" s="20">
        <f t="shared" si="99"/>
        <v>18698.719876968713</v>
      </c>
      <c r="XT21" s="20">
        <f t="shared" si="99"/>
        <v>18511.732678199027</v>
      </c>
      <c r="XU21" s="20">
        <f t="shared" si="99"/>
        <v>18326.615351417036</v>
      </c>
      <c r="XV21" s="20">
        <f t="shared" si="99"/>
        <v>18143.349197902866</v>
      </c>
      <c r="XW21" s="20">
        <f t="shared" si="99"/>
        <v>17961.915705923839</v>
      </c>
      <c r="XX21" s="20">
        <f t="shared" si="99"/>
        <v>17782.2965488646</v>
      </c>
      <c r="XY21" s="20">
        <f t="shared" si="99"/>
        <v>17604.473583375955</v>
      </c>
      <c r="XZ21" s="20">
        <f t="shared" si="99"/>
        <v>17428.428847542196</v>
      </c>
      <c r="YA21" s="20">
        <f t="shared" si="99"/>
        <v>17254.144559066775</v>
      </c>
      <c r="YB21" s="20">
        <f t="shared" si="99"/>
        <v>17081.603113476107</v>
      </c>
      <c r="YC21" s="20">
        <f t="shared" si="99"/>
        <v>16910.787082341347</v>
      </c>
      <c r="YD21" s="20">
        <f t="shared" si="99"/>
        <v>16741.679211517934</v>
      </c>
      <c r="YE21" s="20">
        <f t="shared" si="99"/>
        <v>16574.262419402756</v>
      </c>
      <c r="YF21" s="20">
        <f t="shared" si="99"/>
        <v>16408.519795208729</v>
      </c>
      <c r="YG21" s="20">
        <f t="shared" si="99"/>
        <v>16244.434597256643</v>
      </c>
      <c r="YH21" s="20">
        <f t="shared" si="99"/>
        <v>16081.990251284076</v>
      </c>
      <c r="YI21" s="20">
        <f t="shared" si="99"/>
        <v>15921.170348771235</v>
      </c>
      <c r="YJ21" s="20">
        <f t="shared" si="99"/>
        <v>15761.958645283523</v>
      </c>
      <c r="YK21" s="20">
        <f t="shared" si="99"/>
        <v>15604.339058830688</v>
      </c>
      <c r="YL21" s="20">
        <f t="shared" si="99"/>
        <v>15448.295668242381</v>
      </c>
      <c r="YM21" s="20">
        <f t="shared" si="99"/>
        <v>15293.812711559956</v>
      </c>
      <c r="YN21" s="20">
        <f t="shared" si="99"/>
        <v>15140.874584444357</v>
      </c>
      <c r="YO21" s="20">
        <f t="shared" si="99"/>
        <v>14989.465838599914</v>
      </c>
      <c r="YP21" s="20">
        <f t="shared" si="99"/>
        <v>14839.571180213914</v>
      </c>
      <c r="YQ21" s="20">
        <f t="shared" si="99"/>
        <v>14691.175468411775</v>
      </c>
      <c r="YR21" s="20">
        <f t="shared" si="99"/>
        <v>14544.263713727658</v>
      </c>
      <c r="YS21" s="20">
        <f t="shared" si="99"/>
        <v>14398.82107659038</v>
      </c>
      <c r="YT21" s="20">
        <f t="shared" si="99"/>
        <v>14254.832865824477</v>
      </c>
      <c r="YU21" s="20">
        <f t="shared" si="99"/>
        <v>14112.284537166232</v>
      </c>
      <c r="YV21" s="20">
        <f t="shared" si="99"/>
        <v>13971.161691794568</v>
      </c>
      <c r="YW21" s="20">
        <f t="shared" si="99"/>
        <v>13831.450074876622</v>
      </c>
      <c r="YX21" s="20">
        <f t="shared" si="99"/>
        <v>13693.135574127857</v>
      </c>
      <c r="YY21" s="20">
        <f t="shared" si="99"/>
        <v>13556.204218386578</v>
      </c>
      <c r="YZ21" s="20">
        <f t="shared" si="99"/>
        <v>13420.642176202711</v>
      </c>
      <c r="ZA21" s="20">
        <f t="shared" si="99"/>
        <v>13286.435754440685</v>
      </c>
      <c r="ZB21" s="20">
        <f t="shared" si="99"/>
        <v>13153.571396896277</v>
      </c>
      <c r="ZC21" s="20">
        <f t="shared" si="99"/>
        <v>13022.035682927315</v>
      </c>
      <c r="ZD21" s="20">
        <f t="shared" si="99"/>
        <v>12891.815326098042</v>
      </c>
      <c r="ZE21" s="20">
        <f t="shared" si="99"/>
        <v>12762.897172837062</v>
      </c>
      <c r="ZF21" s="20">
        <f t="shared" si="99"/>
        <v>12635.268201108691</v>
      </c>
      <c r="ZG21" s="20">
        <f t="shared" si="99"/>
        <v>12508.915519097603</v>
      </c>
      <c r="ZH21" s="20">
        <f t="shared" si="99"/>
        <v>12383.826363906628</v>
      </c>
      <c r="ZI21" s="20">
        <f t="shared" si="99"/>
        <v>12259.988100267561</v>
      </c>
      <c r="ZJ21" s="20">
        <f t="shared" si="99"/>
        <v>12137.388219264885</v>
      </c>
      <c r="ZK21" s="20">
        <f t="shared" si="99"/>
        <v>12016.014337072236</v>
      </c>
      <c r="ZL21" s="20">
        <f t="shared" si="99"/>
        <v>11895.854193701514</v>
      </c>
      <c r="ZM21" s="20">
        <f t="shared" si="99"/>
        <v>11776.895651764498</v>
      </c>
      <c r="ZN21" s="20">
        <f t="shared" si="99"/>
        <v>11659.126695246854</v>
      </c>
      <c r="ZO21" s="20">
        <f t="shared" ref="ZO21:ABZ21" si="100">ZN21*(1+$BE$25)</f>
        <v>11542.535428294386</v>
      </c>
      <c r="ZP21" s="20">
        <f t="shared" si="100"/>
        <v>11427.110074011442</v>
      </c>
      <c r="ZQ21" s="20">
        <f t="shared" si="100"/>
        <v>11312.838973271328</v>
      </c>
      <c r="ZR21" s="20">
        <f t="shared" si="100"/>
        <v>11199.710583538614</v>
      </c>
      <c r="ZS21" s="20">
        <f t="shared" si="100"/>
        <v>11087.713477703228</v>
      </c>
      <c r="ZT21" s="20">
        <f t="shared" si="100"/>
        <v>10976.836342926195</v>
      </c>
      <c r="ZU21" s="20">
        <f t="shared" si="100"/>
        <v>10867.067979496933</v>
      </c>
      <c r="ZV21" s="20">
        <f t="shared" si="100"/>
        <v>10758.397299701963</v>
      </c>
      <c r="ZW21" s="20">
        <f t="shared" si="100"/>
        <v>10650.813326704943</v>
      </c>
      <c r="ZX21" s="20">
        <f t="shared" si="100"/>
        <v>10544.305193437895</v>
      </c>
      <c r="ZY21" s="20">
        <f t="shared" si="100"/>
        <v>10438.862141503516</v>
      </c>
      <c r="ZZ21" s="20">
        <f t="shared" si="100"/>
        <v>10334.473520088481</v>
      </c>
      <c r="AAA21" s="20">
        <f t="shared" si="100"/>
        <v>10231.128784887596</v>
      </c>
      <c r="AAB21" s="20">
        <f t="shared" si="100"/>
        <v>10128.817497038721</v>
      </c>
      <c r="AAC21" s="20">
        <f t="shared" si="100"/>
        <v>10027.529322068334</v>
      </c>
      <c r="AAD21" s="20">
        <f t="shared" si="100"/>
        <v>9927.2540288476503</v>
      </c>
      <c r="AAE21" s="20">
        <f t="shared" si="100"/>
        <v>9827.9814885591732</v>
      </c>
      <c r="AAF21" s="20">
        <f t="shared" si="100"/>
        <v>9729.7016736735804</v>
      </c>
      <c r="AAG21" s="20">
        <f t="shared" si="100"/>
        <v>9632.4046569368438</v>
      </c>
      <c r="AAH21" s="20">
        <f t="shared" si="100"/>
        <v>9536.0806103674749</v>
      </c>
      <c r="AAI21" s="20">
        <f t="shared" si="100"/>
        <v>9440.7198042637992</v>
      </c>
      <c r="AAJ21" s="20">
        <f t="shared" si="100"/>
        <v>9346.3126062211613</v>
      </c>
      <c r="AAK21" s="20">
        <f t="shared" si="100"/>
        <v>9252.8494801589495</v>
      </c>
      <c r="AAL21" s="20">
        <f t="shared" si="100"/>
        <v>9160.3209853573608</v>
      </c>
      <c r="AAM21" s="20">
        <f t="shared" si="100"/>
        <v>9068.7177755037865</v>
      </c>
      <c r="AAN21" s="20">
        <f t="shared" si="100"/>
        <v>8978.0305977487478</v>
      </c>
      <c r="AAO21" s="20">
        <f t="shared" si="100"/>
        <v>8888.2502917712609</v>
      </c>
      <c r="AAP21" s="20">
        <f t="shared" si="100"/>
        <v>8799.3677888535476</v>
      </c>
      <c r="AAQ21" s="20">
        <f t="shared" si="100"/>
        <v>8711.3741109650127</v>
      </c>
      <c r="AAR21" s="20">
        <f t="shared" si="100"/>
        <v>8624.260369855363</v>
      </c>
      <c r="AAS21" s="20">
        <f t="shared" si="100"/>
        <v>8538.0177661568086</v>
      </c>
      <c r="AAT21" s="20">
        <f t="shared" si="100"/>
        <v>8452.6375884952413</v>
      </c>
      <c r="AAU21" s="20">
        <f t="shared" si="100"/>
        <v>8368.1112126102889</v>
      </c>
      <c r="AAV21" s="20">
        <f t="shared" si="100"/>
        <v>8284.4301004841855</v>
      </c>
      <c r="AAW21" s="20">
        <f t="shared" si="100"/>
        <v>8201.5857994793441</v>
      </c>
      <c r="AAX21" s="20">
        <f t="shared" si="100"/>
        <v>8119.5699414845503</v>
      </c>
      <c r="AAY21" s="20">
        <f t="shared" si="100"/>
        <v>8038.3742420697045</v>
      </c>
      <c r="AAZ21" s="20">
        <f t="shared" si="100"/>
        <v>7957.9904996490077</v>
      </c>
      <c r="ABA21" s="20">
        <f t="shared" si="100"/>
        <v>7878.4105946525178</v>
      </c>
      <c r="ABB21" s="20">
        <f t="shared" si="100"/>
        <v>7799.6264887059924</v>
      </c>
      <c r="ABC21" s="20">
        <f t="shared" si="100"/>
        <v>7721.6302238189328</v>
      </c>
      <c r="ABD21" s="20">
        <f t="shared" si="100"/>
        <v>7644.4139215807436</v>
      </c>
      <c r="ABE21" s="20">
        <f t="shared" si="100"/>
        <v>7567.9697823649358</v>
      </c>
      <c r="ABF21" s="20">
        <f t="shared" si="100"/>
        <v>7492.290084541286</v>
      </c>
      <c r="ABG21" s="20">
        <f t="shared" si="100"/>
        <v>7417.3671836958729</v>
      </c>
      <c r="ABH21" s="20">
        <f t="shared" si="100"/>
        <v>7343.1935118589145</v>
      </c>
      <c r="ABI21" s="20">
        <f t="shared" si="100"/>
        <v>7269.7615767403249</v>
      </c>
      <c r="ABJ21" s="20">
        <f t="shared" si="100"/>
        <v>7197.0639609729214</v>
      </c>
      <c r="ABK21" s="20">
        <f t="shared" si="100"/>
        <v>7125.0933213631924</v>
      </c>
      <c r="ABL21" s="20">
        <f t="shared" si="100"/>
        <v>7053.8423881495601</v>
      </c>
      <c r="ABM21" s="20">
        <f t="shared" si="100"/>
        <v>6983.3039642680642</v>
      </c>
      <c r="ABN21" s="20">
        <f t="shared" si="100"/>
        <v>6913.4709246253833</v>
      </c>
      <c r="ABO21" s="20">
        <f t="shared" si="100"/>
        <v>6844.3362153791295</v>
      </c>
      <c r="ABP21" s="20">
        <f t="shared" si="100"/>
        <v>6775.8928532253385</v>
      </c>
      <c r="ABQ21" s="20">
        <f t="shared" si="100"/>
        <v>6708.1339246930847</v>
      </c>
      <c r="ABR21" s="20">
        <f t="shared" si="100"/>
        <v>6641.0525854461539</v>
      </c>
      <c r="ABS21" s="20">
        <f t="shared" si="100"/>
        <v>6574.6420595916925</v>
      </c>
      <c r="ABT21" s="20">
        <f t="shared" si="100"/>
        <v>6508.8956389957757</v>
      </c>
      <c r="ABU21" s="20">
        <f t="shared" si="100"/>
        <v>6443.8066826058175</v>
      </c>
      <c r="ABV21" s="20">
        <f t="shared" si="100"/>
        <v>6379.3686157797592</v>
      </c>
      <c r="ABW21" s="20">
        <f t="shared" si="100"/>
        <v>6315.5749296219619</v>
      </c>
      <c r="ABX21" s="20">
        <f t="shared" si="100"/>
        <v>6252.4191803257427</v>
      </c>
      <c r="ABY21" s="20">
        <f t="shared" si="100"/>
        <v>6189.8949885224856</v>
      </c>
      <c r="ABZ21" s="20">
        <f t="shared" si="100"/>
        <v>6127.9960386372604</v>
      </c>
      <c r="ACA21" s="20">
        <f t="shared" ref="ACA21:AEL21" si="101">ABZ21*(1+$BE$25)</f>
        <v>6066.7160782508881</v>
      </c>
      <c r="ACB21" s="20">
        <f t="shared" si="101"/>
        <v>6006.0489174683789</v>
      </c>
      <c r="ACC21" s="20">
        <f t="shared" si="101"/>
        <v>5945.9884282936955</v>
      </c>
      <c r="ACD21" s="20">
        <f t="shared" si="101"/>
        <v>5886.5285440107582</v>
      </c>
      <c r="ACE21" s="20">
        <f t="shared" si="101"/>
        <v>5827.6632585706502</v>
      </c>
      <c r="ACF21" s="20">
        <f t="shared" si="101"/>
        <v>5769.3866259849437</v>
      </c>
      <c r="ACG21" s="20">
        <f t="shared" si="101"/>
        <v>5711.6927597250942</v>
      </c>
      <c r="ACH21" s="20">
        <f t="shared" si="101"/>
        <v>5654.5758321278436</v>
      </c>
      <c r="ACI21" s="20">
        <f t="shared" si="101"/>
        <v>5598.0300738065653</v>
      </c>
      <c r="ACJ21" s="20">
        <f t="shared" si="101"/>
        <v>5542.0497730684992</v>
      </c>
      <c r="ACK21" s="20">
        <f t="shared" si="101"/>
        <v>5486.6292753378139</v>
      </c>
      <c r="ACL21" s="20">
        <f t="shared" si="101"/>
        <v>5431.762982584436</v>
      </c>
      <c r="ACM21" s="20">
        <f t="shared" si="101"/>
        <v>5377.445352758592</v>
      </c>
      <c r="ACN21" s="20">
        <f t="shared" si="101"/>
        <v>5323.6708992310059</v>
      </c>
      <c r="ACO21" s="20">
        <f t="shared" si="101"/>
        <v>5270.4341902386959</v>
      </c>
      <c r="ACP21" s="20">
        <f t="shared" si="101"/>
        <v>5217.7298483363093</v>
      </c>
      <c r="ACQ21" s="20">
        <f t="shared" si="101"/>
        <v>5165.552549852946</v>
      </c>
      <c r="ACR21" s="20">
        <f t="shared" si="101"/>
        <v>5113.8970243544163</v>
      </c>
      <c r="ACS21" s="20">
        <f t="shared" si="101"/>
        <v>5062.7580541108719</v>
      </c>
      <c r="ACT21" s="20">
        <f t="shared" si="101"/>
        <v>5012.1304735697631</v>
      </c>
      <c r="ACU21" s="20">
        <f t="shared" si="101"/>
        <v>4962.0091688340653</v>
      </c>
      <c r="ACV21" s="20">
        <f t="shared" si="101"/>
        <v>4912.3890771457245</v>
      </c>
      <c r="ACW21" s="20">
        <f t="shared" si="101"/>
        <v>4863.2651863742676</v>
      </c>
      <c r="ACX21" s="20">
        <f t="shared" si="101"/>
        <v>4814.6325345105251</v>
      </c>
      <c r="ACY21" s="20">
        <f t="shared" si="101"/>
        <v>4766.4862091654195</v>
      </c>
      <c r="ACZ21" s="20">
        <f t="shared" si="101"/>
        <v>4718.8213470737655</v>
      </c>
      <c r="ADA21" s="20">
        <f t="shared" si="101"/>
        <v>4671.633133603028</v>
      </c>
      <c r="ADB21" s="20">
        <f t="shared" si="101"/>
        <v>4624.9168022669974</v>
      </c>
      <c r="ADC21" s="20">
        <f t="shared" si="101"/>
        <v>4578.667634244327</v>
      </c>
      <c r="ADD21" s="20">
        <f t="shared" si="101"/>
        <v>4532.8809579018834</v>
      </c>
      <c r="ADE21" s="20">
        <f t="shared" si="101"/>
        <v>4487.5521483228649</v>
      </c>
      <c r="ADF21" s="20">
        <f t="shared" si="101"/>
        <v>4442.6766268396359</v>
      </c>
      <c r="ADG21" s="20">
        <f t="shared" si="101"/>
        <v>4398.2498605712399</v>
      </c>
      <c r="ADH21" s="20">
        <f t="shared" si="101"/>
        <v>4354.267361965527</v>
      </c>
      <c r="ADI21" s="20">
        <f t="shared" si="101"/>
        <v>4310.724688345872</v>
      </c>
      <c r="ADJ21" s="20">
        <f t="shared" si="101"/>
        <v>4267.6174414624129</v>
      </c>
      <c r="ADK21" s="20">
        <f t="shared" si="101"/>
        <v>4224.9412670477886</v>
      </c>
      <c r="ADL21" s="20">
        <f t="shared" si="101"/>
        <v>4182.6918543773108</v>
      </c>
      <c r="ADM21" s="20">
        <f t="shared" si="101"/>
        <v>4140.8649358335379</v>
      </c>
      <c r="ADN21" s="20">
        <f t="shared" si="101"/>
        <v>4099.4562864752024</v>
      </c>
      <c r="ADO21" s="20">
        <f t="shared" si="101"/>
        <v>4058.4617236104505</v>
      </c>
      <c r="ADP21" s="20">
        <f t="shared" si="101"/>
        <v>4017.8771063743461</v>
      </c>
      <c r="ADQ21" s="20">
        <f t="shared" si="101"/>
        <v>3977.6983353106025</v>
      </c>
      <c r="ADR21" s="20">
        <f t="shared" si="101"/>
        <v>3937.9213519574964</v>
      </c>
      <c r="ADS21" s="20">
        <f t="shared" si="101"/>
        <v>3898.5421384379215</v>
      </c>
      <c r="ADT21" s="20">
        <f t="shared" si="101"/>
        <v>3859.5567170535423</v>
      </c>
      <c r="ADU21" s="20">
        <f t="shared" si="101"/>
        <v>3820.9611498830068</v>
      </c>
      <c r="ADV21" s="20">
        <f t="shared" si="101"/>
        <v>3782.7515383841765</v>
      </c>
      <c r="ADW21" s="20">
        <f t="shared" si="101"/>
        <v>3744.9240230003347</v>
      </c>
      <c r="ADX21" s="20">
        <f t="shared" si="101"/>
        <v>3707.4747827703313</v>
      </c>
      <c r="ADY21" s="20">
        <f t="shared" si="101"/>
        <v>3670.4000349426278</v>
      </c>
      <c r="ADZ21" s="20">
        <f t="shared" si="101"/>
        <v>3633.6960345932016</v>
      </c>
      <c r="AEA21" s="20">
        <f t="shared" si="101"/>
        <v>3597.3590742472697</v>
      </c>
      <c r="AEB21" s="20">
        <f t="shared" si="101"/>
        <v>3561.3854835047969</v>
      </c>
      <c r="AEC21" s="20">
        <f t="shared" si="101"/>
        <v>3525.7716286697487</v>
      </c>
      <c r="AED21" s="20">
        <f t="shared" si="101"/>
        <v>3490.5139123830513</v>
      </c>
      <c r="AEE21" s="20">
        <f t="shared" si="101"/>
        <v>3455.6087732592209</v>
      </c>
      <c r="AEF21" s="20">
        <f t="shared" si="101"/>
        <v>3421.0526855266285</v>
      </c>
      <c r="AEG21" s="20">
        <f t="shared" si="101"/>
        <v>3386.8421586713621</v>
      </c>
      <c r="AEH21" s="20">
        <f t="shared" si="101"/>
        <v>3352.9737370846483</v>
      </c>
      <c r="AEI21" s="20">
        <f t="shared" si="101"/>
        <v>3319.443999713802</v>
      </c>
      <c r="AEJ21" s="20">
        <f t="shared" si="101"/>
        <v>3286.249559716664</v>
      </c>
      <c r="AEK21" s="20">
        <f t="shared" si="101"/>
        <v>3253.3870641194972</v>
      </c>
      <c r="AEL21" s="20">
        <f t="shared" si="101"/>
        <v>3220.8531934783023</v>
      </c>
      <c r="AEM21" s="20">
        <f t="shared" ref="AEM21:AGX21" si="102">AEL21*(1+$BE$25)</f>
        <v>3188.6446615435193</v>
      </c>
      <c r="AEN21" s="20">
        <f t="shared" si="102"/>
        <v>3156.7582149280843</v>
      </c>
      <c r="AEO21" s="20">
        <f t="shared" si="102"/>
        <v>3125.1906327788033</v>
      </c>
      <c r="AEP21" s="20">
        <f t="shared" si="102"/>
        <v>3093.9387264510151</v>
      </c>
      <c r="AEQ21" s="20">
        <f t="shared" si="102"/>
        <v>3062.999339186505</v>
      </c>
      <c r="AER21" s="20">
        <f t="shared" si="102"/>
        <v>3032.3693457946401</v>
      </c>
      <c r="AES21" s="20">
        <f t="shared" si="102"/>
        <v>3002.0456523366938</v>
      </c>
      <c r="AET21" s="20">
        <f t="shared" si="102"/>
        <v>2972.0251958133267</v>
      </c>
      <c r="AEU21" s="20">
        <f t="shared" si="102"/>
        <v>2942.3049438551934</v>
      </c>
      <c r="AEV21" s="20">
        <f t="shared" si="102"/>
        <v>2912.8818944166414</v>
      </c>
      <c r="AEW21" s="20">
        <f t="shared" si="102"/>
        <v>2883.7530754724748</v>
      </c>
      <c r="AEX21" s="20">
        <f t="shared" si="102"/>
        <v>2854.91554471775</v>
      </c>
      <c r="AEY21" s="20">
        <f t="shared" si="102"/>
        <v>2826.3663892705727</v>
      </c>
      <c r="AEZ21" s="20">
        <f t="shared" si="102"/>
        <v>2798.102725377867</v>
      </c>
      <c r="AFA21" s="20">
        <f t="shared" si="102"/>
        <v>2770.1216981240882</v>
      </c>
      <c r="AFB21" s="20">
        <f t="shared" si="102"/>
        <v>2742.4204811428472</v>
      </c>
      <c r="AFC21" s="20">
        <f t="shared" si="102"/>
        <v>2714.9962763314188</v>
      </c>
      <c r="AFD21" s="20">
        <f t="shared" si="102"/>
        <v>2687.8463135681045</v>
      </c>
      <c r="AFE21" s="20">
        <f t="shared" si="102"/>
        <v>2660.9678504324233</v>
      </c>
      <c r="AFF21" s="20">
        <f t="shared" si="102"/>
        <v>2634.3581719280992</v>
      </c>
      <c r="AFG21" s="20">
        <f t="shared" si="102"/>
        <v>2608.0145902088184</v>
      </c>
      <c r="AFH21" s="20">
        <f t="shared" si="102"/>
        <v>2581.9344443067303</v>
      </c>
      <c r="AFI21" s="20">
        <f t="shared" si="102"/>
        <v>2556.1150998636631</v>
      </c>
      <c r="AFJ21" s="20">
        <f t="shared" si="102"/>
        <v>2530.5539488650265</v>
      </c>
      <c r="AFK21" s="20">
        <f t="shared" si="102"/>
        <v>2505.2484093763765</v>
      </c>
      <c r="AFL21" s="20">
        <f t="shared" si="102"/>
        <v>2480.1959252826127</v>
      </c>
      <c r="AFM21" s="20">
        <f t="shared" si="102"/>
        <v>2455.3939660297865</v>
      </c>
      <c r="AFN21" s="20">
        <f t="shared" si="102"/>
        <v>2430.8400263694884</v>
      </c>
      <c r="AFO21" s="20">
        <f t="shared" si="102"/>
        <v>2406.5316261057937</v>
      </c>
      <c r="AFP21" s="20">
        <f t="shared" si="102"/>
        <v>2382.4663098447359</v>
      </c>
      <c r="AFQ21" s="20">
        <f t="shared" si="102"/>
        <v>2358.6416467462886</v>
      </c>
      <c r="AFR21" s="20">
        <f t="shared" si="102"/>
        <v>2335.0552302788255</v>
      </c>
      <c r="AFS21" s="20">
        <f t="shared" si="102"/>
        <v>2311.7046779760371</v>
      </c>
      <c r="AFT21" s="20">
        <f t="shared" si="102"/>
        <v>2288.5876311962766</v>
      </c>
      <c r="AFU21" s="20">
        <f t="shared" si="102"/>
        <v>2265.7017548843137</v>
      </c>
      <c r="AFV21" s="20">
        <f t="shared" si="102"/>
        <v>2243.0447373354705</v>
      </c>
      <c r="AFW21" s="20">
        <f t="shared" si="102"/>
        <v>2220.6142899621159</v>
      </c>
      <c r="AFX21" s="20">
        <f t="shared" si="102"/>
        <v>2198.4081470624947</v>
      </c>
      <c r="AFY21" s="20">
        <f t="shared" si="102"/>
        <v>2176.4240655918697</v>
      </c>
      <c r="AFZ21" s="20">
        <f t="shared" si="102"/>
        <v>2154.6598249359508</v>
      </c>
      <c r="AGA21" s="20">
        <f t="shared" si="102"/>
        <v>2133.1132266865911</v>
      </c>
      <c r="AGB21" s="20">
        <f t="shared" si="102"/>
        <v>2111.7820944197251</v>
      </c>
      <c r="AGC21" s="20">
        <f t="shared" si="102"/>
        <v>2090.6642734755278</v>
      </c>
      <c r="AGD21" s="20">
        <f t="shared" si="102"/>
        <v>2069.7576307407726</v>
      </c>
      <c r="AGE21" s="20">
        <f t="shared" si="102"/>
        <v>2049.0600544333647</v>
      </c>
      <c r="AGF21" s="20">
        <f t="shared" si="102"/>
        <v>2028.5694538890311</v>
      </c>
      <c r="AGG21" s="20">
        <f t="shared" si="102"/>
        <v>2008.2837593501408</v>
      </c>
      <c r="AGH21" s="20">
        <f t="shared" si="102"/>
        <v>1988.2009217566394</v>
      </c>
      <c r="AGI21" s="20">
        <f t="shared" si="102"/>
        <v>1968.3189125390729</v>
      </c>
      <c r="AGJ21" s="20">
        <f t="shared" si="102"/>
        <v>1948.6357234136822</v>
      </c>
      <c r="AGK21" s="20">
        <f t="shared" si="102"/>
        <v>1929.1493661795453</v>
      </c>
      <c r="AGL21" s="20">
        <f t="shared" si="102"/>
        <v>1909.8578725177499</v>
      </c>
      <c r="AGM21" s="20">
        <f t="shared" si="102"/>
        <v>1890.7592937925724</v>
      </c>
      <c r="AGN21" s="20">
        <f t="shared" si="102"/>
        <v>1871.8517008546467</v>
      </c>
      <c r="AGO21" s="20">
        <f t="shared" si="102"/>
        <v>1853.1331838461001</v>
      </c>
      <c r="AGP21" s="20">
        <f t="shared" si="102"/>
        <v>1834.6018520076391</v>
      </c>
      <c r="AGQ21" s="20">
        <f t="shared" si="102"/>
        <v>1816.2558334875628</v>
      </c>
      <c r="AGR21" s="20">
        <f t="shared" si="102"/>
        <v>1798.0932751526871</v>
      </c>
      <c r="AGS21" s="20">
        <f t="shared" si="102"/>
        <v>1780.1123424011603</v>
      </c>
      <c r="AGT21" s="20">
        <f t="shared" si="102"/>
        <v>1762.3112189771487</v>
      </c>
      <c r="AGU21" s="20">
        <f t="shared" si="102"/>
        <v>1744.6881067873771</v>
      </c>
      <c r="AGV21" s="20">
        <f t="shared" si="102"/>
        <v>1727.2412257195033</v>
      </c>
      <c r="AGW21" s="20">
        <f t="shared" si="102"/>
        <v>1709.9688134623082</v>
      </c>
      <c r="AGX21" s="20">
        <f t="shared" si="102"/>
        <v>1692.869125327685</v>
      </c>
      <c r="AGY21" s="20">
        <f t="shared" ref="AGY21:AJJ21" si="103">AGX21*(1+$BE$25)</f>
        <v>1675.9404340744081</v>
      </c>
      <c r="AGZ21" s="20">
        <f t="shared" si="103"/>
        <v>1659.181029733664</v>
      </c>
      <c r="AHA21" s="20">
        <f t="shared" si="103"/>
        <v>1642.5892194363273</v>
      </c>
      <c r="AHB21" s="20">
        <f t="shared" si="103"/>
        <v>1626.163327241964</v>
      </c>
      <c r="AHC21" s="20">
        <f t="shared" si="103"/>
        <v>1609.9016939695443</v>
      </c>
      <c r="AHD21" s="20">
        <f t="shared" si="103"/>
        <v>1593.8026770298488</v>
      </c>
      <c r="AHE21" s="20">
        <f t="shared" si="103"/>
        <v>1577.8646502595504</v>
      </c>
      <c r="AHF21" s="20">
        <f t="shared" si="103"/>
        <v>1562.0860037569548</v>
      </c>
      <c r="AHG21" s="20">
        <f t="shared" si="103"/>
        <v>1546.4651437193852</v>
      </c>
      <c r="AHH21" s="20">
        <f t="shared" si="103"/>
        <v>1531.0004922821913</v>
      </c>
      <c r="AHI21" s="20">
        <f t="shared" si="103"/>
        <v>1515.6904873593694</v>
      </c>
      <c r="AHJ21" s="20">
        <f t="shared" si="103"/>
        <v>1500.5335824857757</v>
      </c>
      <c r="AHK21" s="20">
        <f t="shared" si="103"/>
        <v>1485.5282466609178</v>
      </c>
      <c r="AHL21" s="20">
        <f t="shared" si="103"/>
        <v>1470.6729641943086</v>
      </c>
      <c r="AHM21" s="20">
        <f t="shared" si="103"/>
        <v>1455.9662345523654</v>
      </c>
      <c r="AHN21" s="20">
        <f t="shared" si="103"/>
        <v>1441.4065722068417</v>
      </c>
      <c r="AHO21" s="20">
        <f t="shared" si="103"/>
        <v>1426.9925064847732</v>
      </c>
      <c r="AHP21" s="20">
        <f t="shared" si="103"/>
        <v>1412.7225814199255</v>
      </c>
      <c r="AHQ21" s="20">
        <f t="shared" si="103"/>
        <v>1398.5953556057264</v>
      </c>
      <c r="AHR21" s="20">
        <f t="shared" si="103"/>
        <v>1384.6094020496691</v>
      </c>
      <c r="AHS21" s="20">
        <f t="shared" si="103"/>
        <v>1370.7633080291725</v>
      </c>
      <c r="AHT21" s="20">
        <f t="shared" si="103"/>
        <v>1357.0556749488808</v>
      </c>
      <c r="AHU21" s="20">
        <f t="shared" si="103"/>
        <v>1343.485118199392</v>
      </c>
      <c r="AHV21" s="20">
        <f t="shared" si="103"/>
        <v>1330.050267017398</v>
      </c>
      <c r="AHW21" s="20">
        <f t="shared" si="103"/>
        <v>1316.7497643472241</v>
      </c>
      <c r="AHX21" s="20">
        <f t="shared" si="103"/>
        <v>1303.5822667037519</v>
      </c>
      <c r="AHY21" s="20">
        <f t="shared" si="103"/>
        <v>1290.5464440367143</v>
      </c>
      <c r="AHZ21" s="20">
        <f t="shared" si="103"/>
        <v>1277.6409795963471</v>
      </c>
      <c r="AIA21" s="20">
        <f t="shared" si="103"/>
        <v>1264.8645698003836</v>
      </c>
      <c r="AIB21" s="20">
        <f t="shared" si="103"/>
        <v>1252.2159241023799</v>
      </c>
      <c r="AIC21" s="20">
        <f t="shared" si="103"/>
        <v>1239.6937648613562</v>
      </c>
      <c r="AID21" s="20">
        <f t="shared" si="103"/>
        <v>1227.2968272127425</v>
      </c>
      <c r="AIE21" s="20">
        <f t="shared" si="103"/>
        <v>1215.0238589406151</v>
      </c>
      <c r="AIF21" s="20">
        <f t="shared" si="103"/>
        <v>1202.873620351209</v>
      </c>
      <c r="AIG21" s="20">
        <f t="shared" si="103"/>
        <v>1190.8448841476968</v>
      </c>
      <c r="AIH21" s="20">
        <f t="shared" si="103"/>
        <v>1178.9364353062199</v>
      </c>
      <c r="AII21" s="20">
        <f t="shared" si="103"/>
        <v>1167.1470709531577</v>
      </c>
      <c r="AIJ21" s="20">
        <f t="shared" si="103"/>
        <v>1155.4756002436261</v>
      </c>
      <c r="AIK21" s="20">
        <f t="shared" si="103"/>
        <v>1143.9208442411898</v>
      </c>
      <c r="AIL21" s="20">
        <f t="shared" si="103"/>
        <v>1132.4816357987779</v>
      </c>
      <c r="AIM21" s="20">
        <f t="shared" si="103"/>
        <v>1121.1568194407901</v>
      </c>
      <c r="AIN21" s="20">
        <f t="shared" si="103"/>
        <v>1109.9452512463822</v>
      </c>
      <c r="AIO21" s="20">
        <f t="shared" si="103"/>
        <v>1098.8457987339184</v>
      </c>
      <c r="AIP21" s="20">
        <f t="shared" si="103"/>
        <v>1087.8573407465792</v>
      </c>
      <c r="AIQ21" s="20">
        <f t="shared" si="103"/>
        <v>1076.9787673391133</v>
      </c>
      <c r="AIR21" s="20">
        <f t="shared" si="103"/>
        <v>1066.2089796657222</v>
      </c>
      <c r="AIS21" s="20">
        <f t="shared" si="103"/>
        <v>1055.5468898690649</v>
      </c>
      <c r="AIT21" s="20">
        <f t="shared" si="103"/>
        <v>1044.9914209703743</v>
      </c>
      <c r="AIU21" s="20">
        <f t="shared" si="103"/>
        <v>1034.5415067606705</v>
      </c>
      <c r="AIV21" s="20">
        <f t="shared" si="103"/>
        <v>1024.1960916930639</v>
      </c>
      <c r="AIW21" s="20">
        <f t="shared" si="103"/>
        <v>1013.9541307761332</v>
      </c>
      <c r="AIX21" s="20">
        <f t="shared" si="103"/>
        <v>1003.8145894683719</v>
      </c>
      <c r="AIY21" s="20">
        <f t="shared" si="103"/>
        <v>993.7764435736882</v>
      </c>
      <c r="AIZ21" s="20">
        <f t="shared" si="103"/>
        <v>983.83867913795132</v>
      </c>
      <c r="AJA21" s="20">
        <f t="shared" si="103"/>
        <v>974.00029234657177</v>
      </c>
      <c r="AJB21" s="20">
        <f t="shared" si="103"/>
        <v>964.26028942310609</v>
      </c>
      <c r="AJC21" s="20">
        <f t="shared" si="103"/>
        <v>954.61768652887497</v>
      </c>
      <c r="AJD21" s="20">
        <f t="shared" si="103"/>
        <v>945.0715096635862</v>
      </c>
      <c r="AJE21" s="20">
        <f t="shared" si="103"/>
        <v>935.62079456695028</v>
      </c>
      <c r="AJF21" s="20">
        <f t="shared" si="103"/>
        <v>926.26458662128073</v>
      </c>
      <c r="AJG21" s="20">
        <f t="shared" si="103"/>
        <v>917.00194075506795</v>
      </c>
      <c r="AJH21" s="20">
        <f t="shared" si="103"/>
        <v>907.83192134751721</v>
      </c>
      <c r="AJI21" s="20">
        <f t="shared" si="103"/>
        <v>898.75360213404201</v>
      </c>
      <c r="AJJ21" s="20">
        <f t="shared" si="103"/>
        <v>889.76606611270154</v>
      </c>
      <c r="AJK21" s="20">
        <f t="shared" ref="AJK21:ALV21" si="104">AJJ21*(1+$BE$25)</f>
        <v>880.86840545157452</v>
      </c>
      <c r="AJL21" s="20">
        <f t="shared" si="104"/>
        <v>872.05972139705875</v>
      </c>
      <c r="AJM21" s="20">
        <f t="shared" si="104"/>
        <v>863.33912418308819</v>
      </c>
      <c r="AJN21" s="20">
        <f t="shared" si="104"/>
        <v>854.70573294125734</v>
      </c>
      <c r="AJO21" s="20">
        <f t="shared" si="104"/>
        <v>846.15867561184473</v>
      </c>
      <c r="AJP21" s="20">
        <f t="shared" si="104"/>
        <v>837.69708885572629</v>
      </c>
      <c r="AJQ21" s="20">
        <f t="shared" si="104"/>
        <v>829.32011796716904</v>
      </c>
      <c r="AJR21" s="20">
        <f t="shared" si="104"/>
        <v>821.02691678749738</v>
      </c>
      <c r="AJS21" s="20">
        <f t="shared" si="104"/>
        <v>812.81664761962236</v>
      </c>
      <c r="AJT21" s="20">
        <f t="shared" si="104"/>
        <v>804.68848114342609</v>
      </c>
      <c r="AJU21" s="20">
        <f t="shared" si="104"/>
        <v>796.64159633199176</v>
      </c>
      <c r="AJV21" s="20">
        <f t="shared" si="104"/>
        <v>788.67518036867182</v>
      </c>
      <c r="AJW21" s="20">
        <f t="shared" si="104"/>
        <v>780.78842856498511</v>
      </c>
      <c r="AJX21" s="20">
        <f t="shared" si="104"/>
        <v>772.98054427933528</v>
      </c>
      <c r="AJY21" s="20">
        <f t="shared" si="104"/>
        <v>765.25073883654193</v>
      </c>
      <c r="AJZ21" s="20">
        <f t="shared" si="104"/>
        <v>757.59823144817653</v>
      </c>
      <c r="AKA21" s="20">
        <f t="shared" si="104"/>
        <v>750.0222491336948</v>
      </c>
      <c r="AKB21" s="20">
        <f t="shared" si="104"/>
        <v>742.5220266423579</v>
      </c>
      <c r="AKC21" s="20">
        <f t="shared" si="104"/>
        <v>735.09680637593431</v>
      </c>
      <c r="AKD21" s="20">
        <f t="shared" si="104"/>
        <v>727.74583831217501</v>
      </c>
      <c r="AKE21" s="20">
        <f t="shared" si="104"/>
        <v>720.4683799290533</v>
      </c>
      <c r="AKF21" s="20">
        <f t="shared" si="104"/>
        <v>713.26369612976271</v>
      </c>
      <c r="AKG21" s="20">
        <f t="shared" si="104"/>
        <v>706.13105916846507</v>
      </c>
      <c r="AKH21" s="20">
        <f t="shared" si="104"/>
        <v>699.0697485767804</v>
      </c>
      <c r="AKI21" s="20">
        <f t="shared" si="104"/>
        <v>692.07905109101262</v>
      </c>
      <c r="AKJ21" s="20">
        <f t="shared" si="104"/>
        <v>685.15826058010248</v>
      </c>
      <c r="AKK21" s="20">
        <f t="shared" si="104"/>
        <v>678.30667797430146</v>
      </c>
      <c r="AKL21" s="20">
        <f t="shared" si="104"/>
        <v>671.5236111945585</v>
      </c>
      <c r="AKM21" s="20">
        <f t="shared" si="104"/>
        <v>664.80837508261288</v>
      </c>
      <c r="AKN21" s="20">
        <f t="shared" si="104"/>
        <v>658.16029133178677</v>
      </c>
      <c r="AKO21" s="20">
        <f t="shared" si="104"/>
        <v>651.57868841846891</v>
      </c>
      <c r="AKP21" s="20">
        <f t="shared" si="104"/>
        <v>645.06290153428426</v>
      </c>
      <c r="AKQ21" s="20">
        <f t="shared" si="104"/>
        <v>638.61227251894138</v>
      </c>
      <c r="AKR21" s="20">
        <f t="shared" si="104"/>
        <v>632.22614979375192</v>
      </c>
      <c r="AKS21" s="20">
        <f t="shared" si="104"/>
        <v>625.90388829581434</v>
      </c>
      <c r="AKT21" s="20">
        <f t="shared" si="104"/>
        <v>619.64484941285616</v>
      </c>
      <c r="AKU21" s="20">
        <f t="shared" si="104"/>
        <v>613.44840091872754</v>
      </c>
      <c r="AKV21" s="20">
        <f t="shared" si="104"/>
        <v>607.31391690954024</v>
      </c>
      <c r="AKW21" s="20">
        <f t="shared" si="104"/>
        <v>601.24077774044486</v>
      </c>
      <c r="AKX21" s="20">
        <f t="shared" si="104"/>
        <v>595.22836996304045</v>
      </c>
      <c r="AKY21" s="20">
        <f t="shared" si="104"/>
        <v>589.27608626341009</v>
      </c>
      <c r="AKZ21" s="20">
        <f t="shared" si="104"/>
        <v>583.38332540077602</v>
      </c>
      <c r="ALA21" s="20">
        <f t="shared" si="104"/>
        <v>577.54949214676822</v>
      </c>
      <c r="ALB21" s="20">
        <f t="shared" si="104"/>
        <v>571.77399722530049</v>
      </c>
      <c r="ALC21" s="20">
        <f t="shared" si="104"/>
        <v>566.05625725304753</v>
      </c>
      <c r="ALD21" s="20">
        <f t="shared" si="104"/>
        <v>560.39569468051707</v>
      </c>
      <c r="ALE21" s="20">
        <f t="shared" si="104"/>
        <v>554.7917377337119</v>
      </c>
      <c r="ALF21" s="20">
        <f t="shared" si="104"/>
        <v>549.24382035637473</v>
      </c>
      <c r="ALG21" s="20">
        <f t="shared" si="104"/>
        <v>543.75138215281095</v>
      </c>
      <c r="ALH21" s="20">
        <f t="shared" si="104"/>
        <v>538.31386833128283</v>
      </c>
      <c r="ALI21" s="20">
        <f t="shared" si="104"/>
        <v>532.93072964797</v>
      </c>
      <c r="ALJ21" s="20">
        <f t="shared" si="104"/>
        <v>527.60142235149033</v>
      </c>
      <c r="ALK21" s="20">
        <f t="shared" si="104"/>
        <v>522.32540812797538</v>
      </c>
      <c r="ALL21" s="20">
        <f t="shared" si="104"/>
        <v>517.10215404669566</v>
      </c>
      <c r="ALM21" s="20">
        <f t="shared" si="104"/>
        <v>511.93113250622872</v>
      </c>
      <c r="ALN21" s="20">
        <f t="shared" si="104"/>
        <v>506.81182118116641</v>
      </c>
      <c r="ALO21" s="20">
        <f t="shared" si="104"/>
        <v>501.74370296935473</v>
      </c>
      <c r="ALP21" s="20">
        <f t="shared" si="104"/>
        <v>496.72626593966118</v>
      </c>
      <c r="ALQ21" s="20">
        <f t="shared" si="104"/>
        <v>491.75900328026455</v>
      </c>
      <c r="ALR21" s="20">
        <f t="shared" si="104"/>
        <v>486.8414132474619</v>
      </c>
      <c r="ALS21" s="20">
        <f t="shared" si="104"/>
        <v>481.97299911498726</v>
      </c>
      <c r="ALT21" s="20">
        <f t="shared" si="104"/>
        <v>477.15326912383739</v>
      </c>
      <c r="ALU21" s="20">
        <f t="shared" si="104"/>
        <v>472.38173643259898</v>
      </c>
      <c r="ALV21" s="20">
        <f t="shared" si="104"/>
        <v>467.65791906827297</v>
      </c>
      <c r="ALW21" s="20">
        <f t="shared" ref="ALW21:AOH21" si="105">ALV21*(1+$BE$25)</f>
        <v>462.98133987759024</v>
      </c>
      <c r="ALX21" s="20">
        <f t="shared" si="105"/>
        <v>458.35152647881432</v>
      </c>
      <c r="ALY21" s="20">
        <f t="shared" si="105"/>
        <v>453.76801121402616</v>
      </c>
      <c r="ALZ21" s="20">
        <f t="shared" si="105"/>
        <v>449.23033110188589</v>
      </c>
      <c r="AMA21" s="20">
        <f t="shared" si="105"/>
        <v>444.73802779086702</v>
      </c>
      <c r="AMB21" s="20">
        <f t="shared" si="105"/>
        <v>440.29064751295834</v>
      </c>
      <c r="AMC21" s="20">
        <f t="shared" si="105"/>
        <v>435.88774103782873</v>
      </c>
      <c r="AMD21" s="20">
        <f t="shared" si="105"/>
        <v>431.52886362745045</v>
      </c>
      <c r="AME21" s="20">
        <f t="shared" si="105"/>
        <v>427.21357499117596</v>
      </c>
      <c r="AMF21" s="20">
        <f t="shared" si="105"/>
        <v>422.94143924126422</v>
      </c>
      <c r="AMG21" s="20">
        <f t="shared" si="105"/>
        <v>418.71202484885157</v>
      </c>
      <c r="AMH21" s="20">
        <f t="shared" si="105"/>
        <v>414.52490460036307</v>
      </c>
      <c r="AMI21" s="20">
        <f t="shared" si="105"/>
        <v>410.37965555435943</v>
      </c>
      <c r="AMJ21" s="20">
        <f t="shared" si="105"/>
        <v>406.27585899881581</v>
      </c>
      <c r="AMK21" s="20">
        <f t="shared" si="105"/>
        <v>402.21310040882764</v>
      </c>
      <c r="AML21" s="20">
        <f t="shared" si="105"/>
        <v>398.19096940473935</v>
      </c>
      <c r="AMM21" s="20">
        <f t="shared" si="105"/>
        <v>394.20905971069197</v>
      </c>
      <c r="AMN21" s="20">
        <f t="shared" si="105"/>
        <v>390.26696911358505</v>
      </c>
      <c r="AMO21" s="20">
        <f t="shared" si="105"/>
        <v>386.36429942244922</v>
      </c>
      <c r="AMP21" s="20">
        <f t="shared" si="105"/>
        <v>382.50065642822472</v>
      </c>
      <c r="AMQ21" s="20">
        <f t="shared" si="105"/>
        <v>378.67564986394245</v>
      </c>
      <c r="AMR21" s="20">
        <f t="shared" si="105"/>
        <v>374.88889336530303</v>
      </c>
      <c r="AMS21" s="20">
        <f t="shared" si="105"/>
        <v>371.14000443165003</v>
      </c>
      <c r="AMT21" s="20">
        <f t="shared" si="105"/>
        <v>367.42860438733351</v>
      </c>
      <c r="AMU21" s="20">
        <f t="shared" si="105"/>
        <v>363.75431834346017</v>
      </c>
      <c r="AMV21" s="20">
        <f t="shared" si="105"/>
        <v>360.11677516002555</v>
      </c>
      <c r="AMW21" s="20">
        <f t="shared" si="105"/>
        <v>356.5156074084253</v>
      </c>
      <c r="AMX21" s="20">
        <f t="shared" si="105"/>
        <v>352.95045133434104</v>
      </c>
      <c r="AMY21" s="20">
        <f t="shared" si="105"/>
        <v>349.42094682099764</v>
      </c>
      <c r="AMZ21" s="20">
        <f t="shared" si="105"/>
        <v>345.92673735278765</v>
      </c>
      <c r="ANA21" s="20">
        <f t="shared" si="105"/>
        <v>342.46746997925976</v>
      </c>
      <c r="ANB21" s="20">
        <f t="shared" si="105"/>
        <v>339.04279527946716</v>
      </c>
      <c r="ANC21" s="20">
        <f t="shared" si="105"/>
        <v>335.6523673266725</v>
      </c>
      <c r="AND21" s="20">
        <f t="shared" si="105"/>
        <v>332.29584365340577</v>
      </c>
      <c r="ANE21" s="20">
        <f t="shared" si="105"/>
        <v>328.9728852168717</v>
      </c>
      <c r="ANF21" s="20">
        <f t="shared" si="105"/>
        <v>325.683156364703</v>
      </c>
      <c r="ANG21" s="20">
        <f t="shared" si="105"/>
        <v>322.42632480105596</v>
      </c>
      <c r="ANH21" s="20">
        <f t="shared" si="105"/>
        <v>319.20206155304538</v>
      </c>
      <c r="ANI21" s="20">
        <f t="shared" si="105"/>
        <v>316.01004093751493</v>
      </c>
      <c r="ANJ21" s="20">
        <f t="shared" si="105"/>
        <v>312.84994052813977</v>
      </c>
      <c r="ANK21" s="20">
        <f t="shared" si="105"/>
        <v>309.72144112285838</v>
      </c>
      <c r="ANL21" s="20">
        <f t="shared" si="105"/>
        <v>306.62422671162977</v>
      </c>
      <c r="ANM21" s="20">
        <f t="shared" si="105"/>
        <v>303.55798444451347</v>
      </c>
      <c r="ANN21" s="20">
        <f t="shared" si="105"/>
        <v>300.52240460006834</v>
      </c>
      <c r="ANO21" s="20">
        <f t="shared" si="105"/>
        <v>297.51718055406764</v>
      </c>
      <c r="ANP21" s="20">
        <f t="shared" si="105"/>
        <v>294.54200874852694</v>
      </c>
      <c r="ANQ21" s="20">
        <f t="shared" si="105"/>
        <v>291.59658866104166</v>
      </c>
      <c r="ANR21" s="20">
        <f t="shared" si="105"/>
        <v>288.68062277443124</v>
      </c>
      <c r="ANS21" s="20">
        <f t="shared" si="105"/>
        <v>285.79381654668691</v>
      </c>
      <c r="ANT21" s="20">
        <f t="shared" si="105"/>
        <v>282.93587838122005</v>
      </c>
      <c r="ANU21" s="20">
        <f t="shared" si="105"/>
        <v>280.10651959740784</v>
      </c>
      <c r="ANV21" s="20">
        <f t="shared" si="105"/>
        <v>277.30545440143374</v>
      </c>
      <c r="ANW21" s="20">
        <f t="shared" si="105"/>
        <v>274.53239985741942</v>
      </c>
      <c r="ANX21" s="20">
        <f t="shared" si="105"/>
        <v>271.78707585884524</v>
      </c>
      <c r="ANY21" s="20">
        <f t="shared" si="105"/>
        <v>269.0692051002568</v>
      </c>
      <c r="ANZ21" s="20">
        <f t="shared" si="105"/>
        <v>266.37851304925425</v>
      </c>
      <c r="AOA21" s="20">
        <f t="shared" si="105"/>
        <v>263.7147279187617</v>
      </c>
      <c r="AOB21" s="20">
        <f t="shared" si="105"/>
        <v>261.07758063957408</v>
      </c>
      <c r="AOC21" s="20">
        <f t="shared" si="105"/>
        <v>258.46680483317834</v>
      </c>
      <c r="AOD21" s="20">
        <f t="shared" si="105"/>
        <v>255.88213678484655</v>
      </c>
      <c r="AOE21" s="20">
        <f t="shared" si="105"/>
        <v>253.32331541699807</v>
      </c>
      <c r="AOF21" s="20">
        <f t="shared" si="105"/>
        <v>250.79008226282809</v>
      </c>
      <c r="AOG21" s="20">
        <f t="shared" si="105"/>
        <v>248.28218144019982</v>
      </c>
      <c r="AOH21" s="20">
        <f t="shared" si="105"/>
        <v>245.79935962579782</v>
      </c>
      <c r="AOI21" s="20">
        <f t="shared" ref="AOI21:AQT21" si="106">AOH21*(1+$BE$25)</f>
        <v>243.34136602953984</v>
      </c>
      <c r="AOJ21" s="20">
        <f t="shared" si="106"/>
        <v>240.90795236924444</v>
      </c>
      <c r="AOK21" s="20">
        <f t="shared" si="106"/>
        <v>238.498872845552</v>
      </c>
      <c r="AOL21" s="20">
        <f t="shared" si="106"/>
        <v>236.11388411709649</v>
      </c>
      <c r="AOM21" s="20">
        <f t="shared" si="106"/>
        <v>233.75274527592552</v>
      </c>
      <c r="AON21" s="20">
        <f t="shared" si="106"/>
        <v>231.41521782316627</v>
      </c>
      <c r="AOO21" s="20">
        <f t="shared" si="106"/>
        <v>229.10106564493461</v>
      </c>
      <c r="AOP21" s="20">
        <f t="shared" si="106"/>
        <v>226.81005498848526</v>
      </c>
      <c r="AOQ21" s="20">
        <f t="shared" si="106"/>
        <v>224.54195443860041</v>
      </c>
      <c r="AOR21" s="20">
        <f t="shared" si="106"/>
        <v>222.2965348942144</v>
      </c>
      <c r="AOS21" s="20">
        <f t="shared" si="106"/>
        <v>220.07356954527225</v>
      </c>
      <c r="AOT21" s="20">
        <f t="shared" si="106"/>
        <v>217.87283384981953</v>
      </c>
      <c r="AOU21" s="20">
        <f t="shared" si="106"/>
        <v>215.69410551132134</v>
      </c>
      <c r="AOV21" s="20">
        <f t="shared" si="106"/>
        <v>213.53716445620813</v>
      </c>
      <c r="AOW21" s="20">
        <f t="shared" si="106"/>
        <v>211.40179281164606</v>
      </c>
      <c r="AOX21" s="20">
        <f t="shared" si="106"/>
        <v>209.28777488352961</v>
      </c>
      <c r="AOY21" s="20">
        <f t="shared" si="106"/>
        <v>207.19489713469432</v>
      </c>
      <c r="AOZ21" s="20">
        <f t="shared" si="106"/>
        <v>205.12294816334736</v>
      </c>
      <c r="APA21" s="20">
        <f t="shared" si="106"/>
        <v>203.07171868171389</v>
      </c>
      <c r="APB21" s="20">
        <f t="shared" si="106"/>
        <v>201.04100149489676</v>
      </c>
      <c r="APC21" s="20">
        <f t="shared" si="106"/>
        <v>199.03059147994779</v>
      </c>
      <c r="APD21" s="20">
        <f t="shared" si="106"/>
        <v>197.04028556514831</v>
      </c>
      <c r="APE21" s="20">
        <f t="shared" si="106"/>
        <v>195.06988270949682</v>
      </c>
      <c r="APF21" s="20">
        <f t="shared" si="106"/>
        <v>193.11918388240184</v>
      </c>
      <c r="APG21" s="20">
        <f t="shared" si="106"/>
        <v>191.18799204357782</v>
      </c>
      <c r="APH21" s="20">
        <f t="shared" si="106"/>
        <v>189.27611212314204</v>
      </c>
      <c r="API21" s="20">
        <f t="shared" si="106"/>
        <v>187.38335100191063</v>
      </c>
      <c r="APJ21" s="20">
        <f t="shared" si="106"/>
        <v>185.50951749189153</v>
      </c>
      <c r="APK21" s="20">
        <f t="shared" si="106"/>
        <v>183.65442231697261</v>
      </c>
      <c r="APL21" s="20">
        <f t="shared" si="106"/>
        <v>181.81787809380288</v>
      </c>
      <c r="APM21" s="20">
        <f t="shared" si="106"/>
        <v>179.99969931286483</v>
      </c>
      <c r="APN21" s="20">
        <f t="shared" si="106"/>
        <v>178.19970231973619</v>
      </c>
      <c r="APO21" s="20">
        <f t="shared" si="106"/>
        <v>176.41770529653883</v>
      </c>
      <c r="APP21" s="20">
        <f t="shared" si="106"/>
        <v>174.65352824357345</v>
      </c>
      <c r="APQ21" s="20">
        <f t="shared" si="106"/>
        <v>172.90699296113772</v>
      </c>
      <c r="APR21" s="20">
        <f t="shared" si="106"/>
        <v>171.17792303152635</v>
      </c>
      <c r="APS21" s="20">
        <f t="shared" si="106"/>
        <v>169.46614380121108</v>
      </c>
      <c r="APT21" s="20">
        <f t="shared" si="106"/>
        <v>167.77148236319897</v>
      </c>
      <c r="APU21" s="20">
        <f t="shared" si="106"/>
        <v>166.09376753956698</v>
      </c>
      <c r="APV21" s="20">
        <f t="shared" si="106"/>
        <v>164.43282986417131</v>
      </c>
      <c r="APW21" s="20">
        <f t="shared" si="106"/>
        <v>162.7885015655296</v>
      </c>
      <c r="APX21" s="20">
        <f t="shared" si="106"/>
        <v>161.16061654987431</v>
      </c>
      <c r="APY21" s="20">
        <f t="shared" si="106"/>
        <v>159.54901038437555</v>
      </c>
      <c r="APZ21" s="20">
        <f t="shared" si="106"/>
        <v>157.95352028053179</v>
      </c>
      <c r="AQA21" s="20">
        <f t="shared" si="106"/>
        <v>156.37398507772647</v>
      </c>
      <c r="AQB21" s="20">
        <f t="shared" si="106"/>
        <v>154.81024522694921</v>
      </c>
      <c r="AQC21" s="20">
        <f t="shared" si="106"/>
        <v>153.26214277467972</v>
      </c>
      <c r="AQD21" s="20">
        <f t="shared" si="106"/>
        <v>151.72952134693293</v>
      </c>
      <c r="AQE21" s="20">
        <f t="shared" si="106"/>
        <v>150.21222613346359</v>
      </c>
      <c r="AQF21" s="20">
        <f t="shared" si="106"/>
        <v>148.71010387212894</v>
      </c>
      <c r="AQG21" s="20">
        <f t="shared" si="106"/>
        <v>147.22300283340766</v>
      </c>
      <c r="AQH21" s="20">
        <f t="shared" si="106"/>
        <v>145.75077280507358</v>
      </c>
      <c r="AQI21" s="20">
        <f t="shared" si="106"/>
        <v>144.29326507702285</v>
      </c>
      <c r="AQJ21" s="20">
        <f t="shared" si="106"/>
        <v>142.85033242625263</v>
      </c>
      <c r="AQK21" s="20">
        <f t="shared" si="106"/>
        <v>141.42182910199011</v>
      </c>
      <c r="AQL21" s="20">
        <f t="shared" si="106"/>
        <v>140.00761081097022</v>
      </c>
      <c r="AQM21" s="20">
        <f t="shared" si="106"/>
        <v>138.60753470286051</v>
      </c>
      <c r="AQN21" s="20">
        <f t="shared" si="106"/>
        <v>137.22145935583191</v>
      </c>
      <c r="AQO21" s="20">
        <f t="shared" si="106"/>
        <v>135.8492447622736</v>
      </c>
      <c r="AQP21" s="20">
        <f t="shared" si="106"/>
        <v>134.49075231465085</v>
      </c>
      <c r="AQQ21" s="20">
        <f t="shared" si="106"/>
        <v>133.14584479150435</v>
      </c>
      <c r="AQR21" s="20">
        <f t="shared" si="106"/>
        <v>131.81438634358929</v>
      </c>
      <c r="AQS21" s="20">
        <f t="shared" si="106"/>
        <v>130.4962424801534</v>
      </c>
      <c r="AQT21" s="20">
        <f t="shared" si="106"/>
        <v>129.19128005535185</v>
      </c>
      <c r="AQU21" s="20">
        <f t="shared" ref="AQU21:ASX21" si="107">AQT21*(1+$BE$25)</f>
        <v>127.89936725479834</v>
      </c>
      <c r="AQV21" s="20">
        <f t="shared" si="107"/>
        <v>126.62037358225035</v>
      </c>
      <c r="AQW21" s="20">
        <f t="shared" si="107"/>
        <v>125.35416984642785</v>
      </c>
      <c r="AQX21" s="20">
        <f t="shared" si="107"/>
        <v>124.10062814796358</v>
      </c>
      <c r="AQY21" s="20">
        <f t="shared" si="107"/>
        <v>122.85962186648393</v>
      </c>
      <c r="AQZ21" s="20">
        <f t="shared" si="107"/>
        <v>121.6310256478191</v>
      </c>
      <c r="ARA21" s="20">
        <f t="shared" si="107"/>
        <v>120.41471539134091</v>
      </c>
      <c r="ARB21" s="20">
        <f t="shared" si="107"/>
        <v>119.21056823742749</v>
      </c>
      <c r="ARC21" s="20">
        <f t="shared" si="107"/>
        <v>118.01846255505322</v>
      </c>
      <c r="ARD21" s="20">
        <f t="shared" si="107"/>
        <v>116.83827792950268</v>
      </c>
      <c r="ARE21" s="20">
        <f t="shared" si="107"/>
        <v>115.66989515020765</v>
      </c>
      <c r="ARF21" s="20">
        <f t="shared" si="107"/>
        <v>114.51319619870557</v>
      </c>
      <c r="ARG21" s="20">
        <f t="shared" si="107"/>
        <v>113.36806423671851</v>
      </c>
      <c r="ARH21" s="20">
        <f t="shared" si="107"/>
        <v>112.23438359435133</v>
      </c>
      <c r="ARI21" s="20">
        <f t="shared" si="107"/>
        <v>111.11203975840782</v>
      </c>
      <c r="ARJ21" s="20">
        <f t="shared" si="107"/>
        <v>110.00091936082374</v>
      </c>
      <c r="ARK21" s="20">
        <f t="shared" si="107"/>
        <v>108.9009101672155</v>
      </c>
      <c r="ARL21" s="20">
        <f t="shared" si="107"/>
        <v>107.81190106554334</v>
      </c>
      <c r="ARM21" s="20">
        <f t="shared" si="107"/>
        <v>106.73378205488791</v>
      </c>
      <c r="ARN21" s="20">
        <f t="shared" si="107"/>
        <v>105.66644423433902</v>
      </c>
      <c r="ARO21" s="20">
        <f t="shared" si="107"/>
        <v>104.60977979199563</v>
      </c>
      <c r="ARP21" s="20">
        <f t="shared" si="107"/>
        <v>103.56368199407568</v>
      </c>
      <c r="ARQ21" s="20">
        <f t="shared" si="107"/>
        <v>102.52804517413492</v>
      </c>
      <c r="ARR21" s="20">
        <f t="shared" si="107"/>
        <v>101.50276472239356</v>
      </c>
      <c r="ARS21" s="20">
        <f t="shared" si="107"/>
        <v>100.48773707516963</v>
      </c>
      <c r="ART21" s="20">
        <f t="shared" si="107"/>
        <v>99.482859704417933</v>
      </c>
      <c r="ARU21" s="20">
        <f t="shared" si="107"/>
        <v>98.488031107373757</v>
      </c>
      <c r="ARV21" s="20">
        <f t="shared" si="107"/>
        <v>97.503150796300019</v>
      </c>
      <c r="ARW21" s="20">
        <f t="shared" si="107"/>
        <v>96.528119288337024</v>
      </c>
      <c r="ARX21" s="20">
        <f t="shared" si="107"/>
        <v>95.562838095453657</v>
      </c>
      <c r="ARY21" s="20">
        <f t="shared" si="107"/>
        <v>94.60720971449912</v>
      </c>
      <c r="ARZ21" s="20">
        <f t="shared" si="107"/>
        <v>93.661137617354129</v>
      </c>
      <c r="ASA21" s="20">
        <f t="shared" si="107"/>
        <v>92.724526241180584</v>
      </c>
      <c r="ASB21" s="20">
        <f t="shared" si="107"/>
        <v>91.797280978768782</v>
      </c>
      <c r="ASC21" s="20">
        <f t="shared" si="107"/>
        <v>90.879308168981098</v>
      </c>
      <c r="ASD21" s="20">
        <f t="shared" si="107"/>
        <v>89.97051508729129</v>
      </c>
      <c r="ASE21" s="20">
        <f t="shared" si="107"/>
        <v>89.070809936418371</v>
      </c>
      <c r="ASF21" s="20">
        <f t="shared" si="107"/>
        <v>88.180101837054181</v>
      </c>
      <c r="ASG21" s="20">
        <f t="shared" si="107"/>
        <v>87.298300818683643</v>
      </c>
      <c r="ASH21" s="20">
        <f t="shared" si="107"/>
        <v>86.425317810496807</v>
      </c>
      <c r="ASI21" s="20">
        <f t="shared" si="107"/>
        <v>85.561064632391833</v>
      </c>
      <c r="ASJ21" s="20">
        <f t="shared" si="107"/>
        <v>84.705453986067909</v>
      </c>
      <c r="ASK21" s="20">
        <f t="shared" si="107"/>
        <v>83.85839944620723</v>
      </c>
      <c r="ASL21" s="20">
        <f t="shared" si="107"/>
        <v>83.01981545174516</v>
      </c>
      <c r="ASM21" s="20">
        <f t="shared" si="107"/>
        <v>82.189617297227713</v>
      </c>
      <c r="ASN21" s="20">
        <f t="shared" si="107"/>
        <v>81.367721124255439</v>
      </c>
      <c r="ASO21" s="20">
        <f t="shared" si="107"/>
        <v>80.55404391301289</v>
      </c>
      <c r="ASP21" s="20">
        <f t="shared" si="107"/>
        <v>79.748503473882764</v>
      </c>
      <c r="ASQ21" s="20">
        <f t="shared" si="107"/>
        <v>78.951018439143937</v>
      </c>
      <c r="ASR21" s="20">
        <f t="shared" si="107"/>
        <v>78.161508254752491</v>
      </c>
      <c r="ASS21" s="20">
        <f t="shared" si="107"/>
        <v>77.379893172204959</v>
      </c>
      <c r="AST21" s="20">
        <f t="shared" si="107"/>
        <v>76.606094240482904</v>
      </c>
      <c r="ASU21" s="20">
        <f t="shared" si="107"/>
        <v>75.840033298078069</v>
      </c>
      <c r="ASV21" s="20">
        <f t="shared" si="107"/>
        <v>75.081632965097285</v>
      </c>
      <c r="ASW21" s="20">
        <f t="shared" si="107"/>
        <v>74.330816635446311</v>
      </c>
      <c r="ASX21" s="20">
        <f t="shared" si="107"/>
        <v>73.587508469091844</v>
      </c>
    </row>
    <row r="22" spans="1:1194" s="78" customFormat="1" x14ac:dyDescent="0.25">
      <c r="A22" s="74"/>
      <c r="B22" s="74"/>
      <c r="C22" s="75" t="s">
        <v>40</v>
      </c>
      <c r="D22" s="76">
        <v>202.84</v>
      </c>
      <c r="E22" s="77">
        <v>152.87</v>
      </c>
      <c r="F22" s="76">
        <v>314.99</v>
      </c>
      <c r="G22" s="76">
        <f>832.78-SUM(D22:F22)</f>
        <v>162.07999999999993</v>
      </c>
      <c r="H22" s="76">
        <v>222.33</v>
      </c>
      <c r="I22" s="76">
        <v>200.21</v>
      </c>
      <c r="J22" s="76">
        <v>62.12</v>
      </c>
      <c r="K22" s="76">
        <f>645.11-SUM(H22:J22)</f>
        <v>160.44999999999999</v>
      </c>
      <c r="L22" s="76">
        <v>216.19</v>
      </c>
      <c r="M22" s="76">
        <v>187.12</v>
      </c>
      <c r="N22" s="76">
        <v>198.63</v>
      </c>
      <c r="O22" s="76">
        <f>720.1-SUM(L22:N22)</f>
        <v>118.15999999999997</v>
      </c>
      <c r="P22" s="76">
        <v>56.87</v>
      </c>
      <c r="Q22" s="76">
        <v>33.340000000000003</v>
      </c>
      <c r="R22" s="76">
        <v>59.25</v>
      </c>
      <c r="S22" s="76">
        <f>158.93-SUM(P22:R22)</f>
        <v>9.4699999999999989</v>
      </c>
      <c r="T22" s="76">
        <v>64.22</v>
      </c>
      <c r="U22" s="76">
        <v>45.01</v>
      </c>
      <c r="V22" s="76">
        <v>57.18</v>
      </c>
      <c r="W22" s="76">
        <f>205.23-SUM(T22:V22)</f>
        <v>38.819999999999993</v>
      </c>
      <c r="X22" s="76">
        <v>53.65</v>
      </c>
      <c r="Y22" s="76">
        <v>31.73</v>
      </c>
      <c r="Z22" s="76">
        <v>53.4</v>
      </c>
      <c r="AA22" s="76">
        <f>179.47-SUM(X22:Z22)</f>
        <v>40.69</v>
      </c>
      <c r="AB22" s="76">
        <v>96.74</v>
      </c>
      <c r="AC22" s="76">
        <v>94.51</v>
      </c>
      <c r="AD22" s="76">
        <v>100.62</v>
      </c>
      <c r="AE22" s="76">
        <f>332.97-SUM(AB22:AD22)</f>
        <v>41.100000000000023</v>
      </c>
      <c r="AK22" s="76">
        <f>SUM(D22:G22)</f>
        <v>832.78</v>
      </c>
      <c r="AL22" s="76">
        <f>SUM(H22:K22)</f>
        <v>645.11</v>
      </c>
      <c r="AM22" s="76">
        <f>SUM(L22:O22)</f>
        <v>720.1</v>
      </c>
      <c r="AN22" s="76">
        <f>SUM(P22:S22)</f>
        <v>158.93</v>
      </c>
      <c r="AO22" s="76">
        <f>SUM(T22:W22)</f>
        <v>205.23</v>
      </c>
      <c r="AP22" s="76">
        <f>SUM(X22:AA22)</f>
        <v>179.47</v>
      </c>
      <c r="AQ22" s="76">
        <f>SUM(AB22:AE22)</f>
        <v>332.97</v>
      </c>
      <c r="AR22" s="76">
        <f>AR21/AR23</f>
        <v>379.85934524933134</v>
      </c>
      <c r="AS22" s="76">
        <f t="shared" ref="AS22:AW22" si="108">AS21/AS23</f>
        <v>417.25512996003891</v>
      </c>
      <c r="AT22" s="76">
        <f t="shared" si="108"/>
        <v>455.05852481355726</v>
      </c>
      <c r="AU22" s="76">
        <f t="shared" si="108"/>
        <v>492.63091630897748</v>
      </c>
      <c r="AV22" s="76">
        <f t="shared" si="108"/>
        <v>529.28027286251722</v>
      </c>
      <c r="AW22" s="76">
        <f t="shared" si="108"/>
        <v>564.28432663409046</v>
      </c>
    </row>
    <row r="23" spans="1:1194" s="78" customFormat="1" x14ac:dyDescent="0.25">
      <c r="A23" s="74"/>
      <c r="B23" s="74"/>
      <c r="C23" s="79" t="s">
        <v>3</v>
      </c>
      <c r="D23" s="78">
        <f t="shared" ref="D23:AC23" si="109">D21/D22</f>
        <v>3114.5336225596529</v>
      </c>
      <c r="E23" s="78">
        <f t="shared" si="109"/>
        <v>3147.8838228560212</v>
      </c>
      <c r="F23" s="78">
        <f t="shared" si="109"/>
        <v>3081.6406870059368</v>
      </c>
      <c r="G23" s="78">
        <f t="shared" si="109"/>
        <v>3100.0185093780865</v>
      </c>
      <c r="H23" s="78">
        <f t="shared" si="109"/>
        <v>3077.5693788512572</v>
      </c>
      <c r="I23" s="78">
        <f t="shared" si="109"/>
        <v>3064.6271415014235</v>
      </c>
      <c r="J23" s="78">
        <f t="shared" si="109"/>
        <v>3269.4784288473925</v>
      </c>
      <c r="K23" s="78">
        <f t="shared" si="109"/>
        <v>3020.7665939545032</v>
      </c>
      <c r="L23" s="78">
        <f t="shared" si="109"/>
        <v>2920.4912345621906</v>
      </c>
      <c r="M23" s="78">
        <f t="shared" si="109"/>
        <v>2953.2439076528431</v>
      </c>
      <c r="N23" s="78">
        <f t="shared" si="109"/>
        <v>2951.1856215073253</v>
      </c>
      <c r="O23" s="78">
        <f t="shared" si="109"/>
        <v>2885.4096140826005</v>
      </c>
      <c r="P23" s="78">
        <f t="shared" si="109"/>
        <v>2627.8881659926146</v>
      </c>
      <c r="Q23" s="78">
        <f t="shared" si="109"/>
        <v>14449.340131973604</v>
      </c>
      <c r="R23" s="78">
        <f t="shared" si="109"/>
        <v>14641.485232067511</v>
      </c>
      <c r="S23" s="78">
        <f t="shared" si="109"/>
        <v>82754.065469904977</v>
      </c>
      <c r="T23" s="78">
        <f t="shared" si="109"/>
        <v>14427.592650264714</v>
      </c>
      <c r="U23" s="78">
        <f t="shared" si="109"/>
        <v>14186.06976227505</v>
      </c>
      <c r="V23" s="78">
        <f t="shared" si="109"/>
        <v>14320.426722630291</v>
      </c>
      <c r="W23" s="78">
        <f t="shared" si="109"/>
        <v>12640.803709428132</v>
      </c>
      <c r="X23" s="78">
        <f t="shared" si="109"/>
        <v>14133.289841565704</v>
      </c>
      <c r="Y23" s="78">
        <f t="shared" si="109"/>
        <v>14538.417901040026</v>
      </c>
      <c r="Z23" s="78">
        <f t="shared" si="109"/>
        <v>13943.183520599252</v>
      </c>
      <c r="AA23" s="78">
        <f t="shared" si="109"/>
        <v>12996.977144261489</v>
      </c>
      <c r="AB23" s="78">
        <f t="shared" si="109"/>
        <v>13716.053338846394</v>
      </c>
      <c r="AC23" s="78">
        <f t="shared" si="109"/>
        <v>13973.452544704263</v>
      </c>
      <c r="AD23" s="78">
        <f>AD21/AD22</f>
        <v>13755.73444643212</v>
      </c>
      <c r="AE23" s="78">
        <f>AE21/AE22</f>
        <v>13531.686637469564</v>
      </c>
      <c r="AK23" s="78">
        <f>AK21/AK22</f>
        <v>3105.3891784144671</v>
      </c>
      <c r="AL23" s="78">
        <f t="shared" ref="AK23:AP23" si="110">AL21/AL22</f>
        <v>3077.9045434112013</v>
      </c>
      <c r="AM23" s="78">
        <f t="shared" si="110"/>
        <v>2931.7122621858075</v>
      </c>
      <c r="AN23" s="78">
        <f t="shared" si="110"/>
        <v>14360.901025608759</v>
      </c>
      <c r="AO23" s="78">
        <f t="shared" si="110"/>
        <v>14006.7875066998</v>
      </c>
      <c r="AP23" s="78">
        <f t="shared" si="110"/>
        <v>13890.722683456845</v>
      </c>
      <c r="AQ23" s="78">
        <f t="shared" ref="AQ23" si="111">AQ21/AQ22</f>
        <v>13778.347361023498</v>
      </c>
      <c r="AR23" s="78">
        <f>AQ23*0.99</f>
        <v>13640.563887413262</v>
      </c>
      <c r="AS23" s="78">
        <f t="shared" ref="AS23:AW23" si="112">AR23*0.99</f>
        <v>13504.15824853913</v>
      </c>
      <c r="AT23" s="78">
        <f t="shared" si="112"/>
        <v>13369.116666053738</v>
      </c>
      <c r="AU23" s="78">
        <f t="shared" si="112"/>
        <v>13235.425499393201</v>
      </c>
      <c r="AV23" s="78">
        <f t="shared" si="112"/>
        <v>13103.071244399269</v>
      </c>
      <c r="AW23" s="78">
        <f t="shared" si="112"/>
        <v>12972.040531955276</v>
      </c>
    </row>
    <row r="24" spans="1:1194" x14ac:dyDescent="0.25">
      <c r="C24" s="72"/>
      <c r="P24" s="34"/>
      <c r="Q24" s="34"/>
    </row>
    <row r="25" spans="1:1194" x14ac:dyDescent="0.25">
      <c r="BD25" s="6" t="s">
        <v>43</v>
      </c>
      <c r="BE25" s="17">
        <v>-0.01</v>
      </c>
    </row>
    <row r="26" spans="1:1194" x14ac:dyDescent="0.25">
      <c r="C26" s="72" t="s">
        <v>117</v>
      </c>
      <c r="H26" s="16">
        <f>H3/D3-1</f>
        <v>4.1933092758084989E-2</v>
      </c>
      <c r="I26" s="16">
        <f t="shared" ref="I26:AE26" si="113">I3/E3-1</f>
        <v>1.9383694228777948E-2</v>
      </c>
      <c r="J26" s="16">
        <f t="shared" si="113"/>
        <v>2.1950400729079611E-2</v>
      </c>
      <c r="K26" s="16">
        <f t="shared" si="113"/>
        <v>1.7548123814177696E-2</v>
      </c>
      <c r="L26" s="16">
        <f t="shared" si="113"/>
        <v>4.7213706872943462E-2</v>
      </c>
      <c r="M26" s="16">
        <f t="shared" si="113"/>
        <v>4.6386318257970238E-2</v>
      </c>
      <c r="N26" s="16">
        <f t="shared" si="113"/>
        <v>-2.7065198490155873E-2</v>
      </c>
      <c r="O26" s="16">
        <f t="shared" si="113"/>
        <v>-0.11839904453695138</v>
      </c>
      <c r="P26" s="16">
        <f t="shared" si="113"/>
        <v>-0.43297544960936607</v>
      </c>
      <c r="Q26" s="16">
        <f t="shared" si="113"/>
        <v>-0.12004802529497471</v>
      </c>
      <c r="R26" s="16">
        <f t="shared" si="113"/>
        <v>7.7099974592884202E-2</v>
      </c>
      <c r="S26" s="16">
        <f t="shared" si="113"/>
        <v>0.12576494491484014</v>
      </c>
      <c r="T26" s="16">
        <f t="shared" si="113"/>
        <v>0.80901211468221845</v>
      </c>
      <c r="U26" s="16">
        <f t="shared" si="113"/>
        <v>0.11768395947049126</v>
      </c>
      <c r="V26" s="16">
        <f t="shared" si="113"/>
        <v>-5.2725438628093868E-2</v>
      </c>
      <c r="W26" s="16">
        <f t="shared" si="113"/>
        <v>5.1609927566362623E-2</v>
      </c>
      <c r="X26" s="16">
        <f t="shared" si="113"/>
        <v>6.5472792426726212E-2</v>
      </c>
      <c r="Y26" s="16">
        <f t="shared" si="113"/>
        <v>0.22011692934930105</v>
      </c>
      <c r="Z26" s="16">
        <f t="shared" si="113"/>
        <v>0.25199825273904808</v>
      </c>
      <c r="AA26" s="16">
        <f t="shared" si="113"/>
        <v>0.19400152975411622</v>
      </c>
      <c r="AB26" s="16">
        <f t="shared" si="113"/>
        <v>0.24743580019262024</v>
      </c>
      <c r="AC26" s="16">
        <f t="shared" si="113"/>
        <v>0.24397195836597918</v>
      </c>
      <c r="AD26" s="16">
        <f t="shared" si="113"/>
        <v>0.23374985587455321</v>
      </c>
      <c r="AE26" s="16">
        <f t="shared" si="113"/>
        <v>-2.0000000000000129E-2</v>
      </c>
      <c r="AL26" s="16">
        <f>AL3/AK3-1</f>
        <v>2.498377478038516E-2</v>
      </c>
      <c r="AM26" s="16">
        <f t="shared" ref="AM26:AW26" si="114">AM3/AL3-1</f>
        <v>-1.4646505941326882E-2</v>
      </c>
      <c r="AN26" s="16">
        <f t="shared" si="114"/>
        <v>-9.4472593452956999E-2</v>
      </c>
      <c r="AO26" s="16">
        <f t="shared" si="114"/>
        <v>0.1593478717369321</v>
      </c>
      <c r="AP26" s="16">
        <f t="shared" si="114"/>
        <v>0.18209724013281137</v>
      </c>
      <c r="AQ26" s="16">
        <f t="shared" si="114"/>
        <v>0.1730769192942927</v>
      </c>
      <c r="AR26" s="16">
        <f t="shared" si="114"/>
        <v>0.10000000000000009</v>
      </c>
      <c r="AS26" s="16">
        <f t="shared" si="114"/>
        <v>9.000000000000008E-2</v>
      </c>
      <c r="AT26" s="16">
        <f t="shared" si="114"/>
        <v>8.0000000000000071E-2</v>
      </c>
      <c r="AU26" s="16">
        <f t="shared" si="114"/>
        <v>7.0000000000000062E-2</v>
      </c>
      <c r="AV26" s="16">
        <f t="shared" si="114"/>
        <v>6.0000000000000053E-2</v>
      </c>
      <c r="AW26" s="16">
        <f t="shared" si="114"/>
        <v>5.0000000000000044E-2</v>
      </c>
      <c r="BD26" s="8" t="s">
        <v>44</v>
      </c>
      <c r="BE26" s="21">
        <f>WACC!C18</f>
        <v>3.9276503997873018E-2</v>
      </c>
    </row>
    <row r="27" spans="1:1194" x14ac:dyDescent="0.25">
      <c r="C27" s="72" t="s">
        <v>118</v>
      </c>
      <c r="H27" s="16">
        <f>H4/D4-1</f>
        <v>8.3679103015225298E-2</v>
      </c>
      <c r="I27" s="16">
        <f t="shared" ref="I27:AE27" si="115">I4/E4-1</f>
        <v>7.9255928766640116E-2</v>
      </c>
      <c r="J27" s="16">
        <f t="shared" si="115"/>
        <v>7.9119654271723627E-2</v>
      </c>
      <c r="K27" s="16">
        <f t="shared" si="115"/>
        <v>8.6930231623776999E-2</v>
      </c>
      <c r="L27" s="16">
        <f t="shared" si="115"/>
        <v>6.8673467382117659E-2</v>
      </c>
      <c r="M27" s="16">
        <f t="shared" si="115"/>
        <v>2.0907816400268953E-2</v>
      </c>
      <c r="N27" s="16">
        <f t="shared" si="115"/>
        <v>7.0078514401659131E-3</v>
      </c>
      <c r="O27" s="16">
        <f t="shared" si="115"/>
        <v>5.0881320659517115E-3</v>
      </c>
      <c r="P27" s="16">
        <f t="shared" si="115"/>
        <v>-2.3483149993838603E-2</v>
      </c>
      <c r="Q27" s="16">
        <f t="shared" si="115"/>
        <v>-1.9138017014878717E-2</v>
      </c>
      <c r="R27" s="16">
        <f t="shared" si="115"/>
        <v>-6.0264602120394528E-3</v>
      </c>
      <c r="S27" s="16">
        <f t="shared" si="115"/>
        <v>-1.7108727952101499E-2</v>
      </c>
      <c r="T27" s="16">
        <f t="shared" si="115"/>
        <v>7.9479640864050793E-2</v>
      </c>
      <c r="U27" s="16">
        <f t="shared" si="115"/>
        <v>6.8497724457293963E-2</v>
      </c>
      <c r="V27" s="16">
        <f t="shared" si="115"/>
        <v>6.7401742515354801E-2</v>
      </c>
      <c r="W27" s="16">
        <f t="shared" si="115"/>
        <v>0.10078351842428224</v>
      </c>
      <c r="X27" s="16">
        <f t="shared" si="115"/>
        <v>0.12827755871165869</v>
      </c>
      <c r="Y27" s="16">
        <f t="shared" si="115"/>
        <v>0.24061580089270174</v>
      </c>
      <c r="Z27" s="16">
        <f t="shared" si="115"/>
        <v>0.26395308632206183</v>
      </c>
      <c r="AA27" s="16">
        <f t="shared" si="115"/>
        <v>0.20074373451261263</v>
      </c>
      <c r="AB27" s="16">
        <f t="shared" si="115"/>
        <v>0.17739743080222858</v>
      </c>
      <c r="AC27" s="16">
        <f t="shared" si="115"/>
        <v>0.19755222487932134</v>
      </c>
      <c r="AD27" s="16">
        <f t="shared" si="115"/>
        <v>0.24227201894483263</v>
      </c>
      <c r="AE27" s="16">
        <f t="shared" si="115"/>
        <v>-2.0000000000000018E-2</v>
      </c>
      <c r="AL27" s="16">
        <f>AL4/AK4-1</f>
        <v>8.2230606451296762E-2</v>
      </c>
      <c r="AM27" s="16">
        <f t="shared" ref="AM27:AW27" si="116">AM4/AL4-1</f>
        <v>2.4765332778706073E-2</v>
      </c>
      <c r="AN27" s="16">
        <f t="shared" si="116"/>
        <v>-1.6411134848452802E-2</v>
      </c>
      <c r="AO27" s="16">
        <f t="shared" si="116"/>
        <v>7.9021334038307245E-2</v>
      </c>
      <c r="AP27" s="16">
        <f t="shared" si="116"/>
        <v>0.20840569642236884</v>
      </c>
      <c r="AQ27" s="16">
        <f t="shared" si="116"/>
        <v>0.14951132871780359</v>
      </c>
      <c r="AR27" s="16">
        <f t="shared" si="116"/>
        <v>0.10000000000000009</v>
      </c>
      <c r="AS27" s="16">
        <f t="shared" si="116"/>
        <v>9.000000000000008E-2</v>
      </c>
      <c r="AT27" s="16">
        <f t="shared" si="116"/>
        <v>8.0000000000000071E-2</v>
      </c>
      <c r="AU27" s="16">
        <f t="shared" si="116"/>
        <v>7.0000000000000062E-2</v>
      </c>
      <c r="AV27" s="16">
        <f t="shared" si="116"/>
        <v>6.0000000000000053E-2</v>
      </c>
      <c r="AW27" s="16">
        <f t="shared" si="116"/>
        <v>5.0000000000000044E-2</v>
      </c>
      <c r="BD27" s="8" t="s">
        <v>45</v>
      </c>
      <c r="BE27" s="22">
        <f>NPV(BE26,AP21:ASX21)</f>
        <v>145015938.56395441</v>
      </c>
    </row>
    <row r="28" spans="1:1194" ht="14.4" x14ac:dyDescent="0.3">
      <c r="C28" s="14" t="s">
        <v>50</v>
      </c>
      <c r="D28" s="16"/>
      <c r="E28" s="16"/>
      <c r="F28" s="16"/>
      <c r="G28" s="16"/>
      <c r="H28" s="16">
        <f>H5/D5-1</f>
        <v>4.4714048997631206E-2</v>
      </c>
      <c r="I28" s="16">
        <f t="shared" ref="I28:AE28" si="117">I5/E5-1</f>
        <v>2.3471635663862012E-2</v>
      </c>
      <c r="J28" s="16">
        <f t="shared" si="117"/>
        <v>2.5740336247481732E-2</v>
      </c>
      <c r="K28" s="16">
        <f t="shared" si="117"/>
        <v>2.2103027272142306E-2</v>
      </c>
      <c r="L28" s="16">
        <f t="shared" si="117"/>
        <v>4.8696591333680095E-2</v>
      </c>
      <c r="M28" s="16">
        <f t="shared" si="117"/>
        <v>4.4551885834382077E-2</v>
      </c>
      <c r="N28" s="16">
        <f t="shared" si="117"/>
        <v>-2.4688837155526389E-2</v>
      </c>
      <c r="O28" s="16">
        <f t="shared" si="117"/>
        <v>-0.10977798703583541</v>
      </c>
      <c r="P28" s="16">
        <f t="shared" si="117"/>
        <v>-0.40414022402782546</v>
      </c>
      <c r="Q28" s="16">
        <f t="shared" si="117"/>
        <v>-0.11294704048865234</v>
      </c>
      <c r="R28" s="16">
        <f t="shared" si="117"/>
        <v>7.1114063197576627E-2</v>
      </c>
      <c r="S28" s="16">
        <f t="shared" si="117"/>
        <v>0.11450343286509046</v>
      </c>
      <c r="T28" s="16">
        <f t="shared" si="117"/>
        <v>0.72482261765138034</v>
      </c>
      <c r="U28" s="16">
        <f t="shared" si="117"/>
        <v>0.11385671437599076</v>
      </c>
      <c r="V28" s="16">
        <f t="shared" si="117"/>
        <v>-4.4698101222412245E-2</v>
      </c>
      <c r="W28" s="16">
        <f t="shared" si="117"/>
        <v>5.5028151321758978E-2</v>
      </c>
      <c r="X28" s="16">
        <f t="shared" si="117"/>
        <v>7.0008822317072283E-2</v>
      </c>
      <c r="Y28" s="16">
        <f t="shared" si="117"/>
        <v>0.22164701915954965</v>
      </c>
      <c r="Z28" s="16">
        <f t="shared" si="117"/>
        <v>0.25289086126922777</v>
      </c>
      <c r="AA28" s="16">
        <f t="shared" si="117"/>
        <v>0.19449052920646714</v>
      </c>
      <c r="AB28" s="16">
        <f t="shared" si="117"/>
        <v>0.24210186269979106</v>
      </c>
      <c r="AC28" s="16">
        <f t="shared" si="117"/>
        <v>0.24045326696051905</v>
      </c>
      <c r="AD28" s="16">
        <f t="shared" si="117"/>
        <v>0.23439178200013644</v>
      </c>
      <c r="AE28" s="16">
        <f t="shared" si="117"/>
        <v>-2.0000000000000129E-2</v>
      </c>
      <c r="AF28" s="16"/>
      <c r="AG28" s="16"/>
      <c r="AH28" s="16"/>
      <c r="AI28" s="16"/>
      <c r="AJ28" s="16"/>
      <c r="AK28" s="16"/>
      <c r="AL28" s="16">
        <f>AL5/AK5-1</f>
        <v>2.8801399342603062E-2</v>
      </c>
      <c r="AM28" s="16">
        <f>AM5/AL5-1</f>
        <v>-1.1881750488930254E-2</v>
      </c>
      <c r="AN28" s="16">
        <f>AN5/AM5-1</f>
        <v>-8.8793458447004259E-2</v>
      </c>
      <c r="AO28" s="16">
        <f>AO5/AN5-1</f>
        <v>0.15303973129416271</v>
      </c>
      <c r="AP28" s="16">
        <f>AP5/AO5-1</f>
        <v>0.18403064777276446</v>
      </c>
      <c r="AQ28" s="16">
        <f t="shared" ref="AQ28:AW28" si="118">AQ5/AP5-1</f>
        <v>0.17130943235692397</v>
      </c>
      <c r="AR28" s="16">
        <f t="shared" si="118"/>
        <v>0.10000000000000009</v>
      </c>
      <c r="AS28" s="16">
        <f t="shared" si="118"/>
        <v>9.0000000000000302E-2</v>
      </c>
      <c r="AT28" s="16">
        <f t="shared" si="118"/>
        <v>8.0000000000000071E-2</v>
      </c>
      <c r="AU28" s="16">
        <f t="shared" si="118"/>
        <v>7.0000000000000062E-2</v>
      </c>
      <c r="AV28" s="16">
        <f t="shared" si="118"/>
        <v>6.0000000000000053E-2</v>
      </c>
      <c r="AW28" s="16">
        <f t="shared" si="118"/>
        <v>5.0000000000000044E-2</v>
      </c>
      <c r="BD28" s="8" t="s">
        <v>46</v>
      </c>
      <c r="BE28" s="22">
        <f>Main!C7-Main!C8</f>
        <v>-26376749</v>
      </c>
      <c r="BF28" s="23"/>
    </row>
    <row r="29" spans="1:1194" x14ac:dyDescent="0.25">
      <c r="C29" s="14" t="s">
        <v>51</v>
      </c>
      <c r="D29" s="16"/>
      <c r="E29" s="16"/>
      <c r="F29" s="16"/>
      <c r="G29" s="16"/>
      <c r="H29" s="16">
        <f>H8/D8-1</f>
        <v>4.0863101968464433E-2</v>
      </c>
      <c r="I29" s="16">
        <f t="shared" ref="I29:AE29" si="119">I8/E8-1</f>
        <v>2.2682341640032133E-2</v>
      </c>
      <c r="J29" s="16">
        <f t="shared" si="119"/>
        <v>2.4202544307575735E-2</v>
      </c>
      <c r="K29" s="16">
        <f t="shared" si="119"/>
        <v>6.1654464313198432E-2</v>
      </c>
      <c r="L29" s="16">
        <f t="shared" si="119"/>
        <v>4.6925002392224302E-2</v>
      </c>
      <c r="M29" s="16">
        <f t="shared" si="119"/>
        <v>4.8266462708676405E-2</v>
      </c>
      <c r="N29" s="16">
        <f t="shared" si="119"/>
        <v>-1.9124436194986272E-2</v>
      </c>
      <c r="O29" s="16">
        <f t="shared" si="119"/>
        <v>-0.11557993862128457</v>
      </c>
      <c r="P29" s="16">
        <f t="shared" si="119"/>
        <v>-0.35376068028415353</v>
      </c>
      <c r="Q29" s="16">
        <f t="shared" si="119"/>
        <v>-0.10486695223797582</v>
      </c>
      <c r="R29" s="16">
        <f t="shared" si="119"/>
        <v>4.2811056029817163E-2</v>
      </c>
      <c r="S29" s="16">
        <f t="shared" si="119"/>
        <v>8.8920164977863037E-2</v>
      </c>
      <c r="T29" s="16">
        <f t="shared" si="119"/>
        <v>0.55155468473858704</v>
      </c>
      <c r="U29" s="16">
        <f t="shared" si="119"/>
        <v>8.5404210241936118E-2</v>
      </c>
      <c r="V29" s="16">
        <f t="shared" si="119"/>
        <v>-3.5973529760538914E-2</v>
      </c>
      <c r="W29" s="16">
        <f t="shared" si="119"/>
        <v>8.7606150267530936E-2</v>
      </c>
      <c r="X29" s="16">
        <f t="shared" si="119"/>
        <v>0.12950341867275106</v>
      </c>
      <c r="Y29" s="16">
        <f t="shared" si="119"/>
        <v>0.27636705253236227</v>
      </c>
      <c r="Z29" s="16">
        <f t="shared" si="119"/>
        <v>0.24947513811272093</v>
      </c>
      <c r="AA29" s="16">
        <f t="shared" si="119"/>
        <v>0.20280635374593747</v>
      </c>
      <c r="AB29" s="16">
        <f t="shared" si="119"/>
        <v>0.19492484965070966</v>
      </c>
      <c r="AC29" s="16">
        <f t="shared" si="119"/>
        <v>0.16297985901089529</v>
      </c>
      <c r="AD29" s="16">
        <f t="shared" si="119"/>
        <v>0.19618259767570789</v>
      </c>
      <c r="AE29" s="16">
        <f t="shared" si="119"/>
        <v>-2.0531493756630437E-2</v>
      </c>
      <c r="AF29" s="16"/>
      <c r="AG29" s="16"/>
      <c r="AH29" s="16"/>
      <c r="AI29" s="16"/>
      <c r="AJ29" s="16"/>
      <c r="AK29" s="16"/>
      <c r="AL29" s="16">
        <f>AL8/AK8-1</f>
        <v>3.7365577590800392E-2</v>
      </c>
      <c r="AM29" s="16">
        <f>AM8/AL8-1</f>
        <v>-1.1961769501268815E-2</v>
      </c>
      <c r="AN29" s="16">
        <f>AN8/AM8-1</f>
        <v>-8.5893438897404417E-2</v>
      </c>
      <c r="AO29" s="16">
        <f>AO8/AN8-1</f>
        <v>0.1351793521822231</v>
      </c>
      <c r="AP29" s="16">
        <f>AP8/AO8-1</f>
        <v>0.21384931907221993</v>
      </c>
      <c r="AQ29" s="16">
        <f t="shared" ref="AQ29:AW29" si="120">AQ8/AP8-1</f>
        <v>0.13040641403946829</v>
      </c>
      <c r="AR29" s="16">
        <f t="shared" si="120"/>
        <v>0.10000000000000009</v>
      </c>
      <c r="AS29" s="16">
        <f t="shared" si="120"/>
        <v>9.000000000000008E-2</v>
      </c>
      <c r="AT29" s="16">
        <f t="shared" si="120"/>
        <v>8.0000000000000071E-2</v>
      </c>
      <c r="AU29" s="16">
        <f t="shared" si="120"/>
        <v>7.0000000000000062E-2</v>
      </c>
      <c r="AV29" s="16">
        <f t="shared" si="120"/>
        <v>6.0000000000000053E-2</v>
      </c>
      <c r="AW29" s="16">
        <f t="shared" si="120"/>
        <v>5.0000000000000044E-2</v>
      </c>
      <c r="BD29" s="8" t="s">
        <v>47</v>
      </c>
      <c r="BE29" s="22">
        <f>+BE27+BE28</f>
        <v>118639189.56395441</v>
      </c>
      <c r="BF29" s="7"/>
    </row>
    <row r="30" spans="1:1194" x14ac:dyDescent="0.25">
      <c r="C30" s="14" t="s">
        <v>52</v>
      </c>
      <c r="D30" s="16"/>
      <c r="E30" s="16"/>
      <c r="F30" s="16"/>
      <c r="G30" s="16"/>
      <c r="H30" s="16">
        <f>H10/D10-1</f>
        <v>-3.9366941155072777E-2</v>
      </c>
      <c r="I30" s="16">
        <f t="shared" ref="I30:AE30" si="121">I10/E10-1</f>
        <v>-2.9308946573743833E-2</v>
      </c>
      <c r="J30" s="16">
        <f t="shared" si="121"/>
        <v>5.8966827072422401E-2</v>
      </c>
      <c r="K30" s="16">
        <f t="shared" si="121"/>
        <v>-0.12169866015748243</v>
      </c>
      <c r="L30" s="16">
        <f t="shared" si="121"/>
        <v>2.8359794477485822E-2</v>
      </c>
      <c r="M30" s="16">
        <f t="shared" si="121"/>
        <v>-5.8583715183485041E-2</v>
      </c>
      <c r="N30" s="16">
        <f t="shared" si="121"/>
        <v>-4.5254306196703231E-2</v>
      </c>
      <c r="O30" s="16">
        <f t="shared" si="121"/>
        <v>8.337494083089636E-2</v>
      </c>
      <c r="P30" s="16">
        <f t="shared" si="121"/>
        <v>-0.24737146125812881</v>
      </c>
      <c r="Q30" s="16">
        <f t="shared" si="121"/>
        <v>-7.3448920250799077E-2</v>
      </c>
      <c r="R30" s="16">
        <f t="shared" si="121"/>
        <v>-9.8798239538161803E-2</v>
      </c>
      <c r="S30" s="16">
        <f t="shared" si="121"/>
        <v>-5.6400342357116773E-2</v>
      </c>
      <c r="T30" s="16">
        <f t="shared" si="121"/>
        <v>0.21781560686301615</v>
      </c>
      <c r="U30" s="16">
        <f t="shared" si="121"/>
        <v>7.3030715511629207E-2</v>
      </c>
      <c r="V30" s="16">
        <f t="shared" si="121"/>
        <v>0.10895804486498939</v>
      </c>
      <c r="W30" s="16">
        <f t="shared" si="121"/>
        <v>0.13314109777246097</v>
      </c>
      <c r="X30" s="16">
        <f t="shared" si="121"/>
        <v>0.24586981522655837</v>
      </c>
      <c r="Y30" s="16">
        <f t="shared" si="121"/>
        <v>0.24958997239389347</v>
      </c>
      <c r="Z30" s="16">
        <f t="shared" si="121"/>
        <v>0.31688620590618766</v>
      </c>
      <c r="AA30" s="16">
        <f t="shared" si="121"/>
        <v>5.0038064530574689E-2</v>
      </c>
      <c r="AB30" s="16">
        <f t="shared" si="121"/>
        <v>0.15939686939226627</v>
      </c>
      <c r="AC30" s="16">
        <f t="shared" si="121"/>
        <v>8.2006876205078072E-2</v>
      </c>
      <c r="AD30" s="16">
        <f t="shared" si="121"/>
        <v>2.8368663613344003E-2</v>
      </c>
      <c r="AE30" s="16">
        <f t="shared" si="121"/>
        <v>-3.0000000000000027E-2</v>
      </c>
      <c r="AF30" s="16"/>
      <c r="AG30" s="16"/>
      <c r="AH30" s="16"/>
      <c r="AI30" s="16"/>
      <c r="AJ30" s="16"/>
      <c r="AK30" s="16"/>
      <c r="AL30" s="16">
        <f>AL10/AK10-1</f>
        <v>-3.6933889231336781E-2</v>
      </c>
      <c r="AM30" s="16">
        <f>AM10/AL10-1</f>
        <v>1.886202265794612E-3</v>
      </c>
      <c r="AN30" s="16">
        <f>AN10/AM10-1</f>
        <v>-0.11648024037840821</v>
      </c>
      <c r="AO30" s="16">
        <f>AO10/AN10-1</f>
        <v>0.12956378991317541</v>
      </c>
      <c r="AP30" s="16">
        <f>AP10/AO10-1</f>
        <v>0.20565111894345955</v>
      </c>
      <c r="AQ30" s="16">
        <f t="shared" ref="AQ30:AW30" si="122">AQ10/AP10-1</f>
        <v>5.5652482309036522E-2</v>
      </c>
      <c r="AR30" s="16">
        <f t="shared" si="122"/>
        <v>5.0000000000000044E-2</v>
      </c>
      <c r="AS30" s="16">
        <f t="shared" si="122"/>
        <v>8.0000000000000071E-2</v>
      </c>
      <c r="AT30" s="16">
        <f t="shared" si="122"/>
        <v>7.0000000000000062E-2</v>
      </c>
      <c r="AU30" s="16">
        <f t="shared" si="122"/>
        <v>6.0000000000000053E-2</v>
      </c>
      <c r="AV30" s="16">
        <f t="shared" si="122"/>
        <v>5.0000000000000044E-2</v>
      </c>
      <c r="AW30" s="16">
        <f t="shared" si="122"/>
        <v>4.0000000000000036E-2</v>
      </c>
      <c r="BD30" s="8" t="s">
        <v>69</v>
      </c>
      <c r="BE30" s="24">
        <f>BE29/Main!C5</f>
        <v>8624.7077555881679</v>
      </c>
      <c r="BF30" s="7"/>
    </row>
    <row r="31" spans="1:1194" x14ac:dyDescent="0.25">
      <c r="C31" s="14" t="s">
        <v>53</v>
      </c>
      <c r="D31" s="16"/>
      <c r="E31" s="16"/>
      <c r="F31" s="16"/>
      <c r="G31" s="16"/>
      <c r="H31" s="16">
        <f>H11/D11-1</f>
        <v>0.18874130671746525</v>
      </c>
      <c r="I31" s="16">
        <f t="shared" ref="I31:AE31" si="123">I11/E11-1</f>
        <v>0.10897334020109262</v>
      </c>
      <c r="J31" s="16">
        <f t="shared" si="123"/>
        <v>3.6874021183264105E-3</v>
      </c>
      <c r="K31" s="16">
        <f t="shared" si="123"/>
        <v>-0.158978585812386</v>
      </c>
      <c r="L31" s="16">
        <f t="shared" si="123"/>
        <v>8.4847082191399581E-2</v>
      </c>
      <c r="M31" s="16">
        <f t="shared" si="123"/>
        <v>0.13718018226459794</v>
      </c>
      <c r="N31" s="16">
        <f t="shared" si="123"/>
        <v>-5.3291605595973568E-2</v>
      </c>
      <c r="O31" s="16">
        <f t="shared" si="123"/>
        <v>-0.32036308634725086</v>
      </c>
      <c r="P31" s="16">
        <f t="shared" si="123"/>
        <v>-0.98120470800460702</v>
      </c>
      <c r="Q31" s="16">
        <f t="shared" si="123"/>
        <v>-0.23161915983279857</v>
      </c>
      <c r="R31" s="16">
        <f t="shared" si="123"/>
        <v>0.54342388731707847</v>
      </c>
      <c r="S31" s="16">
        <f t="shared" si="123"/>
        <v>0.91663054712766323</v>
      </c>
      <c r="T31" s="16">
        <f t="shared" si="123"/>
        <v>70.658620689655166</v>
      </c>
      <c r="U31" s="16">
        <f t="shared" si="123"/>
        <v>0.48198537330479918</v>
      </c>
      <c r="V31" s="16">
        <f t="shared" si="123"/>
        <v>-0.20605481501425693</v>
      </c>
      <c r="W31" s="16">
        <f t="shared" si="123"/>
        <v>-0.32756666173788751</v>
      </c>
      <c r="X31" s="16">
        <f t="shared" si="123"/>
        <v>-0.4198877580482171</v>
      </c>
      <c r="Y31" s="16">
        <f t="shared" si="123"/>
        <v>-0.24958965298843294</v>
      </c>
      <c r="Z31" s="16">
        <f t="shared" si="123"/>
        <v>0.21964223562574348</v>
      </c>
      <c r="AA31" s="16">
        <f t="shared" si="123"/>
        <v>0.3515442092691361</v>
      </c>
      <c r="AB31" s="16">
        <f t="shared" si="123"/>
        <v>0.93707995264881494</v>
      </c>
      <c r="AC31" s="16">
        <f t="shared" si="123"/>
        <v>1.5558299824623436</v>
      </c>
      <c r="AD31" s="16">
        <f t="shared" si="123"/>
        <v>0.75711021353637475</v>
      </c>
      <c r="AE31" s="16">
        <f t="shared" si="123"/>
        <v>1.8489464533506528E-3</v>
      </c>
      <c r="AF31" s="16"/>
      <c r="AG31" s="16"/>
      <c r="AH31" s="16"/>
      <c r="AI31" s="16"/>
      <c r="AJ31" s="16"/>
      <c r="AK31" s="16"/>
      <c r="AL31" s="16">
        <f>AL11/AK11-1</f>
        <v>2.820287166512081E-2</v>
      </c>
      <c r="AM31" s="16">
        <f>AM11/AL11-1</f>
        <v>-2.7685006757728781E-2</v>
      </c>
      <c r="AN31" s="16">
        <f>AN11/AM11-1</f>
        <v>-8.397815800145958E-2</v>
      </c>
      <c r="AO31" s="16">
        <f>AO11/AN11-1</f>
        <v>0.36307529343673606</v>
      </c>
      <c r="AP31" s="16">
        <f>AP11/AO11-1</f>
        <v>-9.0352959712868053E-2</v>
      </c>
      <c r="AQ31" s="16">
        <f t="shared" ref="AQ31:AW31" si="124">AQ11/AP11-1</f>
        <v>0.786524664351824</v>
      </c>
      <c r="AR31" s="16">
        <f t="shared" si="124"/>
        <v>0.13890115848359752</v>
      </c>
      <c r="AS31" s="16">
        <f t="shared" si="124"/>
        <v>9.717291682487561E-2</v>
      </c>
      <c r="AT31" s="16">
        <f t="shared" si="124"/>
        <v>8.7060646550847665E-2</v>
      </c>
      <c r="AU31" s="16">
        <f t="shared" si="124"/>
        <v>7.694983470644301E-2</v>
      </c>
      <c r="AV31" s="16">
        <f t="shared" si="124"/>
        <v>6.6840453056793425E-2</v>
      </c>
      <c r="AW31" s="16">
        <f t="shared" si="124"/>
        <v>5.6732474091184315E-2</v>
      </c>
      <c r="BD31" s="8" t="s">
        <v>70</v>
      </c>
      <c r="BE31" s="22">
        <f>Main!C4</f>
        <v>3610</v>
      </c>
    </row>
    <row r="32" spans="1:1194" x14ac:dyDescent="0.25">
      <c r="C32" s="72" t="s">
        <v>116</v>
      </c>
      <c r="D32" s="16"/>
      <c r="E32" s="16"/>
      <c r="F32" s="16"/>
      <c r="G32" s="16"/>
      <c r="H32" s="16">
        <f>H21/D21-1</f>
        <v>8.3076903595081575E-2</v>
      </c>
      <c r="I32" s="16">
        <f t="shared" ref="I32:AE32" si="125">I21/E21-1</f>
        <v>0.2750360024687406</v>
      </c>
      <c r="J32" s="16">
        <f t="shared" si="125"/>
        <v>-0.79076653006224462</v>
      </c>
      <c r="K32" s="16">
        <f t="shared" si="125"/>
        <v>-3.5364642522355383E-2</v>
      </c>
      <c r="L32" s="16">
        <f t="shared" si="125"/>
        <v>-7.7246739429085887E-2</v>
      </c>
      <c r="M32" s="16">
        <f t="shared" si="125"/>
        <v>-9.9349869370845001E-2</v>
      </c>
      <c r="N32" s="16">
        <f t="shared" si="125"/>
        <v>1.8862333825701625</v>
      </c>
      <c r="O32" s="16">
        <f t="shared" si="125"/>
        <v>-0.29656970962404217</v>
      </c>
      <c r="P32" s="16">
        <f t="shared" si="125"/>
        <v>-0.7632998142167724</v>
      </c>
      <c r="Q32" s="16">
        <f t="shared" si="125"/>
        <v>-0.12824572800758582</v>
      </c>
      <c r="R32" s="16">
        <f t="shared" si="125"/>
        <v>0.47989914601650652</v>
      </c>
      <c r="S32" s="16">
        <f t="shared" si="125"/>
        <v>1.2985891945796912</v>
      </c>
      <c r="T32" s="16">
        <f t="shared" si="125"/>
        <v>5.1997484074728337</v>
      </c>
      <c r="U32" s="16">
        <f t="shared" si="125"/>
        <v>0.32543213054317577</v>
      </c>
      <c r="V32" s="16">
        <f t="shared" si="125"/>
        <v>-5.6098618110726362E-2</v>
      </c>
      <c r="W32" s="16">
        <f t="shared" si="125"/>
        <v>-0.37383195458356144</v>
      </c>
      <c r="X32" s="16">
        <f t="shared" si="125"/>
        <v>-0.18163166188183999</v>
      </c>
      <c r="Y32" s="16">
        <f t="shared" si="125"/>
        <v>-0.27753615811688059</v>
      </c>
      <c r="Z32" s="16">
        <f t="shared" si="125"/>
        <v>-9.0708586027585247E-2</v>
      </c>
      <c r="AA32" s="16">
        <f t="shared" si="125"/>
        <v>7.7704823156367508E-2</v>
      </c>
      <c r="AB32" s="16">
        <f t="shared" si="125"/>
        <v>0.74993636671761732</v>
      </c>
      <c r="AC32" s="16">
        <f t="shared" si="125"/>
        <v>1.8628214799784959</v>
      </c>
      <c r="AD32" s="16">
        <f t="shared" si="125"/>
        <v>0.85893795848856924</v>
      </c>
      <c r="AE32" s="16">
        <f t="shared" si="125"/>
        <v>5.1631796720033263E-2</v>
      </c>
      <c r="AF32" s="16"/>
      <c r="AG32" s="16"/>
      <c r="AH32" s="16"/>
      <c r="AI32" s="16"/>
      <c r="AJ32" s="16"/>
      <c r="AK32" s="16"/>
      <c r="AL32" s="16">
        <f t="shared" ref="AL32:AP32" si="126">AL21/AK21-1</f>
        <v>-0.23220973927596167</v>
      </c>
      <c r="AM32" s="16">
        <f t="shared" si="126"/>
        <v>6.322513191313206E-2</v>
      </c>
      <c r="AN32" s="16">
        <f t="shared" si="126"/>
        <v>8.1118796320068132E-2</v>
      </c>
      <c r="AO32" s="16">
        <f t="shared" si="126"/>
        <v>0.25948155826948915</v>
      </c>
      <c r="AP32" s="16">
        <f>AP21/AO21-1</f>
        <v>-0.1327639581397565</v>
      </c>
      <c r="AQ32" s="16">
        <f t="shared" ref="AQ32:AW32" si="127">AQ21/AP21-1</f>
        <v>0.84028688727652923</v>
      </c>
      <c r="AR32" s="16">
        <f t="shared" si="127"/>
        <v>0.12941331590485028</v>
      </c>
      <c r="AS32" s="16">
        <f t="shared" si="127"/>
        <v>8.7461935125750845E-2</v>
      </c>
      <c r="AT32" s="16">
        <f t="shared" si="127"/>
        <v>7.969418999969502E-2</v>
      </c>
      <c r="AU32" s="16">
        <f t="shared" si="127"/>
        <v>7.1740403821037857E-2</v>
      </c>
      <c r="AV32" s="16">
        <f t="shared" si="127"/>
        <v>6.3651209834438838E-2</v>
      </c>
      <c r="AW32" s="16">
        <f t="shared" si="127"/>
        <v>5.5473842519082606E-2</v>
      </c>
      <c r="BD32" s="11" t="s">
        <v>48</v>
      </c>
      <c r="BE32" s="25">
        <f>BE30/BE31-1</f>
        <v>1.3891157217695755</v>
      </c>
    </row>
    <row r="33" spans="3:58" x14ac:dyDescent="0.25">
      <c r="C33" s="14" t="s">
        <v>66</v>
      </c>
      <c r="D33" s="16"/>
      <c r="E33" s="16"/>
      <c r="F33" s="16"/>
      <c r="G33" s="16"/>
      <c r="H33" s="16">
        <f>H22/D22-1</f>
        <v>9.6085584697298332E-2</v>
      </c>
      <c r="I33" s="16">
        <f t="shared" ref="I33:AE33" si="128">I22/E22-1</f>
        <v>0.30967488715902403</v>
      </c>
      <c r="J33" s="16">
        <f t="shared" si="128"/>
        <v>-0.80278739007587541</v>
      </c>
      <c r="K33" s="16">
        <f t="shared" si="128"/>
        <v>-1.005676209279327E-2</v>
      </c>
      <c r="L33" s="16">
        <f t="shared" si="128"/>
        <v>-2.7616605946116146E-2</v>
      </c>
      <c r="M33" s="16">
        <f t="shared" si="128"/>
        <v>-6.5381349582937953E-2</v>
      </c>
      <c r="N33" s="16">
        <f t="shared" si="128"/>
        <v>2.1975209272376048</v>
      </c>
      <c r="O33" s="16">
        <f t="shared" si="128"/>
        <v>-0.26357120598317252</v>
      </c>
      <c r="P33" s="16">
        <f t="shared" si="128"/>
        <v>-0.73694435450298346</v>
      </c>
      <c r="Q33" s="16">
        <f t="shared" si="128"/>
        <v>-0.82182556648140226</v>
      </c>
      <c r="R33" s="16">
        <f t="shared" si="128"/>
        <v>-0.7017066908322005</v>
      </c>
      <c r="S33" s="16">
        <f t="shared" si="128"/>
        <v>-0.91985443466486116</v>
      </c>
      <c r="T33" s="16">
        <f t="shared" si="128"/>
        <v>0.12924213117636718</v>
      </c>
      <c r="U33" s="16">
        <f t="shared" si="128"/>
        <v>0.3500299940011995</v>
      </c>
      <c r="V33" s="16">
        <f t="shared" si="128"/>
        <v>-3.4936708860759502E-2</v>
      </c>
      <c r="W33" s="16">
        <f t="shared" si="128"/>
        <v>3.0992608236536432</v>
      </c>
      <c r="X33" s="16">
        <f t="shared" si="128"/>
        <v>-0.1645904702584865</v>
      </c>
      <c r="Y33" s="16">
        <f t="shared" si="128"/>
        <v>-0.29504554543434791</v>
      </c>
      <c r="Z33" s="16">
        <f t="shared" si="128"/>
        <v>-6.610703043022037E-2</v>
      </c>
      <c r="AA33" s="16">
        <f t="shared" si="128"/>
        <v>4.8171045852653416E-2</v>
      </c>
      <c r="AB33" s="16">
        <f t="shared" si="128"/>
        <v>0.80316868592730661</v>
      </c>
      <c r="AC33" s="16">
        <f t="shared" si="128"/>
        <v>1.9785691774346046</v>
      </c>
      <c r="AD33" s="16">
        <f t="shared" si="128"/>
        <v>0.88426966292134845</v>
      </c>
      <c r="AE33" s="16">
        <f t="shared" si="128"/>
        <v>1.0076185795036219E-2</v>
      </c>
      <c r="AF33" s="16"/>
      <c r="AG33" s="16"/>
      <c r="AH33" s="16"/>
      <c r="AI33" s="16"/>
      <c r="AJ33" s="16"/>
      <c r="AK33" s="16"/>
      <c r="AL33" s="16">
        <f t="shared" ref="AL33:AP33" si="129">AL22/AK22-1</f>
        <v>-0.22535363481351611</v>
      </c>
      <c r="AM33" s="16">
        <f t="shared" si="129"/>
        <v>0.11624374137743954</v>
      </c>
      <c r="AN33" s="16">
        <f t="shared" si="129"/>
        <v>-0.77929454242466323</v>
      </c>
      <c r="AO33" s="16">
        <f t="shared" si="129"/>
        <v>0.29132322406090716</v>
      </c>
      <c r="AP33" s="16">
        <f>AP22/AO22-1</f>
        <v>-0.12551771183550164</v>
      </c>
      <c r="AQ33" s="16">
        <f t="shared" ref="AQ33:AW33" si="130">AQ22/AP22-1</f>
        <v>0.85529614977433566</v>
      </c>
      <c r="AR33" s="16">
        <f t="shared" si="130"/>
        <v>0.14082153121702046</v>
      </c>
      <c r="AS33" s="16">
        <f t="shared" si="130"/>
        <v>9.8446399116919991E-2</v>
      </c>
      <c r="AT33" s="16">
        <f t="shared" si="130"/>
        <v>9.060019191888391E-2</v>
      </c>
      <c r="AU33" s="16">
        <f t="shared" si="130"/>
        <v>8.2566064465694922E-2</v>
      </c>
      <c r="AV33" s="16">
        <f t="shared" si="130"/>
        <v>7.4395161448927993E-2</v>
      </c>
      <c r="AW33" s="16">
        <f t="shared" si="130"/>
        <v>6.6135194463719849E-2</v>
      </c>
    </row>
    <row r="34" spans="3:58" x14ac:dyDescent="0.25">
      <c r="C34" s="14" t="s">
        <v>67</v>
      </c>
      <c r="D34" s="16">
        <f>D9/D5</f>
        <v>0.18368549547179566</v>
      </c>
      <c r="E34" s="16">
        <f>E9/E5</f>
        <v>0.17926281157080301</v>
      </c>
      <c r="F34" s="16">
        <f>F9/F5</f>
        <v>0.1850723273537041</v>
      </c>
      <c r="G34" s="16">
        <f>G9/G5</f>
        <v>0.19882727889455454</v>
      </c>
      <c r="H34" s="16">
        <f>H9/H5</f>
        <v>0.18669453313056442</v>
      </c>
      <c r="I34" s="16">
        <f t="shared" ref="I34:AE34" si="131">I9/I5</f>
        <v>0.17989575823526219</v>
      </c>
      <c r="J34" s="16">
        <f t="shared" si="131"/>
        <v>0.18629406853158004</v>
      </c>
      <c r="K34" s="16">
        <f t="shared" si="131"/>
        <v>0.16782499087435016</v>
      </c>
      <c r="L34" s="16">
        <f t="shared" si="131"/>
        <v>0.18806847005668625</v>
      </c>
      <c r="M34" s="16">
        <f t="shared" si="131"/>
        <v>0.17697934949359723</v>
      </c>
      <c r="N34" s="16">
        <f t="shared" si="131"/>
        <v>0.18165166696872398</v>
      </c>
      <c r="O34" s="16">
        <f t="shared" si="131"/>
        <v>0.17324862570167954</v>
      </c>
      <c r="P34" s="16">
        <f t="shared" si="131"/>
        <v>0.11942020467762535</v>
      </c>
      <c r="Q34" s="16">
        <f t="shared" si="131"/>
        <v>0.16948252597599767</v>
      </c>
      <c r="R34" s="16">
        <f t="shared" si="131"/>
        <v>0.20327561863859939</v>
      </c>
      <c r="S34" s="16">
        <f t="shared" si="131"/>
        <v>0.19222658598524164</v>
      </c>
      <c r="T34" s="16">
        <f t="shared" si="131"/>
        <v>0.20787929568144997</v>
      </c>
      <c r="U34" s="16">
        <f t="shared" si="131"/>
        <v>0.19069737485026322</v>
      </c>
      <c r="V34" s="16">
        <f t="shared" si="131"/>
        <v>0.19599930231441012</v>
      </c>
      <c r="W34" s="16">
        <f t="shared" si="131"/>
        <v>0.16728351560628846</v>
      </c>
      <c r="X34" s="16">
        <f t="shared" si="131"/>
        <v>0.16383582558523521</v>
      </c>
      <c r="Y34" s="16">
        <f t="shared" si="131"/>
        <v>0.15444707835515531</v>
      </c>
      <c r="Z34" s="16">
        <f t="shared" si="131"/>
        <v>0.19819122811244033</v>
      </c>
      <c r="AA34" s="16">
        <f t="shared" si="131"/>
        <v>0.16148629578241669</v>
      </c>
      <c r="AB34" s="16">
        <f t="shared" si="131"/>
        <v>0.19559467673275507</v>
      </c>
      <c r="AC34" s="16">
        <f t="shared" si="131"/>
        <v>0.20725669898850752</v>
      </c>
      <c r="AD34" s="16">
        <f t="shared" si="131"/>
        <v>0.22301030063441862</v>
      </c>
      <c r="AE34" s="16">
        <f t="shared" si="131"/>
        <v>0.16194105578102955</v>
      </c>
      <c r="AF34" s="16"/>
      <c r="AG34" s="16"/>
      <c r="AH34" s="16"/>
      <c r="AI34" s="16"/>
      <c r="AJ34" s="16"/>
      <c r="AK34" s="16">
        <f>AK9/AK5</f>
        <v>0.18687707861703615</v>
      </c>
      <c r="AL34" s="16">
        <f>AL9/AL5</f>
        <v>0.18010829929687935</v>
      </c>
      <c r="AM34" s="16">
        <f>AM9/AM5</f>
        <v>0.18017469511959316</v>
      </c>
      <c r="AN34" s="16">
        <f>AN9/AN5</f>
        <v>0.17756550685876507</v>
      </c>
      <c r="AO34" s="16">
        <f>AO9/AO5</f>
        <v>0.19030486999046861</v>
      </c>
      <c r="AP34" s="16">
        <f>AP9/AP5</f>
        <v>0.16991347811227653</v>
      </c>
      <c r="AQ34" s="16">
        <f t="shared" ref="AQ34:AW34" si="132">AQ9/AQ5</f>
        <v>0.19890073226724891</v>
      </c>
      <c r="AR34" s="16">
        <f t="shared" si="132"/>
        <v>0.198900732267249</v>
      </c>
      <c r="AS34" s="16">
        <f t="shared" si="132"/>
        <v>0.19890073226724911</v>
      </c>
      <c r="AT34" s="16">
        <f t="shared" si="132"/>
        <v>0.19890073226724905</v>
      </c>
      <c r="AU34" s="16">
        <f t="shared" si="132"/>
        <v>0.198900732267249</v>
      </c>
      <c r="AV34" s="16">
        <f t="shared" si="132"/>
        <v>0.19890073226724908</v>
      </c>
      <c r="AW34" s="16">
        <f t="shared" si="132"/>
        <v>0.19890073226724911</v>
      </c>
      <c r="BD34" s="26" t="s">
        <v>49</v>
      </c>
      <c r="BE34" s="27">
        <v>6.7999999999999996E-3</v>
      </c>
      <c r="BF34" s="28">
        <v>45361</v>
      </c>
    </row>
    <row r="35" spans="3:58" x14ac:dyDescent="0.25">
      <c r="C35" s="14" t="s">
        <v>68</v>
      </c>
      <c r="D35" s="16">
        <f>D11/D5</f>
        <v>8.1487813024734929E-2</v>
      </c>
      <c r="E35" s="16">
        <f>E11/E5</f>
        <v>7.3106966640494056E-2</v>
      </c>
      <c r="F35" s="16">
        <f>F11/F5</f>
        <v>8.8570291464358561E-2</v>
      </c>
      <c r="G35" s="16">
        <f>G11/G5</f>
        <v>8.3042929173036573E-2</v>
      </c>
      <c r="H35" s="16">
        <f>H11/H5</f>
        <v>9.2721955284810684E-2</v>
      </c>
      <c r="I35" s="16">
        <f t="shared" ref="I35:AE35" si="133">I11/I5</f>
        <v>7.9214385784801084E-2</v>
      </c>
      <c r="J35" s="16">
        <f t="shared" si="133"/>
        <v>8.6666071912450127E-2</v>
      </c>
      <c r="K35" s="16">
        <f t="shared" si="133"/>
        <v>6.8330569294746291E-2</v>
      </c>
      <c r="L35" s="16">
        <f t="shared" si="133"/>
        <v>9.5918250785848397E-2</v>
      </c>
      <c r="M35" s="16">
        <f t="shared" si="133"/>
        <v>8.6238923012217875E-2</v>
      </c>
      <c r="N35" s="16">
        <f t="shared" si="133"/>
        <v>8.4124432196848675E-2</v>
      </c>
      <c r="O35" s="16">
        <f t="shared" si="133"/>
        <v>5.2166736552588591E-2</v>
      </c>
      <c r="P35" s="16">
        <f t="shared" si="133"/>
        <v>3.0255634025068705E-3</v>
      </c>
      <c r="Q35" s="16">
        <f t="shared" si="133"/>
        <v>7.4701668495357615E-2</v>
      </c>
      <c r="R35" s="16">
        <f t="shared" si="133"/>
        <v>0.12121926377476018</v>
      </c>
      <c r="S35" s="16">
        <f t="shared" si="133"/>
        <v>8.9712025887277405E-2</v>
      </c>
      <c r="T35" s="16">
        <f t="shared" si="133"/>
        <v>0.12569854894873794</v>
      </c>
      <c r="U35" s="16">
        <f t="shared" si="133"/>
        <v>9.9390503861714843E-2</v>
      </c>
      <c r="V35" s="16">
        <f t="shared" si="133"/>
        <v>0.10074454046897521</v>
      </c>
      <c r="W35" s="16">
        <f t="shared" si="133"/>
        <v>5.7178907476603605E-2</v>
      </c>
      <c r="X35" s="16">
        <f t="shared" si="133"/>
        <v>6.8148285808367237E-2</v>
      </c>
      <c r="Y35" s="16">
        <f t="shared" si="133"/>
        <v>6.1051728791377782E-2</v>
      </c>
      <c r="Z35" s="16">
        <f t="shared" si="133"/>
        <v>9.8071029459177825E-2</v>
      </c>
      <c r="AA35" s="16">
        <f t="shared" si="133"/>
        <v>6.4696889094364288E-2</v>
      </c>
      <c r="AB35" s="16">
        <f t="shared" si="133"/>
        <v>0.10627846411874808</v>
      </c>
      <c r="AC35" s="16">
        <f t="shared" si="133"/>
        <v>0.125790985506856</v>
      </c>
      <c r="AD35" s="16">
        <f t="shared" si="133"/>
        <v>0.13960041700498702</v>
      </c>
      <c r="AE35" s="16">
        <f t="shared" si="133"/>
        <v>6.6139296099998107E-2</v>
      </c>
      <c r="AF35" s="16"/>
      <c r="AG35" s="16"/>
      <c r="AH35" s="16"/>
      <c r="AI35" s="16"/>
      <c r="AJ35" s="16"/>
      <c r="AK35" s="16">
        <f>AK11/AK5</f>
        <v>8.1684888549877113E-2</v>
      </c>
      <c r="AL35" s="16">
        <f>AL11/AL5</f>
        <v>8.1637366582410498E-2</v>
      </c>
      <c r="AM35" s="16">
        <f>AM11/AM5</f>
        <v>8.0331716954089138E-2</v>
      </c>
      <c r="AN35" s="16">
        <f>AN11/AN5</f>
        <v>8.0756232510991441E-2</v>
      </c>
      <c r="AO35" s="16">
        <f>AO11/AO5</f>
        <v>9.5466636872274635E-2</v>
      </c>
      <c r="AP35" s="16">
        <f>AP11/AP5</f>
        <v>7.3343493126959369E-2</v>
      </c>
      <c r="AQ35" s="16">
        <f t="shared" ref="AQ35:AW35" si="134">AQ11/AQ5</f>
        <v>0.11186622067694889</v>
      </c>
      <c r="AR35" s="16">
        <f t="shared" si="134"/>
        <v>0.1158223348401444</v>
      </c>
      <c r="AS35" s="16">
        <f t="shared" si="134"/>
        <v>0.11658452197250331</v>
      </c>
      <c r="AT35" s="16">
        <f t="shared" si="134"/>
        <v>0.11734670910486199</v>
      </c>
      <c r="AU35" s="16">
        <f t="shared" si="134"/>
        <v>0.11810889623722071</v>
      </c>
      <c r="AV35" s="16">
        <f t="shared" si="134"/>
        <v>0.11887108336957955</v>
      </c>
      <c r="AW35" s="16">
        <f t="shared" si="134"/>
        <v>0.11963327050193831</v>
      </c>
    </row>
    <row r="36" spans="3:58" x14ac:dyDescent="0.25">
      <c r="C36" s="14" t="s">
        <v>38</v>
      </c>
      <c r="D36" s="16">
        <f>D19/D18</f>
        <v>0.27290578613611877</v>
      </c>
      <c r="E36" s="16">
        <f>E19/E18</f>
        <v>0.32968009426962858</v>
      </c>
      <c r="F36" s="16">
        <f>F19/F18</f>
        <v>-0.12775721096226064</v>
      </c>
      <c r="G36" s="16">
        <f>G19/G18</f>
        <v>0.36625812387820822</v>
      </c>
      <c r="H36" s="16">
        <f>H19/H18</f>
        <v>0.30246208211691389</v>
      </c>
      <c r="I36" s="16">
        <f t="shared" ref="I36:AE36" si="135">I19/I18</f>
        <v>0.30944900638823314</v>
      </c>
      <c r="J36" s="16">
        <f t="shared" si="135"/>
        <v>3.4740351472000906E-2</v>
      </c>
      <c r="K36" s="16">
        <f t="shared" si="135"/>
        <v>0.32197517893961969</v>
      </c>
      <c r="L36" s="16">
        <f t="shared" si="135"/>
        <v>0.25805773081515049</v>
      </c>
      <c r="M36" s="16">
        <f t="shared" si="135"/>
        <v>0.28310079329558208</v>
      </c>
      <c r="N36" s="16">
        <f t="shared" si="135"/>
        <v>0.2406242956077011</v>
      </c>
      <c r="O36" s="16">
        <f t="shared" si="135"/>
        <v>0.14590337239655093</v>
      </c>
      <c r="P36" s="16">
        <f t="shared" si="135"/>
        <v>-0.26400189454809952</v>
      </c>
      <c r="Q36" s="16">
        <f t="shared" si="135"/>
        <v>0.21101342653402819</v>
      </c>
      <c r="R36" s="16">
        <f t="shared" si="135"/>
        <v>0.23981093154943944</v>
      </c>
      <c r="S36" s="16">
        <f t="shared" si="135"/>
        <v>0.26232345975578991</v>
      </c>
      <c r="T36" s="16">
        <f t="shared" si="135"/>
        <v>0.26302418273984085</v>
      </c>
      <c r="U36" s="16">
        <f t="shared" si="135"/>
        <v>0.27999887238181154</v>
      </c>
      <c r="V36" s="16">
        <f t="shared" si="135"/>
        <v>0.25117809030943561</v>
      </c>
      <c r="W36" s="16">
        <f t="shared" si="135"/>
        <v>0.34830141570825257</v>
      </c>
      <c r="X36" s="16">
        <f t="shared" si="135"/>
        <v>0.2578877158435503</v>
      </c>
      <c r="Y36" s="16">
        <f t="shared" si="135"/>
        <v>0.43226149466665192</v>
      </c>
      <c r="Z36" s="16">
        <f t="shared" si="135"/>
        <v>0.28061117026313093</v>
      </c>
      <c r="AA36" s="16">
        <f t="shared" si="135"/>
        <v>0.33849390650427352</v>
      </c>
      <c r="AB36" s="16">
        <f t="shared" si="135"/>
        <v>0.22880014227975409</v>
      </c>
      <c r="AC36" s="16">
        <f t="shared" si="135"/>
        <v>0.26671208658435558</v>
      </c>
      <c r="AD36" s="16">
        <f t="shared" si="135"/>
        <v>0.24594247248355933</v>
      </c>
      <c r="AE36" s="16">
        <f t="shared" si="135"/>
        <v>0.32</v>
      </c>
      <c r="AF36" s="16"/>
      <c r="AG36" s="16"/>
      <c r="AH36" s="16"/>
      <c r="AI36" s="16"/>
      <c r="AJ36" s="16"/>
      <c r="AK36" s="16">
        <f>AK19/AK18</f>
        <v>0.19248985566867105</v>
      </c>
      <c r="AL36" s="16">
        <f>AL19/AL18</f>
        <v>0.28875699255950105</v>
      </c>
      <c r="AM36" s="16">
        <f>AM19/AM18</f>
        <v>0.24412134440266056</v>
      </c>
      <c r="AN36" s="16">
        <f>AN19/AN18</f>
        <v>0.22165673039476133</v>
      </c>
      <c r="AO36" s="16">
        <f>AO19/AO18</f>
        <v>0.27964148129659938</v>
      </c>
      <c r="AP36" s="16">
        <f>AP19/AP18</f>
        <v>0.32048257531959945</v>
      </c>
      <c r="AQ36" s="16">
        <f t="shared" ref="AQ36:AW36" si="136">AQ19/AQ18</f>
        <v>0.25703257876325303</v>
      </c>
      <c r="AR36" s="16">
        <f t="shared" si="136"/>
        <v>0.25785816327363215</v>
      </c>
      <c r="AS36" s="16">
        <f t="shared" si="136"/>
        <v>0.25785816327363215</v>
      </c>
      <c r="AT36" s="16">
        <f t="shared" si="136"/>
        <v>0.25785816327363215</v>
      </c>
      <c r="AU36" s="16">
        <f t="shared" si="136"/>
        <v>0.25785816327363215</v>
      </c>
      <c r="AV36" s="16">
        <f t="shared" si="136"/>
        <v>0.25785816327363215</v>
      </c>
      <c r="AW36" s="16">
        <f t="shared" si="136"/>
        <v>0.25785816327363215</v>
      </c>
      <c r="BD36" s="29" t="s">
        <v>71</v>
      </c>
      <c r="BE36" s="30">
        <f>BE29*BE34</f>
        <v>806746.48903488996</v>
      </c>
    </row>
    <row r="37" spans="3:58" x14ac:dyDescent="0.25">
      <c r="BD37" s="31" t="s">
        <v>72</v>
      </c>
      <c r="BE37" s="22">
        <f>Main!C5/10</f>
        <v>1375.573444643212</v>
      </c>
    </row>
    <row r="38" spans="3:58" x14ac:dyDescent="0.25">
      <c r="BD38" s="31" t="s">
        <v>73</v>
      </c>
      <c r="BE38" s="24">
        <f>BE36/BE37</f>
        <v>586.48012737999534</v>
      </c>
    </row>
    <row r="39" spans="3:58" x14ac:dyDescent="0.25">
      <c r="BD39" s="31" t="s">
        <v>74</v>
      </c>
      <c r="BE39" s="24">
        <f>Main!G3</f>
        <v>242.82</v>
      </c>
    </row>
    <row r="40" spans="3:58" x14ac:dyDescent="0.25">
      <c r="BD40" s="32" t="s">
        <v>48</v>
      </c>
      <c r="BE40" s="33">
        <f>BE38/BE39-1</f>
        <v>1.4152875684869257</v>
      </c>
    </row>
  </sheetData>
  <phoneticPr fontId="5" type="noConversion"/>
  <conditionalFormatting sqref="BE32">
    <cfRule type="cellIs" dxfId="5" priority="3" operator="lessThan">
      <formula>0</formula>
    </cfRule>
    <cfRule type="cellIs" dxfId="4" priority="4" operator="greaterThan">
      <formula>0</formula>
    </cfRule>
  </conditionalFormatting>
  <conditionalFormatting sqref="BE40">
    <cfRule type="cellIs" dxfId="3" priority="1" operator="lessThan">
      <formula>0</formula>
    </cfRule>
    <cfRule type="cellIs" dxfId="2" priority="2" operator="greaterThan">
      <formula>0</formula>
    </cfRule>
  </conditionalFormatting>
  <pageMargins left="0.7" right="0.7" top="0.75" bottom="0.75" header="0.3" footer="0.3"/>
  <pageSetup orientation="portrait" horizontalDpi="300" verticalDpi="30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5043-45B0-43CC-B06B-8D5B786C21E4}">
  <dimension ref="B3:N14"/>
  <sheetViews>
    <sheetView workbookViewId="0">
      <selection activeCell="I10" sqref="I10"/>
    </sheetView>
  </sheetViews>
  <sheetFormatPr defaultColWidth="9.109375" defaultRowHeight="13.8" x14ac:dyDescent="0.25"/>
  <cols>
    <col min="1" max="1" width="9.109375" style="36"/>
    <col min="2" max="2" width="5.33203125" style="36" bestFit="1" customWidth="1"/>
    <col min="3" max="3" width="16" style="36" bestFit="1" customWidth="1"/>
    <col min="4" max="4" width="10.109375" style="36" bestFit="1" customWidth="1"/>
    <col min="5" max="5" width="21.6640625" style="36" bestFit="1" customWidth="1"/>
    <col min="6" max="7" width="9.109375" style="36"/>
    <col min="8" max="8" width="22.5546875" style="36" bestFit="1" customWidth="1"/>
    <col min="9" max="9" width="7.33203125" style="36" bestFit="1" customWidth="1"/>
    <col min="10" max="10" width="24.44140625" style="36" bestFit="1" customWidth="1"/>
    <col min="11" max="16384" width="9.109375" style="36"/>
  </cols>
  <sheetData>
    <row r="3" spans="2:14" ht="14.4" x14ac:dyDescent="0.3">
      <c r="B3" s="45" t="s">
        <v>75</v>
      </c>
      <c r="C3" s="46" t="s">
        <v>77</v>
      </c>
      <c r="D3" s="46" t="s">
        <v>78</v>
      </c>
      <c r="E3" s="47" t="s">
        <v>79</v>
      </c>
      <c r="H3" s="67" t="s">
        <v>80</v>
      </c>
      <c r="I3" s="68"/>
      <c r="N3" s="42">
        <v>45359</v>
      </c>
    </row>
    <row r="4" spans="2:14" x14ac:dyDescent="0.25">
      <c r="B4" s="48">
        <v>1</v>
      </c>
      <c r="C4" s="49">
        <f>1/(1+$I$7)^B4</f>
        <v>0.94206311822892119</v>
      </c>
      <c r="D4" s="50">
        <f>I4</f>
        <v>4.4800000000000004</v>
      </c>
      <c r="E4" s="51">
        <f t="shared" ref="E4:E13" si="0">C4*D4</f>
        <v>4.2204427696655671</v>
      </c>
      <c r="H4" s="52" t="s">
        <v>76</v>
      </c>
      <c r="I4" s="51">
        <f>1.12*4</f>
        <v>4.4800000000000004</v>
      </c>
    </row>
    <row r="5" spans="2:14" x14ac:dyDescent="0.25">
      <c r="B5" s="48">
        <v>2</v>
      </c>
      <c r="C5" s="49">
        <f t="shared" ref="C5:C14" si="1">1/(1+$I$7)^B5</f>
        <v>0.88748291872719842</v>
      </c>
      <c r="D5" s="49">
        <f t="shared" ref="D5:D13" si="2">D4*(1+$I$5)</f>
        <v>4.8240640000000008</v>
      </c>
      <c r="E5" s="51">
        <f t="shared" si="0"/>
        <v>4.2812743988468043</v>
      </c>
      <c r="H5" s="53" t="s">
        <v>81</v>
      </c>
      <c r="I5" s="54">
        <v>7.6799999999999993E-2</v>
      </c>
      <c r="J5" s="64" t="s">
        <v>124</v>
      </c>
    </row>
    <row r="6" spans="2:14" x14ac:dyDescent="0.25">
      <c r="B6" s="48">
        <v>3</v>
      </c>
      <c r="C6" s="49">
        <f t="shared" si="1"/>
        <v>0.83606492579104896</v>
      </c>
      <c r="D6" s="49">
        <f t="shared" si="2"/>
        <v>5.1945521152000005</v>
      </c>
      <c r="E6" s="51">
        <f t="shared" si="0"/>
        <v>4.342982828712425</v>
      </c>
      <c r="H6" s="53" t="s">
        <v>82</v>
      </c>
      <c r="I6" s="54">
        <v>0.02</v>
      </c>
      <c r="J6" s="36" t="s">
        <v>88</v>
      </c>
    </row>
    <row r="7" spans="2:14" x14ac:dyDescent="0.25">
      <c r="B7" s="48">
        <v>4</v>
      </c>
      <c r="C7" s="49">
        <f t="shared" si="1"/>
        <v>0.78762593103254719</v>
      </c>
      <c r="D7" s="49">
        <f t="shared" si="2"/>
        <v>5.5934937176473607</v>
      </c>
      <c r="E7" s="51">
        <f t="shared" si="0"/>
        <v>4.4055806970867062</v>
      </c>
      <c r="H7" s="55" t="s">
        <v>83</v>
      </c>
      <c r="I7" s="56">
        <f>WACC!C16</f>
        <v>6.1499999999999999E-2</v>
      </c>
    </row>
    <row r="8" spans="2:14" x14ac:dyDescent="0.25">
      <c r="B8" s="48">
        <v>5</v>
      </c>
      <c r="C8" s="49">
        <f t="shared" si="1"/>
        <v>0.7419933405864787</v>
      </c>
      <c r="D8" s="49">
        <f t="shared" si="2"/>
        <v>6.0230740351626775</v>
      </c>
      <c r="E8" s="51">
        <f t="shared" si="0"/>
        <v>4.469080823950037</v>
      </c>
      <c r="H8" s="69"/>
      <c r="I8" s="70"/>
    </row>
    <row r="9" spans="2:14" x14ac:dyDescent="0.25">
      <c r="B9" s="48">
        <v>6</v>
      </c>
      <c r="C9" s="49">
        <f t="shared" si="1"/>
        <v>0.69900456013799206</v>
      </c>
      <c r="D9" s="49">
        <f t="shared" si="2"/>
        <v>6.4856461210631711</v>
      </c>
      <c r="E9" s="51">
        <f t="shared" si="0"/>
        <v>4.5334962140644359</v>
      </c>
      <c r="H9" s="57" t="s">
        <v>84</v>
      </c>
      <c r="I9" s="58">
        <f>D13*(1+I6)/(I7-I6)</f>
        <v>214.31151725521568</v>
      </c>
    </row>
    <row r="10" spans="2:14" x14ac:dyDescent="0.25">
      <c r="B10" s="48">
        <v>7</v>
      </c>
      <c r="C10" s="49">
        <f t="shared" si="1"/>
        <v>0.65850641557983247</v>
      </c>
      <c r="D10" s="49">
        <f t="shared" si="2"/>
        <v>6.9837437431608222</v>
      </c>
      <c r="E10" s="51">
        <f t="shared" si="0"/>
        <v>4.598840059636915</v>
      </c>
      <c r="H10" s="53" t="s">
        <v>85</v>
      </c>
      <c r="I10" s="51">
        <f>SUM(E4:E14)</f>
        <v>163.03985574140577</v>
      </c>
    </row>
    <row r="11" spans="2:14" x14ac:dyDescent="0.25">
      <c r="B11" s="48">
        <v>8</v>
      </c>
      <c r="C11" s="49">
        <f t="shared" si="1"/>
        <v>0.62035460723488678</v>
      </c>
      <c r="D11" s="49">
        <f t="shared" si="2"/>
        <v>7.5200952626355733</v>
      </c>
      <c r="E11" s="51">
        <f t="shared" si="0"/>
        <v>4.6651257430212238</v>
      </c>
      <c r="H11" s="53" t="s">
        <v>86</v>
      </c>
      <c r="I11" s="59">
        <f>Main!G3</f>
        <v>242.82</v>
      </c>
    </row>
    <row r="12" spans="2:14" x14ac:dyDescent="0.25">
      <c r="B12" s="48">
        <v>9</v>
      </c>
      <c r="C12" s="49">
        <f t="shared" si="1"/>
        <v>0.58441319569937511</v>
      </c>
      <c r="D12" s="49">
        <f t="shared" si="2"/>
        <v>8.0976385788059844</v>
      </c>
      <c r="E12" s="51">
        <f t="shared" si="0"/>
        <v>4.7323668394585514</v>
      </c>
      <c r="H12" s="55" t="s">
        <v>48</v>
      </c>
      <c r="I12" s="56">
        <f>I10/I11-1</f>
        <v>-0.3285567262111615</v>
      </c>
    </row>
    <row r="13" spans="2:14" x14ac:dyDescent="0.25">
      <c r="B13" s="48">
        <v>10</v>
      </c>
      <c r="C13" s="49">
        <f t="shared" si="1"/>
        <v>0.55055411747468219</v>
      </c>
      <c r="D13" s="49">
        <f t="shared" si="2"/>
        <v>8.7195372216582836</v>
      </c>
      <c r="E13" s="51">
        <f t="shared" si="0"/>
        <v>4.800577119857719</v>
      </c>
    </row>
    <row r="14" spans="2:14" x14ac:dyDescent="0.25">
      <c r="B14" s="60">
        <v>10</v>
      </c>
      <c r="C14" s="61">
        <f t="shared" si="1"/>
        <v>0.55055411747468219</v>
      </c>
      <c r="D14" s="61">
        <f>I9</f>
        <v>214.31151725521568</v>
      </c>
      <c r="E14" s="62">
        <f>C14*D14</f>
        <v>117.99008824710539</v>
      </c>
    </row>
  </sheetData>
  <mergeCells count="2">
    <mergeCell ref="H3:I3"/>
    <mergeCell ref="H8:I8"/>
  </mergeCells>
  <conditionalFormatting sqref="I12">
    <cfRule type="cellIs" dxfId="1" priority="1" operator="lessThan">
      <formula>0</formula>
    </cfRule>
    <cfRule type="cellIs" dxfId="0" priority="2" operator="greaterThan">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91A26-10BD-48D0-B80A-AD5FB5F8F533}">
  <dimension ref="B3:D18"/>
  <sheetViews>
    <sheetView workbookViewId="0">
      <selection activeCell="C18" sqref="C18"/>
    </sheetView>
  </sheetViews>
  <sheetFormatPr defaultColWidth="9.109375" defaultRowHeight="13.8" x14ac:dyDescent="0.25"/>
  <cols>
    <col min="1" max="1" width="9.109375" style="36"/>
    <col min="2" max="2" width="16.44140625" style="36" bestFit="1" customWidth="1"/>
    <col min="3" max="3" width="15" style="36" bestFit="1" customWidth="1"/>
    <col min="4" max="4" width="43.5546875" style="36" bestFit="1" customWidth="1"/>
    <col min="5" max="16384" width="9.109375" style="36"/>
  </cols>
  <sheetData>
    <row r="3" spans="2:4" x14ac:dyDescent="0.25">
      <c r="B3" s="36" t="s">
        <v>7</v>
      </c>
      <c r="C3" s="39">
        <f>Main!C8</f>
        <v>33959903</v>
      </c>
    </row>
    <row r="4" spans="2:4" x14ac:dyDescent="0.25">
      <c r="B4" s="36" t="s">
        <v>54</v>
      </c>
      <c r="C4" s="39">
        <f>Main!C6</f>
        <v>49658201.351619951</v>
      </c>
    </row>
    <row r="5" spans="2:4" x14ac:dyDescent="0.25">
      <c r="B5" s="36" t="s">
        <v>55</v>
      </c>
      <c r="C5" s="39">
        <f>+C3+C4</f>
        <v>83618104.351619959</v>
      </c>
    </row>
    <row r="6" spans="2:4" x14ac:dyDescent="0.25">
      <c r="B6" s="36" t="s">
        <v>56</v>
      </c>
      <c r="C6" s="40">
        <f>C3/C5</f>
        <v>0.40613098399356484</v>
      </c>
    </row>
    <row r="7" spans="2:4" x14ac:dyDescent="0.25">
      <c r="B7" s="36" t="s">
        <v>57</v>
      </c>
      <c r="C7" s="40">
        <f>C4/C5</f>
        <v>0.59386901600643505</v>
      </c>
    </row>
    <row r="9" spans="2:4" x14ac:dyDescent="0.25">
      <c r="B9" s="36" t="s">
        <v>58</v>
      </c>
      <c r="C9" s="41">
        <f>AVERAGE(DCF!AK36:AP36)</f>
        <v>0.25785816327363215</v>
      </c>
      <c r="D9" s="36" t="s">
        <v>92</v>
      </c>
    </row>
    <row r="10" spans="2:4" x14ac:dyDescent="0.25">
      <c r="B10" s="36" t="s">
        <v>59</v>
      </c>
      <c r="C10" s="39">
        <v>418043</v>
      </c>
      <c r="D10" s="64" t="s">
        <v>121</v>
      </c>
    </row>
    <row r="11" spans="2:4" x14ac:dyDescent="0.25">
      <c r="B11" s="36" t="s">
        <v>60</v>
      </c>
      <c r="C11" s="40">
        <f>(C10*(1-C9))/C3</f>
        <v>9.1356915787009479E-3</v>
      </c>
    </row>
    <row r="13" spans="2:4" x14ac:dyDescent="0.25">
      <c r="B13" s="36" t="s">
        <v>61</v>
      </c>
      <c r="C13" s="40">
        <f>'[1]T-Bond Yields'!$C$12</f>
        <v>4.2999999999999997E-2</v>
      </c>
      <c r="D13" s="64" t="s">
        <v>119</v>
      </c>
    </row>
    <row r="14" spans="2:4" x14ac:dyDescent="0.25">
      <c r="B14" s="36" t="s">
        <v>62</v>
      </c>
      <c r="C14" s="36">
        <v>0.5</v>
      </c>
      <c r="D14" s="64" t="s">
        <v>120</v>
      </c>
    </row>
    <row r="15" spans="2:4" x14ac:dyDescent="0.25">
      <c r="B15" s="36" t="s">
        <v>63</v>
      </c>
      <c r="C15" s="41">
        <v>0.08</v>
      </c>
    </row>
    <row r="16" spans="2:4" x14ac:dyDescent="0.25">
      <c r="B16" s="36" t="s">
        <v>64</v>
      </c>
      <c r="C16" s="40">
        <f>(C13+C14*(C15-C13))</f>
        <v>6.1499999999999999E-2</v>
      </c>
    </row>
    <row r="18" spans="2:3" x14ac:dyDescent="0.25">
      <c r="B18" s="36" t="s">
        <v>65</v>
      </c>
      <c r="C18" s="40">
        <f>(C7*C16)+(C6*C11)*(1-C9)</f>
        <v>3.9276503997873018E-2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EE8D-62A9-4F6E-93E1-B696FB7FCC03}">
  <dimension ref="B2:I29"/>
  <sheetViews>
    <sheetView workbookViewId="0">
      <selection activeCell="I3" sqref="I3"/>
    </sheetView>
  </sheetViews>
  <sheetFormatPr defaultColWidth="9.109375" defaultRowHeight="13.8" x14ac:dyDescent="0.25"/>
  <cols>
    <col min="1" max="1" width="9.109375" style="36"/>
    <col min="2" max="2" width="10.109375" style="36" bestFit="1" customWidth="1"/>
    <col min="3" max="3" width="20.109375" style="36" bestFit="1" customWidth="1"/>
    <col min="4" max="4" width="7.6640625" style="36" bestFit="1" customWidth="1"/>
    <col min="5" max="7" width="9.109375" style="36"/>
    <col min="8" max="8" width="14.88671875" style="36" bestFit="1" customWidth="1"/>
    <col min="9" max="9" width="9.77734375" style="36" customWidth="1"/>
    <col min="10" max="16384" width="9.109375" style="36"/>
  </cols>
  <sheetData>
    <row r="2" spans="2:9" x14ac:dyDescent="0.25">
      <c r="C2" s="85" t="s">
        <v>93</v>
      </c>
      <c r="F2" s="84"/>
      <c r="G2" s="84"/>
      <c r="H2" s="84"/>
      <c r="I2" s="41"/>
    </row>
    <row r="3" spans="2:9" x14ac:dyDescent="0.25">
      <c r="B3" s="37" t="s">
        <v>94</v>
      </c>
      <c r="C3" s="37" t="s">
        <v>78</v>
      </c>
      <c r="D3" s="37" t="s">
        <v>87</v>
      </c>
      <c r="H3" s="64" t="s">
        <v>125</v>
      </c>
      <c r="I3" s="41">
        <f>AVERAGE(D5:D29)</f>
        <v>7.8229215655552714E-2</v>
      </c>
    </row>
    <row r="4" spans="2:9" x14ac:dyDescent="0.25">
      <c r="B4" s="43">
        <v>40631</v>
      </c>
      <c r="C4" s="49">
        <v>0.747</v>
      </c>
      <c r="D4" s="37"/>
    </row>
    <row r="5" spans="2:9" x14ac:dyDescent="0.25">
      <c r="B5" s="43">
        <v>40814</v>
      </c>
      <c r="C5" s="49">
        <v>0.51200000000000001</v>
      </c>
      <c r="D5" s="44">
        <f>C5/C4-1</f>
        <v>-0.31459170013386883</v>
      </c>
    </row>
    <row r="6" spans="2:9" x14ac:dyDescent="0.25">
      <c r="B6" s="43">
        <v>40996</v>
      </c>
      <c r="C6" s="49">
        <v>0.75719999999999998</v>
      </c>
      <c r="D6" s="44">
        <f t="shared" ref="D6:D29" si="0">C6/C5-1</f>
        <v>0.47890624999999987</v>
      </c>
    </row>
    <row r="7" spans="2:9" x14ac:dyDescent="0.25">
      <c r="B7" s="43">
        <v>41178</v>
      </c>
      <c r="C7" s="49">
        <v>0.72960000000000003</v>
      </c>
      <c r="D7" s="44">
        <f t="shared" si="0"/>
        <v>-3.6450079239302657E-2</v>
      </c>
    </row>
    <row r="8" spans="2:9" x14ac:dyDescent="0.25">
      <c r="B8" s="43">
        <v>41360</v>
      </c>
      <c r="C8" s="49">
        <v>1.2625999999999999</v>
      </c>
      <c r="D8" s="44">
        <f t="shared" si="0"/>
        <v>0.73053728070175428</v>
      </c>
    </row>
    <row r="9" spans="2:9" x14ac:dyDescent="0.25">
      <c r="B9" s="43">
        <v>41543</v>
      </c>
      <c r="C9" s="49">
        <v>1.2729999999999999</v>
      </c>
      <c r="D9" s="44">
        <f t="shared" si="0"/>
        <v>8.236971329003584E-3</v>
      </c>
    </row>
    <row r="10" spans="2:9" x14ac:dyDescent="0.25">
      <c r="B10" s="43">
        <v>41725</v>
      </c>
      <c r="C10" s="49">
        <v>1.9556</v>
      </c>
      <c r="D10" s="44">
        <f t="shared" si="0"/>
        <v>0.53621366849960728</v>
      </c>
    </row>
    <row r="11" spans="2:9" x14ac:dyDescent="0.25">
      <c r="B11" s="43">
        <v>41910</v>
      </c>
      <c r="C11" s="49">
        <v>1.2632000000000001</v>
      </c>
      <c r="D11" s="44">
        <f t="shared" si="0"/>
        <v>-0.35406013499693179</v>
      </c>
    </row>
    <row r="12" spans="2:9" x14ac:dyDescent="0.25">
      <c r="B12" s="43">
        <v>42093</v>
      </c>
      <c r="C12" s="49">
        <v>2.0118999999999998</v>
      </c>
      <c r="D12" s="44">
        <f t="shared" si="0"/>
        <v>0.59270107663077876</v>
      </c>
    </row>
    <row r="13" spans="2:9" x14ac:dyDescent="0.25">
      <c r="B13" s="43">
        <v>42276</v>
      </c>
      <c r="C13" s="49">
        <v>1.6279999999999999</v>
      </c>
      <c r="D13" s="44">
        <f t="shared" si="0"/>
        <v>-0.19081465281574628</v>
      </c>
    </row>
    <row r="14" spans="2:9" x14ac:dyDescent="0.25">
      <c r="B14" s="43">
        <v>42459</v>
      </c>
      <c r="C14" s="49">
        <v>2.0150999999999999</v>
      </c>
      <c r="D14" s="44">
        <f t="shared" si="0"/>
        <v>0.23777641277641282</v>
      </c>
    </row>
    <row r="15" spans="2:9" x14ac:dyDescent="0.25">
      <c r="B15" s="43">
        <v>42642</v>
      </c>
      <c r="C15" s="49">
        <v>1.7715000000000001</v>
      </c>
      <c r="D15" s="44">
        <f t="shared" si="0"/>
        <v>-0.12088730087836819</v>
      </c>
    </row>
    <row r="16" spans="2:9" x14ac:dyDescent="0.25">
      <c r="B16" s="43">
        <v>42824</v>
      </c>
      <c r="C16" s="49">
        <v>1.9664999999999999</v>
      </c>
      <c r="D16" s="44">
        <f t="shared" si="0"/>
        <v>0.1100762066045724</v>
      </c>
    </row>
    <row r="17" spans="2:4" x14ac:dyDescent="0.25">
      <c r="B17" s="43">
        <v>43006</v>
      </c>
      <c r="C17" s="49">
        <v>1.7975000000000001</v>
      </c>
      <c r="D17" s="44">
        <f t="shared" si="0"/>
        <v>-8.5939486397152209E-2</v>
      </c>
    </row>
    <row r="18" spans="2:4" x14ac:dyDescent="0.25">
      <c r="B18" s="43">
        <v>43187</v>
      </c>
      <c r="C18" s="49">
        <v>2.1888000000000001</v>
      </c>
      <c r="D18" s="44">
        <f t="shared" si="0"/>
        <v>0.21769123783031996</v>
      </c>
    </row>
    <row r="19" spans="2:4" x14ac:dyDescent="0.25">
      <c r="B19" s="43">
        <v>43370</v>
      </c>
      <c r="C19" s="49">
        <v>1.7585</v>
      </c>
      <c r="D19" s="44">
        <f t="shared" si="0"/>
        <v>-0.19659173976608191</v>
      </c>
    </row>
    <row r="20" spans="2:4" x14ac:dyDescent="0.25">
      <c r="B20" s="43">
        <v>43552</v>
      </c>
      <c r="C20" s="49">
        <v>2.1878000000000002</v>
      </c>
      <c r="D20" s="44">
        <f t="shared" si="0"/>
        <v>0.24412851862382734</v>
      </c>
    </row>
    <row r="21" spans="2:4" x14ac:dyDescent="0.25">
      <c r="B21" s="43">
        <v>43735</v>
      </c>
      <c r="C21" s="49">
        <v>1.8299000000000001</v>
      </c>
      <c r="D21" s="44">
        <f t="shared" si="0"/>
        <v>-0.16358899350946154</v>
      </c>
    </row>
    <row r="22" spans="2:4" x14ac:dyDescent="0.25">
      <c r="B22" s="43">
        <v>43920</v>
      </c>
      <c r="C22" s="49">
        <v>2.2250999999999999</v>
      </c>
      <c r="D22" s="44">
        <f t="shared" si="0"/>
        <v>0.21596808568774239</v>
      </c>
    </row>
    <row r="23" spans="2:4" x14ac:dyDescent="0.25">
      <c r="B23" s="43">
        <v>44103</v>
      </c>
      <c r="C23" s="49">
        <v>2.0150000000000001</v>
      </c>
      <c r="D23" s="44">
        <f t="shared" si="0"/>
        <v>-9.4422722574266205E-2</v>
      </c>
    </row>
    <row r="24" spans="2:4" x14ac:dyDescent="0.25">
      <c r="B24" s="42">
        <v>44285</v>
      </c>
      <c r="C24" s="49">
        <v>2.4499</v>
      </c>
      <c r="D24" s="44">
        <f t="shared" si="0"/>
        <v>0.2158312655086847</v>
      </c>
    </row>
    <row r="25" spans="2:4" x14ac:dyDescent="0.25">
      <c r="B25" s="42">
        <v>44468</v>
      </c>
      <c r="C25" s="49">
        <v>2.0979000000000001</v>
      </c>
      <c r="D25" s="44">
        <f t="shared" si="0"/>
        <v>-0.14367933385036114</v>
      </c>
    </row>
    <row r="26" spans="2:4" x14ac:dyDescent="0.25">
      <c r="B26" s="42">
        <v>44650</v>
      </c>
      <c r="C26" s="49">
        <v>2.2027999999999999</v>
      </c>
      <c r="D26" s="44">
        <f t="shared" si="0"/>
        <v>5.0002383335716605E-2</v>
      </c>
    </row>
    <row r="27" spans="2:4" x14ac:dyDescent="0.25">
      <c r="B27" s="42">
        <v>44833</v>
      </c>
      <c r="C27" s="49">
        <v>1.7621</v>
      </c>
      <c r="D27" s="44">
        <f t="shared" si="0"/>
        <v>-0.20006355547485011</v>
      </c>
    </row>
    <row r="28" spans="2:4" x14ac:dyDescent="0.25">
      <c r="B28" s="42">
        <v>45015</v>
      </c>
      <c r="C28" s="49">
        <v>2.4958999999999998</v>
      </c>
      <c r="D28" s="44">
        <f t="shared" si="0"/>
        <v>0.41643493558821842</v>
      </c>
    </row>
    <row r="29" spans="2:4" x14ac:dyDescent="0.25">
      <c r="B29" s="42">
        <v>45197</v>
      </c>
      <c r="C29" s="49">
        <v>2.0024999999999999</v>
      </c>
      <c r="D29" s="44">
        <f t="shared" si="0"/>
        <v>-0.19768420209142989</v>
      </c>
    </row>
  </sheetData>
  <sortState xmlns:xlrd2="http://schemas.microsoft.com/office/spreadsheetml/2017/richdata2" ref="B4:C23">
    <sortCondition ref="B4:B23"/>
  </sortState>
  <hyperlinks>
    <hyperlink ref="C2" r:id="rId1" xr:uid="{F7B11BAE-79A1-44FC-B29F-1960271FA6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DCF</vt:lpstr>
      <vt:lpstr>DDM</vt:lpstr>
      <vt:lpstr>WACC</vt:lpstr>
      <vt:lpstr>Historical Divs.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2020-12-11T02:21:01Z</dcterms:created>
  <dcterms:modified xsi:type="dcterms:W3CDTF">2024-03-10T20:49:15Z</dcterms:modified>
</cp:coreProperties>
</file>