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0E03340A-2F20-4E4D-B5F2-D61B612F64DB}" xr6:coauthVersionLast="47" xr6:coauthVersionMax="47" xr10:uidLastSave="{00000000-0000-0000-0000-000000000000}"/>
  <bookViews>
    <workbookView xWindow="-28920" yWindow="-120" windowWidth="29040" windowHeight="15720" activeTab="1" xr2:uid="{FB0A6173-1360-433C-88A0-C11949A07E2D}"/>
  </bookViews>
  <sheets>
    <sheet name="Main" sheetId="2" r:id="rId1"/>
    <sheet name="Model" sheetId="1"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V48" i="1" l="1"/>
  <c r="AV40" i="1" l="1"/>
  <c r="AW40" i="1" s="1"/>
  <c r="AX40" i="1" s="1"/>
  <c r="AY40" i="1" s="1"/>
  <c r="AZ40" i="1" s="1"/>
  <c r="BA40" i="1" s="1"/>
  <c r="BB40" i="1" s="1"/>
  <c r="BC40" i="1" s="1"/>
  <c r="BD40" i="1" s="1"/>
  <c r="BE40" i="1" s="1"/>
  <c r="BF40" i="1" s="1"/>
  <c r="BG40" i="1" s="1"/>
  <c r="BH40" i="1" s="1"/>
  <c r="BI40" i="1" s="1"/>
  <c r="BJ40" i="1" s="1"/>
  <c r="BK40" i="1" s="1"/>
  <c r="BL40" i="1" s="1"/>
  <c r="BM40" i="1" s="1"/>
  <c r="BN40" i="1" s="1"/>
  <c r="BO40" i="1" s="1"/>
  <c r="BP40" i="1" s="1"/>
  <c r="BQ40" i="1" s="1"/>
  <c r="BR40" i="1" s="1"/>
  <c r="BS40" i="1" s="1"/>
  <c r="BT40" i="1" s="1"/>
  <c r="BU40" i="1" s="1"/>
  <c r="BV40" i="1" s="1"/>
  <c r="BW40" i="1" s="1"/>
  <c r="BX40" i="1" s="1"/>
  <c r="BY40" i="1" s="1"/>
  <c r="BZ40" i="1" s="1"/>
  <c r="CA40" i="1" s="1"/>
  <c r="CB40" i="1" s="1"/>
  <c r="CC40" i="1" s="1"/>
  <c r="CD40" i="1" s="1"/>
  <c r="CE40" i="1" s="1"/>
  <c r="CF40" i="1" s="1"/>
  <c r="CG40" i="1" s="1"/>
  <c r="CH40" i="1" s="1"/>
  <c r="CI40" i="1" s="1"/>
  <c r="CJ40" i="1" s="1"/>
  <c r="CK40" i="1" s="1"/>
  <c r="CL40" i="1" s="1"/>
  <c r="CM40" i="1" s="1"/>
  <c r="CN40" i="1" s="1"/>
  <c r="CO40" i="1" s="1"/>
  <c r="CP40" i="1" s="1"/>
  <c r="CQ40" i="1" s="1"/>
  <c r="CR40" i="1" s="1"/>
  <c r="CS40" i="1" s="1"/>
  <c r="CT40" i="1" s="1"/>
  <c r="CU40" i="1" s="1"/>
  <c r="CV40" i="1" s="1"/>
  <c r="CW40" i="1" s="1"/>
  <c r="CX40" i="1" s="1"/>
  <c r="CY40" i="1" s="1"/>
  <c r="CZ40" i="1" s="1"/>
  <c r="DA40" i="1" s="1"/>
  <c r="DB40" i="1" s="1"/>
  <c r="DC40" i="1" s="1"/>
  <c r="DD40" i="1" s="1"/>
  <c r="DE40" i="1" s="1"/>
  <c r="DF40" i="1" s="1"/>
  <c r="DG40" i="1" s="1"/>
  <c r="DH40" i="1" s="1"/>
  <c r="DI40" i="1" s="1"/>
  <c r="DJ40" i="1" s="1"/>
  <c r="DK40" i="1" s="1"/>
  <c r="DL40" i="1" s="1"/>
  <c r="DM40" i="1" s="1"/>
  <c r="DN40" i="1" s="1"/>
  <c r="DO40" i="1" s="1"/>
  <c r="DP40" i="1" s="1"/>
  <c r="DQ40" i="1" s="1"/>
  <c r="DR40" i="1" s="1"/>
  <c r="DS40" i="1" s="1"/>
  <c r="DT40" i="1" s="1"/>
  <c r="DU40" i="1" s="1"/>
  <c r="DV40" i="1" s="1"/>
  <c r="DW40" i="1" s="1"/>
  <c r="DX40" i="1" s="1"/>
  <c r="DY40" i="1" s="1"/>
  <c r="DZ40" i="1" s="1"/>
  <c r="EA40" i="1" s="1"/>
  <c r="EB40" i="1" s="1"/>
  <c r="EC40" i="1" s="1"/>
  <c r="ED40" i="1" s="1"/>
  <c r="EE40" i="1" s="1"/>
  <c r="EF40" i="1" s="1"/>
  <c r="EG40" i="1" s="1"/>
  <c r="EH40" i="1" s="1"/>
  <c r="EI40" i="1" s="1"/>
  <c r="EJ40" i="1" s="1"/>
  <c r="EK40" i="1" s="1"/>
  <c r="EL40" i="1" s="1"/>
  <c r="EM40" i="1" s="1"/>
  <c r="EN40" i="1" s="1"/>
  <c r="EO40" i="1" s="1"/>
  <c r="EP40" i="1" s="1"/>
  <c r="EQ40" i="1" s="1"/>
  <c r="ER40" i="1" s="1"/>
  <c r="ES40" i="1" s="1"/>
  <c r="ET40" i="1" s="1"/>
  <c r="EU40" i="1" s="1"/>
  <c r="EV40" i="1" s="1"/>
  <c r="EW40" i="1" s="1"/>
  <c r="EX40" i="1" s="1"/>
  <c r="EY40" i="1" s="1"/>
  <c r="EZ40" i="1" s="1"/>
  <c r="FA40" i="1" s="1"/>
  <c r="FB40" i="1" s="1"/>
  <c r="FC40" i="1" s="1"/>
  <c r="FD40" i="1" s="1"/>
  <c r="FE40" i="1" s="1"/>
  <c r="FF40" i="1" s="1"/>
  <c r="FG40" i="1" s="1"/>
  <c r="FH40" i="1" s="1"/>
  <c r="FI40" i="1" s="1"/>
  <c r="FJ40" i="1" s="1"/>
  <c r="FK40" i="1" s="1"/>
  <c r="FL40" i="1" s="1"/>
  <c r="FM40" i="1" s="1"/>
  <c r="FN40" i="1" s="1"/>
  <c r="FO40" i="1" s="1"/>
  <c r="FP40" i="1" s="1"/>
  <c r="FQ40" i="1" s="1"/>
  <c r="FR40" i="1" s="1"/>
  <c r="FS40" i="1" s="1"/>
  <c r="FT40" i="1" s="1"/>
  <c r="FU40" i="1" s="1"/>
  <c r="FV40" i="1" s="1"/>
  <c r="FW40" i="1" s="1"/>
  <c r="FX40" i="1" s="1"/>
  <c r="FY40" i="1" s="1"/>
  <c r="FZ40" i="1" s="1"/>
  <c r="GA40" i="1" s="1"/>
  <c r="GB40" i="1" s="1"/>
  <c r="GC40" i="1" s="1"/>
  <c r="GD40" i="1" s="1"/>
  <c r="GE40" i="1" s="1"/>
  <c r="GF40" i="1" s="1"/>
  <c r="GG40" i="1" s="1"/>
  <c r="GH40" i="1" s="1"/>
  <c r="GI40" i="1" s="1"/>
  <c r="GJ40" i="1" s="1"/>
  <c r="GK40" i="1" s="1"/>
  <c r="GL40" i="1" s="1"/>
  <c r="GM40" i="1" s="1"/>
  <c r="GN40" i="1" s="1"/>
  <c r="GO40" i="1" s="1"/>
  <c r="GP40" i="1" s="1"/>
  <c r="GQ40" i="1" s="1"/>
  <c r="GR40" i="1" s="1"/>
  <c r="GS40" i="1" s="1"/>
  <c r="GT40" i="1" s="1"/>
  <c r="GU40" i="1" s="1"/>
  <c r="GV40" i="1" s="1"/>
  <c r="GW40" i="1" s="1"/>
  <c r="GX40" i="1" s="1"/>
  <c r="GY40" i="1" s="1"/>
  <c r="GZ40" i="1" s="1"/>
  <c r="HA40" i="1" s="1"/>
  <c r="HB40" i="1" s="1"/>
  <c r="HC40" i="1" s="1"/>
  <c r="HD40" i="1" s="1"/>
  <c r="HE40" i="1" s="1"/>
  <c r="HF40" i="1" s="1"/>
  <c r="HG40" i="1" s="1"/>
  <c r="HH40" i="1" s="1"/>
  <c r="HI40" i="1" s="1"/>
  <c r="HJ40" i="1" s="1"/>
  <c r="HK40" i="1" s="1"/>
  <c r="HL40" i="1" s="1"/>
  <c r="HM40" i="1" s="1"/>
  <c r="HN40" i="1" s="1"/>
  <c r="HO40" i="1" s="1"/>
  <c r="HP40" i="1" s="1"/>
  <c r="HQ40" i="1" s="1"/>
  <c r="HR40" i="1" s="1"/>
  <c r="HS40" i="1" s="1"/>
  <c r="HT40" i="1" s="1"/>
  <c r="HU40" i="1" s="1"/>
  <c r="HV40" i="1" s="1"/>
  <c r="HW40" i="1" s="1"/>
  <c r="HX40" i="1" s="1"/>
  <c r="HY40" i="1" s="1"/>
  <c r="HZ40" i="1" s="1"/>
  <c r="IA40" i="1" s="1"/>
  <c r="IB40" i="1" s="1"/>
  <c r="IC40" i="1" s="1"/>
  <c r="ID40" i="1" s="1"/>
  <c r="IE40" i="1" s="1"/>
  <c r="IF40" i="1" s="1"/>
  <c r="IG40" i="1" s="1"/>
  <c r="IH40" i="1" s="1"/>
  <c r="II40" i="1" s="1"/>
  <c r="IJ40" i="1" s="1"/>
  <c r="IK40" i="1" s="1"/>
  <c r="IL40" i="1" s="1"/>
  <c r="IM40" i="1" s="1"/>
  <c r="IN40" i="1" s="1"/>
  <c r="IO40" i="1" s="1"/>
  <c r="IP40" i="1" s="1"/>
  <c r="IQ40" i="1" s="1"/>
  <c r="IR40" i="1" s="1"/>
  <c r="IS40" i="1" s="1"/>
  <c r="IT40" i="1" s="1"/>
  <c r="IU40" i="1" s="1"/>
  <c r="IV40" i="1" s="1"/>
  <c r="IW40" i="1" s="1"/>
  <c r="IX40" i="1" s="1"/>
  <c r="IY40" i="1" s="1"/>
  <c r="IZ40" i="1" s="1"/>
  <c r="JA40" i="1" s="1"/>
  <c r="JB40" i="1" s="1"/>
  <c r="JC40" i="1" s="1"/>
  <c r="JD40" i="1" s="1"/>
  <c r="JE40" i="1" s="1"/>
  <c r="JF40" i="1" s="1"/>
  <c r="JG40" i="1" s="1"/>
  <c r="JH40" i="1" s="1"/>
  <c r="JI40" i="1" s="1"/>
  <c r="JJ40" i="1" s="1"/>
  <c r="JK40" i="1" s="1"/>
  <c r="JL40" i="1" s="1"/>
  <c r="JM40" i="1" s="1"/>
  <c r="JN40" i="1" s="1"/>
  <c r="JO40" i="1" s="1"/>
  <c r="JP40" i="1" s="1"/>
  <c r="JQ40" i="1" s="1"/>
  <c r="JR40" i="1" s="1"/>
  <c r="JS40" i="1" s="1"/>
  <c r="JT40" i="1" s="1"/>
  <c r="JU40" i="1" s="1"/>
  <c r="JV40" i="1" s="1"/>
  <c r="JW40" i="1" s="1"/>
  <c r="JX40" i="1" s="1"/>
  <c r="JY40" i="1" s="1"/>
  <c r="JZ40" i="1" s="1"/>
  <c r="KA40" i="1" s="1"/>
  <c r="KB40" i="1" s="1"/>
  <c r="KC40" i="1" s="1"/>
  <c r="KD40" i="1" s="1"/>
  <c r="KE40" i="1" s="1"/>
  <c r="KF40" i="1" s="1"/>
  <c r="KG40" i="1" s="1"/>
  <c r="KH40" i="1" s="1"/>
  <c r="KI40" i="1" s="1"/>
  <c r="KJ40" i="1" s="1"/>
  <c r="KK40" i="1" s="1"/>
  <c r="KL40" i="1" s="1"/>
  <c r="KM40" i="1" s="1"/>
  <c r="KN40" i="1" s="1"/>
  <c r="KO40" i="1" s="1"/>
  <c r="KP40" i="1" s="1"/>
  <c r="KQ40" i="1" s="1"/>
  <c r="KR40" i="1" s="1"/>
  <c r="KS40" i="1" s="1"/>
  <c r="KT40" i="1" s="1"/>
  <c r="KU40" i="1" s="1"/>
  <c r="KV40" i="1" s="1"/>
  <c r="KW40" i="1" s="1"/>
  <c r="KX40" i="1" s="1"/>
  <c r="AU40" i="1"/>
  <c r="AT40" i="1"/>
  <c r="AS40" i="1"/>
  <c r="AR40" i="1"/>
  <c r="C13" i="3"/>
  <c r="F37" i="1"/>
  <c r="AL41" i="1"/>
  <c r="AL39" i="1"/>
  <c r="AL37" i="1"/>
  <c r="AM37" i="1" s="1"/>
  <c r="AN37" i="1" s="1"/>
  <c r="AO37" i="1" s="1"/>
  <c r="AP37" i="1" s="1"/>
  <c r="AQ37" i="1" s="1"/>
  <c r="AL33" i="1"/>
  <c r="AL34" i="1" s="1"/>
  <c r="AL31" i="1"/>
  <c r="AM31" i="1" s="1"/>
  <c r="AN31" i="1" s="1"/>
  <c r="AO31" i="1" s="1"/>
  <c r="AH36" i="1"/>
  <c r="AG36" i="1"/>
  <c r="AG1" i="1"/>
  <c r="AG21" i="1"/>
  <c r="AG22" i="1"/>
  <c r="AG34" i="1"/>
  <c r="AH46" i="1"/>
  <c r="AH37" i="1"/>
  <c r="AH22" i="1"/>
  <c r="AH21" i="1"/>
  <c r="AI39" i="1"/>
  <c r="AI37" i="1"/>
  <c r="AI33" i="1"/>
  <c r="AI31" i="1"/>
  <c r="AJ39" i="1"/>
  <c r="AJ37" i="1"/>
  <c r="AJ33" i="1"/>
  <c r="AJ31" i="1"/>
  <c r="AK41" i="1"/>
  <c r="AK39" i="1"/>
  <c r="AK37" i="1"/>
  <c r="AK33" i="1"/>
  <c r="AK31" i="1"/>
  <c r="E36" i="1"/>
  <c r="D36" i="1"/>
  <c r="C36" i="1"/>
  <c r="G36" i="1"/>
  <c r="H36" i="1"/>
  <c r="I36" i="1"/>
  <c r="K36" i="1"/>
  <c r="L36" i="1"/>
  <c r="M36" i="1"/>
  <c r="N36" i="1"/>
  <c r="O36" i="1"/>
  <c r="P36" i="1"/>
  <c r="Q36" i="1"/>
  <c r="R36" i="1"/>
  <c r="S36" i="1"/>
  <c r="Z22" i="1"/>
  <c r="AL22" i="1" s="1"/>
  <c r="Z21" i="1"/>
  <c r="Z16" i="1"/>
  <c r="AL16" i="1" s="1"/>
  <c r="Z15" i="1"/>
  <c r="AL15" i="1" s="1"/>
  <c r="Z10" i="1"/>
  <c r="AL10" i="1" s="1"/>
  <c r="Z9" i="1"/>
  <c r="AL9" i="1" s="1"/>
  <c r="Z4" i="1"/>
  <c r="AL4" i="1" s="1"/>
  <c r="Z3" i="1"/>
  <c r="AL3" i="1" s="1"/>
  <c r="Y28" i="1"/>
  <c r="X28" i="1"/>
  <c r="Y27" i="1"/>
  <c r="X27" i="1"/>
  <c r="Y23" i="1"/>
  <c r="X23" i="1"/>
  <c r="Y17" i="1"/>
  <c r="X17" i="1"/>
  <c r="Y11" i="1"/>
  <c r="X11" i="1"/>
  <c r="Y5" i="1"/>
  <c r="X5" i="1"/>
  <c r="V3" i="1"/>
  <c r="AK3" i="1" s="1"/>
  <c r="W36" i="1"/>
  <c r="AL36" i="1" s="1"/>
  <c r="U36" i="1"/>
  <c r="T36" i="1"/>
  <c r="V36" i="1"/>
  <c r="AH34" i="1"/>
  <c r="X34" i="1"/>
  <c r="W34" i="1"/>
  <c r="V34" i="1"/>
  <c r="U34" i="1"/>
  <c r="T34" i="1"/>
  <c r="S34" i="1"/>
  <c r="R34" i="1"/>
  <c r="Q34" i="1"/>
  <c r="P34" i="1"/>
  <c r="O34" i="1"/>
  <c r="N34" i="1"/>
  <c r="M34" i="1"/>
  <c r="L34" i="1"/>
  <c r="K34" i="1"/>
  <c r="I34" i="1"/>
  <c r="H34" i="1"/>
  <c r="G34" i="1"/>
  <c r="E34" i="1"/>
  <c r="D34" i="1"/>
  <c r="C34" i="1"/>
  <c r="X46" i="1"/>
  <c r="C8" i="2"/>
  <c r="AM36" i="1" l="1"/>
  <c r="AN36" i="1" s="1"/>
  <c r="AO36" i="1" s="1"/>
  <c r="AP36" i="1" s="1"/>
  <c r="AQ36" i="1" s="1"/>
  <c r="C10" i="3"/>
  <c r="AG23" i="1"/>
  <c r="AP31" i="1"/>
  <c r="AO46" i="1"/>
  <c r="AH47" i="1"/>
  <c r="AM33" i="1"/>
  <c r="AN33" i="1" s="1"/>
  <c r="Z23" i="1"/>
  <c r="AI36" i="1"/>
  <c r="F36" i="1"/>
  <c r="X30" i="1"/>
  <c r="X32" i="1" s="1"/>
  <c r="X52" i="1" s="1"/>
  <c r="AL17" i="1"/>
  <c r="AL21" i="1"/>
  <c r="AL23" i="1" s="1"/>
  <c r="AJ36" i="1"/>
  <c r="AL5" i="1"/>
  <c r="AK36" i="1"/>
  <c r="AL28" i="1"/>
  <c r="Y13" i="1"/>
  <c r="AL11" i="1"/>
  <c r="Z11" i="1"/>
  <c r="Y30" i="1"/>
  <c r="Z28" i="1"/>
  <c r="Z17" i="1"/>
  <c r="Z27" i="1"/>
  <c r="Z5" i="1"/>
  <c r="Z50" i="1"/>
  <c r="Y50" i="1"/>
  <c r="X50" i="1"/>
  <c r="Y34" i="1"/>
  <c r="Z46" i="1"/>
  <c r="AK34" i="1"/>
  <c r="W28" i="1"/>
  <c r="W27" i="1"/>
  <c r="W23" i="1"/>
  <c r="W17" i="1"/>
  <c r="W11" i="1"/>
  <c r="W5" i="1"/>
  <c r="W50" i="1"/>
  <c r="W46" i="1"/>
  <c r="V22" i="1"/>
  <c r="AK22" i="1" s="1"/>
  <c r="V21" i="1"/>
  <c r="AK21" i="1" s="1"/>
  <c r="V16" i="1"/>
  <c r="AK16" i="1" s="1"/>
  <c r="V15" i="1"/>
  <c r="AK15" i="1" s="1"/>
  <c r="AK17" i="1" s="1"/>
  <c r="V10" i="1"/>
  <c r="AK10" i="1" s="1"/>
  <c r="V9" i="1"/>
  <c r="AK9" i="1" s="1"/>
  <c r="V4" i="1"/>
  <c r="AK4" i="1" s="1"/>
  <c r="AK5" i="1" s="1"/>
  <c r="R3" i="1"/>
  <c r="AJ3" i="1" s="1"/>
  <c r="U28" i="1"/>
  <c r="U27" i="1"/>
  <c r="U23" i="1"/>
  <c r="Y25" i="1" s="1"/>
  <c r="U17" i="1"/>
  <c r="Y19" i="1" s="1"/>
  <c r="U11" i="1"/>
  <c r="U5" i="1"/>
  <c r="Y7" i="1" s="1"/>
  <c r="F16" i="1"/>
  <c r="AG16" i="1" s="1"/>
  <c r="F15" i="1"/>
  <c r="AG15" i="1" s="1"/>
  <c r="AG17" i="1" s="1"/>
  <c r="F10" i="1"/>
  <c r="AG10" i="1" s="1"/>
  <c r="F9" i="1"/>
  <c r="AG9" i="1" s="1"/>
  <c r="AG11" i="1" s="1"/>
  <c r="F4" i="1"/>
  <c r="AG4" i="1" s="1"/>
  <c r="AG28" i="1" s="1"/>
  <c r="F3" i="1"/>
  <c r="AG3" i="1" s="1"/>
  <c r="AJ1" i="1"/>
  <c r="AH1" i="1"/>
  <c r="AI1" i="1"/>
  <c r="J16" i="1"/>
  <c r="AH16" i="1" s="1"/>
  <c r="J15" i="1"/>
  <c r="AH15" i="1" s="1"/>
  <c r="J10" i="1"/>
  <c r="AH10" i="1" s="1"/>
  <c r="J9" i="1"/>
  <c r="AH9" i="1" s="1"/>
  <c r="J4" i="1"/>
  <c r="AH4" i="1" s="1"/>
  <c r="J3" i="1"/>
  <c r="AH3" i="1" s="1"/>
  <c r="N22" i="1"/>
  <c r="AI22" i="1" s="1"/>
  <c r="N21" i="1"/>
  <c r="AI21" i="1" s="1"/>
  <c r="N16" i="1"/>
  <c r="AI16" i="1" s="1"/>
  <c r="N15" i="1"/>
  <c r="AI15" i="1" s="1"/>
  <c r="N10" i="1"/>
  <c r="AI10" i="1" s="1"/>
  <c r="N9" i="1"/>
  <c r="AI9" i="1" s="1"/>
  <c r="N4" i="1"/>
  <c r="AI4" i="1" s="1"/>
  <c r="N3" i="1"/>
  <c r="R22" i="1"/>
  <c r="AJ22" i="1" s="1"/>
  <c r="R21" i="1"/>
  <c r="AJ21" i="1" s="1"/>
  <c r="R16" i="1"/>
  <c r="AJ16" i="1" s="1"/>
  <c r="R15" i="1"/>
  <c r="AJ15" i="1" s="1"/>
  <c r="R10" i="1"/>
  <c r="AJ10" i="1" s="1"/>
  <c r="R9" i="1"/>
  <c r="AJ9" i="1" s="1"/>
  <c r="R4" i="1"/>
  <c r="AJ4" i="1" s="1"/>
  <c r="S28" i="1"/>
  <c r="Q28" i="1"/>
  <c r="P28" i="1"/>
  <c r="O28" i="1"/>
  <c r="M28" i="1"/>
  <c r="L28" i="1"/>
  <c r="K28" i="1"/>
  <c r="I28" i="1"/>
  <c r="H28" i="1"/>
  <c r="G28" i="1"/>
  <c r="E28" i="1"/>
  <c r="D28" i="1"/>
  <c r="C28" i="1"/>
  <c r="S27" i="1"/>
  <c r="Q27" i="1"/>
  <c r="P27" i="1"/>
  <c r="O27" i="1"/>
  <c r="M27" i="1"/>
  <c r="L27" i="1"/>
  <c r="K27" i="1"/>
  <c r="I27" i="1"/>
  <c r="H27" i="1"/>
  <c r="G27" i="1"/>
  <c r="E27" i="1"/>
  <c r="D27" i="1"/>
  <c r="C27" i="1"/>
  <c r="S23" i="1"/>
  <c r="Q23" i="1"/>
  <c r="P23" i="1"/>
  <c r="O23" i="1"/>
  <c r="M23" i="1"/>
  <c r="L23" i="1"/>
  <c r="K23" i="1"/>
  <c r="J23" i="1"/>
  <c r="I23" i="1"/>
  <c r="H23" i="1"/>
  <c r="G23" i="1"/>
  <c r="F23" i="1"/>
  <c r="E23" i="1"/>
  <c r="D23" i="1"/>
  <c r="C23" i="1"/>
  <c r="S17" i="1"/>
  <c r="Q17" i="1"/>
  <c r="P17" i="1"/>
  <c r="O17" i="1"/>
  <c r="M17" i="1"/>
  <c r="L17" i="1"/>
  <c r="K17" i="1"/>
  <c r="I17" i="1"/>
  <c r="H17" i="1"/>
  <c r="G17" i="1"/>
  <c r="E17" i="1"/>
  <c r="D17" i="1"/>
  <c r="C17" i="1"/>
  <c r="S11" i="1"/>
  <c r="Q11" i="1"/>
  <c r="P11" i="1"/>
  <c r="O11" i="1"/>
  <c r="M11" i="1"/>
  <c r="L11" i="1"/>
  <c r="K11" i="1"/>
  <c r="I11" i="1"/>
  <c r="H11" i="1"/>
  <c r="G11" i="1"/>
  <c r="E11" i="1"/>
  <c r="D11" i="1"/>
  <c r="C11" i="1"/>
  <c r="S5" i="1"/>
  <c r="Q5" i="1"/>
  <c r="P5" i="1"/>
  <c r="O5" i="1"/>
  <c r="M5" i="1"/>
  <c r="L5" i="1"/>
  <c r="K5" i="1"/>
  <c r="I5" i="1"/>
  <c r="H5" i="1"/>
  <c r="G5" i="1"/>
  <c r="E5" i="1"/>
  <c r="D5" i="1"/>
  <c r="C5" i="1"/>
  <c r="T28" i="1"/>
  <c r="T27" i="1"/>
  <c r="T23" i="1"/>
  <c r="X25" i="1" s="1"/>
  <c r="T17" i="1"/>
  <c r="T19" i="1" s="1"/>
  <c r="T11" i="1"/>
  <c r="X13" i="1" s="1"/>
  <c r="T5" i="1"/>
  <c r="X7" i="1" s="1"/>
  <c r="T50" i="1"/>
  <c r="AJ41" i="1"/>
  <c r="AJ34" i="1"/>
  <c r="AI41" i="1"/>
  <c r="AI34" i="1"/>
  <c r="O46" i="1"/>
  <c r="P46" i="1"/>
  <c r="Q46" i="1"/>
  <c r="R46" i="1"/>
  <c r="S46" i="1"/>
  <c r="T46" i="1"/>
  <c r="O50" i="1"/>
  <c r="P50" i="1"/>
  <c r="Q50" i="1"/>
  <c r="R50" i="1"/>
  <c r="S50" i="1"/>
  <c r="AO33" i="1" l="1"/>
  <c r="AN34" i="1"/>
  <c r="X35" i="1"/>
  <c r="X38" i="1" s="1"/>
  <c r="AQ31" i="1"/>
  <c r="AQ46" i="1" s="1"/>
  <c r="AP46" i="1"/>
  <c r="W30" i="1"/>
  <c r="W32" i="1" s="1"/>
  <c r="W52" i="1" s="1"/>
  <c r="AL27" i="1"/>
  <c r="AL30" i="1" s="1"/>
  <c r="AG27" i="1"/>
  <c r="AG30" i="1" s="1"/>
  <c r="AG5" i="1"/>
  <c r="AI3" i="1"/>
  <c r="AI5" i="1" s="1"/>
  <c r="K19" i="1"/>
  <c r="W7" i="1"/>
  <c r="S25" i="1"/>
  <c r="X19" i="1"/>
  <c r="Z30" i="1"/>
  <c r="Z32" i="1" s="1"/>
  <c r="T25" i="1"/>
  <c r="Z34" i="1"/>
  <c r="Z47" i="1" s="1"/>
  <c r="V23" i="1"/>
  <c r="Z25" i="1" s="1"/>
  <c r="U25" i="1"/>
  <c r="W13" i="1"/>
  <c r="K13" i="1"/>
  <c r="Q25" i="1"/>
  <c r="Y32" i="1"/>
  <c r="Y52" i="1" s="1"/>
  <c r="Y46" i="1"/>
  <c r="Y47" i="1"/>
  <c r="W19" i="1"/>
  <c r="W25" i="1"/>
  <c r="W47" i="1"/>
  <c r="AK11" i="1"/>
  <c r="AL13" i="1" s="1"/>
  <c r="J25" i="1"/>
  <c r="K25" i="1"/>
  <c r="N17" i="1"/>
  <c r="L25" i="1"/>
  <c r="I25" i="1"/>
  <c r="O25" i="1"/>
  <c r="T7" i="1"/>
  <c r="M19" i="1"/>
  <c r="P25" i="1"/>
  <c r="M25" i="1"/>
  <c r="I19" i="1"/>
  <c r="U19" i="1"/>
  <c r="V11" i="1"/>
  <c r="Z13" i="1" s="1"/>
  <c r="AL19" i="1"/>
  <c r="G7" i="1"/>
  <c r="G25" i="1"/>
  <c r="K7" i="1"/>
  <c r="V46" i="1"/>
  <c r="P7" i="1"/>
  <c r="H19" i="1"/>
  <c r="H25" i="1"/>
  <c r="T13" i="1"/>
  <c r="P19" i="1"/>
  <c r="O19" i="1"/>
  <c r="P13" i="1"/>
  <c r="G13" i="1"/>
  <c r="T30" i="1"/>
  <c r="X45" i="1" s="1"/>
  <c r="I13" i="1"/>
  <c r="S19" i="1"/>
  <c r="G19" i="1"/>
  <c r="L19" i="1"/>
  <c r="Q19" i="1"/>
  <c r="H13" i="1"/>
  <c r="M13" i="1"/>
  <c r="U13" i="1"/>
  <c r="S13" i="1"/>
  <c r="M7" i="1"/>
  <c r="L13" i="1"/>
  <c r="Q13" i="1"/>
  <c r="O13" i="1"/>
  <c r="I7" i="1"/>
  <c r="H7" i="1"/>
  <c r="U7" i="1"/>
  <c r="S7" i="1"/>
  <c r="L7" i="1"/>
  <c r="Q7" i="1"/>
  <c r="O7" i="1"/>
  <c r="N11" i="1"/>
  <c r="J11" i="1"/>
  <c r="U30" i="1"/>
  <c r="Y45" i="1" s="1"/>
  <c r="F5" i="1"/>
  <c r="F17" i="1"/>
  <c r="AH23" i="1"/>
  <c r="J28" i="1"/>
  <c r="J27" i="1"/>
  <c r="J17" i="1"/>
  <c r="R23" i="1"/>
  <c r="R11" i="1"/>
  <c r="R5" i="1"/>
  <c r="AJ5" i="1"/>
  <c r="AI11" i="1"/>
  <c r="J5" i="1"/>
  <c r="AJ11" i="1"/>
  <c r="AI17" i="1"/>
  <c r="F27" i="1"/>
  <c r="R17" i="1"/>
  <c r="R27" i="1"/>
  <c r="F28" i="1"/>
  <c r="F11" i="1"/>
  <c r="AI23" i="1"/>
  <c r="AI28" i="1"/>
  <c r="C30" i="1"/>
  <c r="D30" i="1"/>
  <c r="E30" i="1"/>
  <c r="AH17" i="1"/>
  <c r="G30" i="1"/>
  <c r="H30" i="1"/>
  <c r="AH11" i="1"/>
  <c r="AH13" i="1" s="1"/>
  <c r="AH5" i="1"/>
  <c r="AH28" i="1"/>
  <c r="AH27" i="1"/>
  <c r="I30" i="1"/>
  <c r="N23" i="1"/>
  <c r="N25" i="1" s="1"/>
  <c r="N28" i="1"/>
  <c r="N27" i="1"/>
  <c r="N5" i="1"/>
  <c r="R28" i="1"/>
  <c r="AJ23" i="1"/>
  <c r="AJ17" i="1"/>
  <c r="AJ27" i="1"/>
  <c r="K30" i="1"/>
  <c r="L30" i="1"/>
  <c r="M30" i="1"/>
  <c r="Q30" i="1"/>
  <c r="Q32" i="1" s="1"/>
  <c r="Q52" i="1" s="1"/>
  <c r="O30" i="1"/>
  <c r="O32" i="1" s="1"/>
  <c r="S30" i="1"/>
  <c r="P30" i="1"/>
  <c r="P32" i="1" s="1"/>
  <c r="V50" i="1"/>
  <c r="U46" i="1"/>
  <c r="O47" i="1"/>
  <c r="V47" i="1"/>
  <c r="S47" i="1"/>
  <c r="P47" i="1"/>
  <c r="Q47" i="1"/>
  <c r="R47" i="1"/>
  <c r="U47" i="1"/>
  <c r="T32" i="1" l="1"/>
  <c r="T52" i="1" s="1"/>
  <c r="X53" i="1"/>
  <c r="AL32" i="1"/>
  <c r="AL35" i="1" s="1"/>
  <c r="AL38" i="1" s="1"/>
  <c r="AM30" i="1"/>
  <c r="AN30" i="1" s="1"/>
  <c r="AO34" i="1"/>
  <c r="AO47" i="1" s="1"/>
  <c r="AP33" i="1"/>
  <c r="W45" i="1"/>
  <c r="AG32" i="1"/>
  <c r="AJ7" i="1"/>
  <c r="W35" i="1"/>
  <c r="W53" i="1" s="1"/>
  <c r="Y35" i="1"/>
  <c r="T47" i="1"/>
  <c r="X47" i="1"/>
  <c r="R19" i="1"/>
  <c r="Z52" i="1"/>
  <c r="Z35" i="1"/>
  <c r="Z38" i="1" s="1"/>
  <c r="AI13" i="1"/>
  <c r="J19" i="1"/>
  <c r="V27" i="1"/>
  <c r="AI25" i="1"/>
  <c r="V5" i="1"/>
  <c r="Z7" i="1" s="1"/>
  <c r="AI19" i="1"/>
  <c r="AK28" i="1"/>
  <c r="AJ19" i="1"/>
  <c r="J7" i="1"/>
  <c r="V28" i="1"/>
  <c r="AH25" i="1"/>
  <c r="R25" i="1"/>
  <c r="AK13" i="1"/>
  <c r="AJ25" i="1"/>
  <c r="AJ13" i="1"/>
  <c r="T45" i="1"/>
  <c r="V25" i="1"/>
  <c r="AK19" i="1"/>
  <c r="V17" i="1"/>
  <c r="AH7" i="1"/>
  <c r="AI7" i="1"/>
  <c r="R13" i="1"/>
  <c r="N19" i="1"/>
  <c r="N13" i="1"/>
  <c r="J13" i="1"/>
  <c r="V13" i="1"/>
  <c r="N7" i="1"/>
  <c r="R7" i="1"/>
  <c r="F30" i="1"/>
  <c r="J30" i="1"/>
  <c r="AJ28" i="1"/>
  <c r="AJ30" i="1" s="1"/>
  <c r="S32" i="1"/>
  <c r="S52" i="1" s="1"/>
  <c r="P45" i="1"/>
  <c r="N30" i="1"/>
  <c r="R30" i="1"/>
  <c r="R32" i="1" s="1"/>
  <c r="R35" i="1" s="1"/>
  <c r="AI27" i="1"/>
  <c r="AI30" i="1" s="1"/>
  <c r="AI32" i="1" s="1"/>
  <c r="AI35" i="1" s="1"/>
  <c r="S45" i="1"/>
  <c r="AH30" i="1"/>
  <c r="AH45" i="1" s="1"/>
  <c r="Q45" i="1"/>
  <c r="O52" i="1"/>
  <c r="O35" i="1"/>
  <c r="O45" i="1"/>
  <c r="P52" i="1"/>
  <c r="P35" i="1"/>
  <c r="Q35" i="1"/>
  <c r="T35" i="1"/>
  <c r="C3" i="3"/>
  <c r="C16" i="3"/>
  <c r="AO30" i="1" l="1"/>
  <c r="AN32" i="1"/>
  <c r="AN35" i="1" s="1"/>
  <c r="AN38" i="1" s="1"/>
  <c r="AP34" i="1"/>
  <c r="AP47" i="1" s="1"/>
  <c r="AQ33" i="1"/>
  <c r="AQ34" i="1" s="1"/>
  <c r="AQ47" i="1" s="1"/>
  <c r="AL40" i="1"/>
  <c r="V30" i="1"/>
  <c r="Z45" i="1" s="1"/>
  <c r="AG52" i="1"/>
  <c r="AG35" i="1"/>
  <c r="P38" i="1"/>
  <c r="AK7" i="1"/>
  <c r="AL7" i="1"/>
  <c r="O53" i="1"/>
  <c r="O38" i="1"/>
  <c r="O40" i="1" s="1"/>
  <c r="V19" i="1"/>
  <c r="Z19" i="1"/>
  <c r="R38" i="1"/>
  <c r="R40" i="1" s="1"/>
  <c r="V7" i="1"/>
  <c r="X48" i="1"/>
  <c r="T38" i="1"/>
  <c r="Q38" i="1"/>
  <c r="W38" i="1"/>
  <c r="W54" i="1" s="1"/>
  <c r="Y38" i="1"/>
  <c r="Y54" i="1" s="1"/>
  <c r="Y53" i="1"/>
  <c r="AM34" i="1"/>
  <c r="Z53" i="1"/>
  <c r="AH19" i="1"/>
  <c r="AK27" i="1"/>
  <c r="AK30" i="1" s="1"/>
  <c r="AK23" i="1"/>
  <c r="S35" i="1"/>
  <c r="S38" i="1" s="1"/>
  <c r="R52" i="1"/>
  <c r="R45" i="1"/>
  <c r="S53" i="1"/>
  <c r="P53" i="1"/>
  <c r="R53" i="1"/>
  <c r="U45" i="1"/>
  <c r="U32" i="1"/>
  <c r="T48" i="1"/>
  <c r="Q53" i="1"/>
  <c r="T53" i="1"/>
  <c r="J39" i="1"/>
  <c r="J33" i="1"/>
  <c r="J34" i="1" s="1"/>
  <c r="F39" i="1"/>
  <c r="F33" i="1"/>
  <c r="F34" i="1" s="1"/>
  <c r="F31" i="1"/>
  <c r="AH41" i="1"/>
  <c r="AH50" i="1" s="1"/>
  <c r="N50" i="1"/>
  <c r="M50" i="1"/>
  <c r="L50" i="1"/>
  <c r="K50" i="1"/>
  <c r="J50" i="1"/>
  <c r="I50" i="1"/>
  <c r="H50" i="1"/>
  <c r="G50" i="1"/>
  <c r="R42" i="1" l="1"/>
  <c r="O42" i="1"/>
  <c r="AL42" i="1"/>
  <c r="AP30" i="1"/>
  <c r="AO32" i="1"/>
  <c r="AO45" i="1"/>
  <c r="R54" i="1"/>
  <c r="V45" i="1"/>
  <c r="V32" i="1"/>
  <c r="V52" i="1" s="1"/>
  <c r="AG53" i="1"/>
  <c r="AG38" i="1"/>
  <c r="W40" i="1"/>
  <c r="P54" i="1"/>
  <c r="Q54" i="1"/>
  <c r="AK25" i="1"/>
  <c r="AL25" i="1"/>
  <c r="Q40" i="1"/>
  <c r="P40" i="1"/>
  <c r="Y40" i="1"/>
  <c r="S54" i="1"/>
  <c r="W48" i="1"/>
  <c r="Z54" i="1"/>
  <c r="X54" i="1"/>
  <c r="X40" i="1"/>
  <c r="O54" i="1"/>
  <c r="S48" i="1"/>
  <c r="U52" i="1"/>
  <c r="U35" i="1"/>
  <c r="AK45" i="1"/>
  <c r="AI50" i="1"/>
  <c r="AJ50" i="1"/>
  <c r="AK32" i="1"/>
  <c r="AK52" i="1" s="1"/>
  <c r="AJ46" i="1"/>
  <c r="AM45" i="1"/>
  <c r="AK46" i="1"/>
  <c r="AJ32" i="1"/>
  <c r="AJ52" i="1" s="1"/>
  <c r="AI47" i="1"/>
  <c r="N32" i="1"/>
  <c r="N35" i="1" s="1"/>
  <c r="AJ45" i="1"/>
  <c r="AI45" i="1"/>
  <c r="M46" i="1"/>
  <c r="L46" i="1"/>
  <c r="K46" i="1"/>
  <c r="I46" i="1"/>
  <c r="H46" i="1"/>
  <c r="G46" i="1"/>
  <c r="N45" i="1"/>
  <c r="M45" i="1"/>
  <c r="L45" i="1"/>
  <c r="K45" i="1"/>
  <c r="J45" i="1"/>
  <c r="I45" i="1"/>
  <c r="H45" i="1"/>
  <c r="G45" i="1"/>
  <c r="Q42" i="1" l="1"/>
  <c r="Y42" i="1"/>
  <c r="W42" i="1"/>
  <c r="W49" i="1"/>
  <c r="X42" i="1"/>
  <c r="P42" i="1"/>
  <c r="AO35" i="1"/>
  <c r="AO52" i="1"/>
  <c r="V35" i="1"/>
  <c r="V38" i="1" s="1"/>
  <c r="V54" i="1" s="1"/>
  <c r="AQ30" i="1"/>
  <c r="AP32" i="1"/>
  <c r="AP45" i="1"/>
  <c r="AG40" i="1"/>
  <c r="AG42" i="1" s="1"/>
  <c r="AG54" i="1"/>
  <c r="Y48" i="1"/>
  <c r="U38" i="1"/>
  <c r="R48" i="1"/>
  <c r="N38" i="1"/>
  <c r="N40" i="1" s="1"/>
  <c r="S40" i="1"/>
  <c r="Z40" i="1"/>
  <c r="U48" i="1"/>
  <c r="U53" i="1"/>
  <c r="T40" i="1"/>
  <c r="T54" i="1"/>
  <c r="AL45" i="1"/>
  <c r="AL52" i="1"/>
  <c r="AL46" i="1"/>
  <c r="AJ35" i="1"/>
  <c r="AJ47" i="1"/>
  <c r="AN45" i="1"/>
  <c r="N53" i="1"/>
  <c r="AI52" i="1"/>
  <c r="N52" i="1"/>
  <c r="T42" i="1" l="1"/>
  <c r="T49" i="1"/>
  <c r="V40" i="1"/>
  <c r="Z48" i="1"/>
  <c r="V48" i="1"/>
  <c r="Z42" i="1"/>
  <c r="Z49" i="1"/>
  <c r="S42" i="1"/>
  <c r="S51" i="1" s="1"/>
  <c r="S49" i="1"/>
  <c r="X49" i="1"/>
  <c r="N42" i="1"/>
  <c r="R49" i="1"/>
  <c r="AP52" i="1"/>
  <c r="AP35" i="1"/>
  <c r="AQ32" i="1"/>
  <c r="AQ45" i="1"/>
  <c r="V53" i="1"/>
  <c r="AO38" i="1"/>
  <c r="AO53" i="1"/>
  <c r="AO48" i="1"/>
  <c r="AJ53" i="1"/>
  <c r="AJ38" i="1"/>
  <c r="U40" i="1"/>
  <c r="AM46" i="1"/>
  <c r="AM41" i="1"/>
  <c r="AL50" i="1"/>
  <c r="AK50" i="1"/>
  <c r="AM32" i="1"/>
  <c r="AM52" i="1" s="1"/>
  <c r="AI53" i="1"/>
  <c r="AJ48" i="1"/>
  <c r="AK47" i="1"/>
  <c r="AK35" i="1"/>
  <c r="AK38" i="1" s="1"/>
  <c r="N54" i="1"/>
  <c r="C32" i="1"/>
  <c r="D32" i="1"/>
  <c r="E32" i="1"/>
  <c r="F32" i="1"/>
  <c r="N47" i="1"/>
  <c r="G47" i="1"/>
  <c r="G32" i="1"/>
  <c r="K32" i="1"/>
  <c r="K52" i="1" s="1"/>
  <c r="H32" i="1"/>
  <c r="H52" i="1" s="1"/>
  <c r="L47" i="1"/>
  <c r="L32" i="1"/>
  <c r="L52" i="1" s="1"/>
  <c r="I32" i="1"/>
  <c r="I52" i="1" s="1"/>
  <c r="M32" i="1"/>
  <c r="M52" i="1" s="1"/>
  <c r="C4" i="2" a="1"/>
  <c r="C4" i="2" s="1"/>
  <c r="AV51" i="1" s="1"/>
  <c r="W51" i="1" l="1"/>
  <c r="V42" i="1"/>
  <c r="Z51" i="1" s="1"/>
  <c r="V49" i="1"/>
  <c r="U42" i="1"/>
  <c r="U49" i="1"/>
  <c r="Y49" i="1"/>
  <c r="T51" i="1"/>
  <c r="X51" i="1"/>
  <c r="AP48" i="1"/>
  <c r="AP38" i="1"/>
  <c r="AP53" i="1"/>
  <c r="AQ52" i="1"/>
  <c r="AQ35" i="1"/>
  <c r="AK40" i="1"/>
  <c r="V51" i="1"/>
  <c r="U54" i="1"/>
  <c r="AI38" i="1"/>
  <c r="AI54" i="1" s="1"/>
  <c r="U50" i="1"/>
  <c r="H47" i="1"/>
  <c r="M47" i="1"/>
  <c r="C6" i="2"/>
  <c r="C4" i="3" s="1"/>
  <c r="E35" i="1"/>
  <c r="E38" i="1" s="1"/>
  <c r="E52" i="1"/>
  <c r="D35" i="1"/>
  <c r="D38" i="1" s="1"/>
  <c r="D52" i="1"/>
  <c r="R51" i="1"/>
  <c r="K47" i="1"/>
  <c r="C35" i="1"/>
  <c r="C38" i="1" s="1"/>
  <c r="C52" i="1"/>
  <c r="AM50" i="1"/>
  <c r="AN41" i="1"/>
  <c r="I35" i="1"/>
  <c r="I47" i="1"/>
  <c r="M35" i="1"/>
  <c r="G35" i="1"/>
  <c r="G38" i="1" s="1"/>
  <c r="G52" i="1"/>
  <c r="AN46" i="1"/>
  <c r="AN52" i="1"/>
  <c r="AL47" i="1"/>
  <c r="AK48" i="1"/>
  <c r="AK53" i="1"/>
  <c r="J47" i="1"/>
  <c r="F35" i="1"/>
  <c r="F52" i="1"/>
  <c r="K35" i="1"/>
  <c r="H35" i="1"/>
  <c r="H38" i="1" s="1"/>
  <c r="L35" i="1"/>
  <c r="AK42" i="1" l="1"/>
  <c r="AL49" i="1"/>
  <c r="AN50" i="1"/>
  <c r="AO41" i="1"/>
  <c r="AQ38" i="1"/>
  <c r="AQ48" i="1"/>
  <c r="AQ53" i="1"/>
  <c r="O48" i="1"/>
  <c r="K38" i="1"/>
  <c r="Q48" i="1"/>
  <c r="M38" i="1"/>
  <c r="P48" i="1"/>
  <c r="L38" i="1"/>
  <c r="I38" i="1"/>
  <c r="F38" i="1"/>
  <c r="Y51" i="1"/>
  <c r="C9" i="2"/>
  <c r="AI40" i="1"/>
  <c r="C5" i="3"/>
  <c r="C6" i="3" s="1"/>
  <c r="G48" i="1"/>
  <c r="G53" i="1"/>
  <c r="D53" i="1"/>
  <c r="K48" i="1"/>
  <c r="K53" i="1"/>
  <c r="M48" i="1"/>
  <c r="M53" i="1"/>
  <c r="I48" i="1"/>
  <c r="I53" i="1"/>
  <c r="E53" i="1"/>
  <c r="H48" i="1"/>
  <c r="H53" i="1"/>
  <c r="L48" i="1"/>
  <c r="L53" i="1"/>
  <c r="C53" i="1"/>
  <c r="AM47" i="1"/>
  <c r="AM35" i="1"/>
  <c r="AM38" i="1" s="1"/>
  <c r="AN47" i="1"/>
  <c r="AL53" i="1"/>
  <c r="AL48" i="1"/>
  <c r="F53" i="1"/>
  <c r="AI42" i="1" l="1"/>
  <c r="I40" i="1"/>
  <c r="AO50" i="1"/>
  <c r="AP41" i="1"/>
  <c r="I54" i="1"/>
  <c r="F40" i="1"/>
  <c r="F42" i="1" s="1"/>
  <c r="F54" i="1"/>
  <c r="U51" i="1"/>
  <c r="C7" i="3"/>
  <c r="C54" i="1"/>
  <c r="C40" i="1"/>
  <c r="C42" i="1" s="1"/>
  <c r="K54" i="1"/>
  <c r="K40" i="1"/>
  <c r="AJ54" i="1"/>
  <c r="H54" i="1"/>
  <c r="H40" i="1"/>
  <c r="D54" i="1"/>
  <c r="D40" i="1"/>
  <c r="D42" i="1" s="1"/>
  <c r="G54" i="1"/>
  <c r="G40" i="1"/>
  <c r="M54" i="1"/>
  <c r="M40" i="1"/>
  <c r="E54" i="1"/>
  <c r="E40" i="1"/>
  <c r="E42" i="1" s="1"/>
  <c r="L54" i="1"/>
  <c r="L40" i="1"/>
  <c r="AN53" i="1"/>
  <c r="AN48" i="1"/>
  <c r="AM48" i="1"/>
  <c r="AM53" i="1"/>
  <c r="H49" i="1" l="1"/>
  <c r="H42" i="1"/>
  <c r="K49" i="1"/>
  <c r="K42" i="1"/>
  <c r="O49" i="1"/>
  <c r="L49" i="1"/>
  <c r="L42" i="1"/>
  <c r="P49" i="1"/>
  <c r="M49" i="1"/>
  <c r="M42" i="1"/>
  <c r="Q49" i="1"/>
  <c r="I49" i="1"/>
  <c r="I42" i="1"/>
  <c r="G42" i="1"/>
  <c r="G49" i="1"/>
  <c r="AQ41" i="1"/>
  <c r="AQ50" i="1" s="1"/>
  <c r="AP50" i="1"/>
  <c r="Q51" i="1"/>
  <c r="I51" i="1"/>
  <c r="P51" i="1"/>
  <c r="O51" i="1"/>
  <c r="M51" i="1" l="1"/>
  <c r="L51" i="1"/>
  <c r="K51" i="1"/>
  <c r="G51" i="1"/>
  <c r="AJ40" i="1"/>
  <c r="H51" i="1"/>
  <c r="AK54" i="1"/>
  <c r="AJ49" i="1" l="1"/>
  <c r="AJ42" i="1"/>
  <c r="AK49" i="1"/>
  <c r="AL54" i="1"/>
  <c r="C9" i="3" s="1"/>
  <c r="AJ51" i="1"/>
  <c r="AN39" i="1" l="1"/>
  <c r="AO39" i="1"/>
  <c r="AP39" i="1"/>
  <c r="AM39" i="1"/>
  <c r="AQ39" i="1"/>
  <c r="AM54" i="1"/>
  <c r="AK51" i="1"/>
  <c r="AN54" i="1" l="1"/>
  <c r="AM40" i="1"/>
  <c r="AM49" i="1" l="1"/>
  <c r="AM42" i="1"/>
  <c r="AN40" i="1"/>
  <c r="AL51" i="1"/>
  <c r="AN49" i="1" l="1"/>
  <c r="AN42" i="1"/>
  <c r="AN51" i="1"/>
  <c r="AO54" i="1"/>
  <c r="AO40" i="1"/>
  <c r="AM51" i="1"/>
  <c r="AO49" i="1" l="1"/>
  <c r="AO42" i="1"/>
  <c r="AO51" i="1"/>
  <c r="C11" i="3"/>
  <c r="C18" i="3" s="1"/>
  <c r="AP54" i="1" l="1"/>
  <c r="AP40" i="1"/>
  <c r="AV46" i="1"/>
  <c r="AV47" i="1" s="1"/>
  <c r="AV49" i="1" s="1"/>
  <c r="AV50" i="1" s="1"/>
  <c r="AP49" i="1" l="1"/>
  <c r="AP42" i="1"/>
  <c r="AQ54" i="1"/>
  <c r="AQ40" i="1"/>
  <c r="AV52" i="1"/>
  <c r="AQ49" i="1" l="1"/>
  <c r="AQ42" i="1"/>
  <c r="AQ51" i="1"/>
  <c r="AP51" i="1"/>
  <c r="AH32" i="1"/>
  <c r="AH35" i="1" s="1"/>
  <c r="AI46" i="1"/>
  <c r="J31" i="1"/>
  <c r="J32" i="1" s="1"/>
  <c r="AH38" i="1" l="1"/>
  <c r="AH48" i="1"/>
  <c r="J52" i="1"/>
  <c r="J35" i="1"/>
  <c r="AH53" i="1"/>
  <c r="AI48" i="1"/>
  <c r="N46" i="1"/>
  <c r="J46" i="1"/>
  <c r="AH52" i="1"/>
  <c r="AH40" i="1" l="1"/>
  <c r="AH54" i="1"/>
  <c r="J48" i="1"/>
  <c r="J38" i="1"/>
  <c r="J53" i="1"/>
  <c r="N48" i="1"/>
  <c r="AH49" i="1" l="1"/>
  <c r="AH42" i="1"/>
  <c r="AI49" i="1"/>
  <c r="J40" i="1"/>
  <c r="J54" i="1"/>
  <c r="AH51" i="1"/>
  <c r="J49" i="1" l="1"/>
  <c r="J42" i="1"/>
  <c r="N49" i="1"/>
  <c r="AI51" i="1"/>
  <c r="J51" i="1" l="1"/>
  <c r="N5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tc={275DD325-9B86-44F5-998C-C8FE3D574D2E}</author>
  </authors>
  <commentList>
    <comment ref="B8" authorId="0" shapeId="0" xr:uid="{275DD325-9B86-44F5-998C-C8FE3D574D2E}">
      <text>
        <t>[Threaded comment]
Your version of Excel allows you to read this threaded comment; however, any edits to it will get removed if the file is opened in a newer version of Excel. Learn more: https://go.microsoft.com/fwlink/?linkid=870924
Comment:
    Per chatGPT 2/23/24:
In a Discounted Cash Flow (DCF) model, debt typically refers to interest-bearing obligations that a company owes to creditors. This includes both short-term and long-term debt...Employee-related lines such as accrued salaries, wages, employee benefits, postretirement medical benefits, and pension liabilities are not considered debt in a traditional sense. These are obligations related to employee compensation and benefits rather than financial obligations to creditors. 
ST operating lease liabs., LT lease liabs., LT debt.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<sst xmlns="http://schemas.openxmlformats.org/spreadsheetml/2006/main" count="102" uniqueCount="96">
  <si>
    <t>Company</t>
  </si>
  <si>
    <t>Source</t>
  </si>
  <si>
    <t>Price</t>
  </si>
  <si>
    <t>Shares</t>
  </si>
  <si>
    <t>4Q20</t>
  </si>
  <si>
    <t>Market Cap</t>
  </si>
  <si>
    <t>Cash</t>
  </si>
  <si>
    <t>Debt</t>
  </si>
  <si>
    <t>EV</t>
  </si>
  <si>
    <t>3Q20</t>
  </si>
  <si>
    <t>COGS</t>
  </si>
  <si>
    <t>Gross Profit</t>
  </si>
  <si>
    <t>SG&amp;A</t>
  </si>
  <si>
    <t>Opex</t>
  </si>
  <si>
    <t>Operating Income</t>
  </si>
  <si>
    <t>Pretax Income</t>
  </si>
  <si>
    <t>Interest Income/(Expense)</t>
  </si>
  <si>
    <t>Taxes</t>
  </si>
  <si>
    <t>Net Income</t>
  </si>
  <si>
    <t>EPS</t>
  </si>
  <si>
    <t>1Q18</t>
  </si>
  <si>
    <t>2Q18</t>
  </si>
  <si>
    <t>3Q18</t>
  </si>
  <si>
    <t>4Q18</t>
  </si>
  <si>
    <t>1Q19</t>
  </si>
  <si>
    <t>2Q19</t>
  </si>
  <si>
    <t>3Q19</t>
  </si>
  <si>
    <t>4Q19</t>
  </si>
  <si>
    <t>1Q20</t>
  </si>
  <si>
    <t>2Q20</t>
  </si>
  <si>
    <t>Revenue Y/Y</t>
  </si>
  <si>
    <t>COGS Y/Y</t>
  </si>
  <si>
    <t>Opex Y/Y</t>
  </si>
  <si>
    <t>OI Y/Y</t>
  </si>
  <si>
    <t>NI Y/Y</t>
  </si>
  <si>
    <t>Shares Y/Y</t>
  </si>
  <si>
    <t>EPS Y/Y</t>
  </si>
  <si>
    <t>GM</t>
  </si>
  <si>
    <t>OM</t>
  </si>
  <si>
    <t>Maturity Value</t>
  </si>
  <si>
    <t>Discount Rate</t>
  </si>
  <si>
    <t>NPV</t>
  </si>
  <si>
    <t>Net Cash</t>
  </si>
  <si>
    <t>Total Value</t>
  </si>
  <si>
    <t>Per Share</t>
  </si>
  <si>
    <t>Current</t>
  </si>
  <si>
    <t>Difference</t>
  </si>
  <si>
    <t>Equity</t>
  </si>
  <si>
    <t>D+E</t>
  </si>
  <si>
    <t>Wdebt</t>
  </si>
  <si>
    <t>Wequity</t>
  </si>
  <si>
    <t>Tax rate</t>
  </si>
  <si>
    <t>Interest expense</t>
  </si>
  <si>
    <t>Cost of debt</t>
  </si>
  <si>
    <t>Risk-free rate</t>
  </si>
  <si>
    <t>Beta</t>
  </si>
  <si>
    <t>Market return</t>
  </si>
  <si>
    <t xml:space="preserve">average </t>
  </si>
  <si>
    <t>Cost of equity</t>
  </si>
  <si>
    <t>WACC</t>
  </si>
  <si>
    <t>1Q21</t>
  </si>
  <si>
    <t>2Q21</t>
  </si>
  <si>
    <t>3Q21</t>
  </si>
  <si>
    <t>4Q21</t>
  </si>
  <si>
    <t>1Q22</t>
  </si>
  <si>
    <t>2Q22</t>
  </si>
  <si>
    <t>3Q22</t>
  </si>
  <si>
    <t>4Q22</t>
  </si>
  <si>
    <t>Americas Wholesale Revenue</t>
  </si>
  <si>
    <t>Americas D2C Revenue</t>
  </si>
  <si>
    <t>Americas Total Revenue</t>
  </si>
  <si>
    <t>Europe Wholesale Revenue</t>
  </si>
  <si>
    <t>Europe D2C Revenue</t>
  </si>
  <si>
    <t>Europe Total Revenue</t>
  </si>
  <si>
    <t>Asia Wholesale Revenue</t>
  </si>
  <si>
    <t>Asia D2C Revenue</t>
  </si>
  <si>
    <t>Asia Total Revenue</t>
  </si>
  <si>
    <t>Other Brands Wholesale Revenue</t>
  </si>
  <si>
    <t>Other Brands D2C Revenue</t>
  </si>
  <si>
    <t>Other Brands Total Revenue</t>
  </si>
  <si>
    <t>Total LEVI Revenue</t>
  </si>
  <si>
    <t>Total Wholesale Revenue</t>
  </si>
  <si>
    <t>Total D2C Revenue</t>
  </si>
  <si>
    <t>Americas TR Y/Y</t>
  </si>
  <si>
    <t>Europe TR Y/Y</t>
  </si>
  <si>
    <t>Asia TR Y/Y</t>
  </si>
  <si>
    <t>Other Brands TR Y/Y</t>
  </si>
  <si>
    <t>1Q23</t>
  </si>
  <si>
    <t>2Q23</t>
  </si>
  <si>
    <t>3Q23</t>
  </si>
  <si>
    <t>4Q23</t>
  </si>
  <si>
    <t>Other (expense) Income</t>
  </si>
  <si>
    <t>3-yr average</t>
  </si>
  <si>
    <t>from model</t>
  </si>
  <si>
    <t>koyfin 2/23/24</t>
  </si>
  <si>
    <t>5yr tbond 2/23/24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</si>
</sst>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0.0"/>
  </numFmts>
  <fonts count="9"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sz val="8"/>
      <name val="Calibri"/>
      <family val="2"/>
      <scheme val="minor"/>
    </font>
    <font>
      <i/>
      <sz val="11"/>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5" fillId="0" borderId="0" applyFont="0" applyFill="0" applyBorder="0" applyAlignment="0" applyProtection="0"/>
  </cellStyleXfs>
  <cellXfs count="33">
    <xf numFmtId="0" fontId="0" fillId="0" borderId="0" xfId="0"/>
    <xf numFmtId="0" fontId="4" fillId="0" borderId="0" xfId="0" applyFont="1"/>
    <xf numFmtId="3" fontId="4" fillId="0" borderId="0" xfId="0" applyNumberFormat="1" applyFont="1"/>
    <xf numFmtId="10" fontId="4" fillId="0" borderId="0" xfId="0" applyNumberFormat="1" applyFont="1"/>
    <xf numFmtId="9" fontId="4" fillId="0" borderId="0" xfId="0" applyNumberFormat="1" applyFont="1"/>
    <xf numFmtId="2" fontId="4" fillId="0" borderId="0" xfId="0" applyNumberFormat="1" applyFont="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164" fontId="4" fillId="0" borderId="0" xfId="0" applyNumberFormat="1" applyFont="1" applyAlignment="1">
      <alignment horizontal="right"/>
    </xf>
    <xf numFmtId="0" fontId="4" fillId="0" borderId="1" xfId="0" applyFont="1" applyBorder="1" applyAlignment="1">
      <alignment horizontal="right"/>
    </xf>
    <xf numFmtId="3" fontId="4" fillId="0" borderId="0" xfId="0" applyNumberFormat="1" applyFont="1" applyAlignment="1">
      <alignment horizontal="right"/>
    </xf>
    <xf numFmtId="0" fontId="4" fillId="0" borderId="4" xfId="0" applyFont="1" applyBorder="1" applyAlignment="1">
      <alignment horizontal="right"/>
    </xf>
    <xf numFmtId="0" fontId="4" fillId="0" borderId="5" xfId="0" applyFont="1" applyBorder="1"/>
    <xf numFmtId="3" fontId="4" fillId="0" borderId="6" xfId="0" applyNumberFormat="1" applyFont="1" applyBorder="1" applyAlignment="1">
      <alignment horizontal="right"/>
    </xf>
    <xf numFmtId="0" fontId="4" fillId="0" borderId="5" xfId="0" applyFont="1" applyBorder="1" applyAlignment="1">
      <alignment horizontal="right"/>
    </xf>
    <xf numFmtId="14" fontId="4" fillId="0" borderId="0" xfId="0" applyNumberFormat="1" applyFont="1"/>
    <xf numFmtId="0" fontId="4" fillId="0" borderId="0" xfId="0" applyFont="1" applyAlignment="1">
      <alignment horizontal="right"/>
    </xf>
    <xf numFmtId="0" fontId="6" fillId="0" borderId="0" xfId="0" applyFont="1"/>
    <xf numFmtId="3" fontId="6" fillId="0" borderId="0" xfId="0" applyNumberFormat="1" applyFont="1"/>
    <xf numFmtId="4" fontId="4" fillId="0" borderId="0" xfId="0" applyNumberFormat="1" applyFont="1"/>
    <xf numFmtId="10" fontId="4" fillId="0" borderId="0" xfId="1" applyNumberFormat="1" applyFont="1"/>
    <xf numFmtId="3" fontId="3" fillId="0" borderId="0" xfId="0" applyNumberFormat="1" applyFont="1"/>
    <xf numFmtId="0" fontId="2" fillId="0" borderId="0" xfId="0" applyFont="1"/>
    <xf numFmtId="3" fontId="6" fillId="0" borderId="0" xfId="0" applyNumberFormat="1" applyFont="1" applyAlignment="1">
      <alignment horizontal="right"/>
    </xf>
    <xf numFmtId="0" fontId="6" fillId="0" borderId="0" xfId="0" applyFont="1" applyAlignment="1">
      <alignment horizontal="right"/>
    </xf>
    <xf numFmtId="0" fontId="1" fillId="0" borderId="4" xfId="0" applyFont="1" applyBorder="1" applyAlignment="1">
      <alignment horizontal="right"/>
    </xf>
    <xf numFmtId="0" fontId="1" fillId="0" borderId="0" xfId="0" applyFont="1"/>
    <xf numFmtId="0" fontId="8" fillId="0" borderId="0" xfId="0" applyFont="1"/>
    <xf numFmtId="9" fontId="8" fillId="0" borderId="0" xfId="0" applyNumberFormat="1" applyFont="1" applyAlignment="1">
      <alignment horizontal="right"/>
    </xf>
    <xf numFmtId="9" fontId="8" fillId="0" borderId="0" xfId="0" applyNumberFormat="1" applyFont="1"/>
    <xf numFmtId="165" fontId="4" fillId="0" borderId="0" xfId="0" applyNumberFormat="1" applyFont="1"/>
  </cellXfs>
  <cellStyles count="2">
    <cellStyle name="Normal" xfId="0" builtinId="0"/>
    <cellStyle name="Percent" xfId="1" builtinId="5"/>
  </cellStyles>
  <dxfs count="3">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28</xdr:col>
      <xdr:colOff>60960</xdr:colOff>
      <xdr:row>0</xdr:row>
      <xdr:rowOff>0</xdr:rowOff>
    </xdr:from>
    <xdr:to>
      <xdr:col>28</xdr:col>
      <xdr:colOff>60960</xdr:colOff>
      <xdr:row>59</xdr:row>
      <xdr:rowOff>165735</xdr:rowOff>
    </xdr:to>
    <xdr:cxnSp macro="">
      <xdr:nvCxnSpPr>
        <xdr:cNvPr id="3" name="Straight Connector 2">
          <a:extLst>
            <a:ext uri="{FF2B5EF4-FFF2-40B4-BE49-F238E27FC236}">
              <a16:creationId xmlns:a16="http://schemas.microsoft.com/office/drawing/2014/main" id="{BA876773-7A66-48B4-A407-5C4A5C8F1C1B}"/>
            </a:ext>
          </a:extLst>
        </xdr:cNvPr>
        <xdr:cNvCxnSpPr/>
      </xdr:nvCxnSpPr>
      <xdr:spPr>
        <a:xfrm>
          <a:off x="23271480" y="0"/>
          <a:ext cx="0" cy="108870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28575</xdr:colOff>
      <xdr:row>0</xdr:row>
      <xdr:rowOff>0</xdr:rowOff>
    </xdr:from>
    <xdr:to>
      <xdr:col>38</xdr:col>
      <xdr:colOff>28575</xdr:colOff>
      <xdr:row>59</xdr:row>
      <xdr:rowOff>163195</xdr:rowOff>
    </xdr:to>
    <xdr:cxnSp macro="">
      <xdr:nvCxnSpPr>
        <xdr:cNvPr id="4" name="Straight Connector 3">
          <a:extLst>
            <a:ext uri="{FF2B5EF4-FFF2-40B4-BE49-F238E27FC236}">
              <a16:creationId xmlns:a16="http://schemas.microsoft.com/office/drawing/2014/main" id="{C075AF88-BE1C-4548-8045-D4254D050DAB}"/>
            </a:ext>
          </a:extLst>
        </xdr:cNvPr>
        <xdr:cNvCxnSpPr/>
      </xdr:nvCxnSpPr>
      <xdr:spPr>
        <a:xfrm>
          <a:off x="30918150" y="0"/>
          <a:ext cx="0" cy="106597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20Dashboard.xlsx" TargetMode="External"/><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 val="Screens"/>
    </sheetNames>
    <sheetDataSet>
      <sheetData sheetId="0">
        <row r="12">
          <cell r="C12">
            <v>4.2999999999999997E-2</v>
          </cell>
        </row>
      </sheetData>
      <sheetData sheetId="1"/>
      <sheetData sheetId="2"/>
    </sheetDataSet>
  </externalBook>
</externalLink>
</file>

<file path=xl/persons/person.xml><?xml version="1.0" encoding="utf-8"?>
<personList xmlns="http://schemas.microsoft.com/office/spreadsheetml/2018/threadedcomments" xmlns:x="http://schemas.openxmlformats.org/spreadsheetml/2006/main">
  <person displayName="Bill Sheldon" id="{593B0A61-44D7-4D0B-B66C-056DD18FC082}" userId="667679d5bb2810d2"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https://www.bing.com/financeapi/forcetrigger?t=bpipfr&amp;q=XNYS%3aLEVI&amp;form=skydnc</v>
    <v>Learn more on Bing</v>
  </rv>
  <rv s="1">
    <v>en-US</v>
    <v>bpipfr</v>
    <v>268435456</v>
    <v>1</v>
    <v>Powered by Refinitiv</v>
    <v>0</v>
    <v>LEVI STRAUSS &amp; CO. (XNYS:LEVI)</v>
    <v>2</v>
    <v>3</v>
    <v>Finance</v>
    <v>4</v>
    <v>18.47</v>
    <v>12.414999999999999</v>
    <v>1.2044999999999999</v>
    <v>0.155</v>
    <v>-2.6402999999999999E-2</v>
    <v>8.6020000000000003E-3</v>
    <v>-0.48</v>
    <v>USD</v>
    <v>Levi Strauss &amp; Co. is an apparel company. The Company designs and markets jeans, casual wear and related accessories for men, women and children under the Levi's, Signatureby Levi Strauss &amp; Co., Denizen, Dockers and Beyond Yoga brands. The Company operates through three geographical segments: Americas, Europe, and Asia. It designs, markets and sells directly or through third parties and licensee's products that include jeans, casual and dress pants, tops, shorts, skirts, dresses, jackets, footwear, and related accessories for men, women and children around the world. The Company’s products are sold in more than 110 countries worldwide through a combination of chain retailers, department stores, online sites, and a global footprint of approximately 3,200 retail stores and shop-in-shops. Outside the United States, department stores, specialty retailers, franchised or other brand-dedicated stores and shop-in-shops are its primary distribution channels.</v>
    <v>19100</v>
    <v>New York Stock Exchange</v>
    <v>XNYS</v>
    <v>XNYS</v>
    <v>1155 Battery St, SAN FRANCISCO, CA, 94111 US</v>
    <v>18.234999999999999</v>
    <v>Textiles &amp; Apparel</v>
    <v>Stock</v>
    <v>45345.997787106251</v>
    <v>0</v>
    <v>17.88</v>
    <v>7235298000</v>
    <v>LEVI STRAUSS &amp; CO.</v>
    <v>LEVI STRAUSS &amp; CO.</v>
    <v>18.100000000000001</v>
    <v>28.824200000000001</v>
    <v>18.02</v>
    <v>18.175000000000001</v>
    <v>17.7</v>
    <v>397981200</v>
    <v>LEVI</v>
    <v>LEVI STRAUSS &amp; CO. (XNYS:LEVI)</v>
    <v>1233071</v>
    <v>2340562</v>
    <v>1970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 dT="2024-02-23T17:01:43.58" personId="{593B0A61-44D7-4D0B-B66C-056DD18FC082}" id="{275DD325-9B86-44F5-998C-C8FE3D574D2E}">
    <text>Per chatGPT 2/23/24:
In a Discounted Cash Flow (DCF) model, debt typically refers to interest-bearing obligations that a company owes to creditors. This includes both short-term and long-term debt...Employee-related lines such as accrued salaries, wages, employee benefits, postretirement medical benefits, and pension liabilities are not considered debt in a traditional sense. These are obligations related to employee compensation and benefits rather than financial obligations to creditors. 
ST operating lease liabs., LT lease liabs., LT debt.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FBE55-BD61-437B-8CF8-13D35FE9B341}">
  <dimension ref="B3:D9"/>
  <sheetViews>
    <sheetView workbookViewId="0">
      <selection activeCell="C5" sqref="C5"/>
    </sheetView>
  </sheetViews>
  <sheetFormatPr defaultColWidth="9.21875" defaultRowHeight="13.8" x14ac:dyDescent="0.25"/>
  <cols>
    <col min="1" max="1" width="9.21875" style="1"/>
    <col min="2" max="2" width="11.5546875" style="1" bestFit="1" customWidth="1"/>
    <col min="3" max="3" width="37.5546875" style="1" bestFit="1" customWidth="1"/>
    <col min="4" max="4" width="7.77734375" style="1" bestFit="1" customWidth="1"/>
    <col min="5" max="16384" width="9.21875" style="1"/>
  </cols>
  <sheetData>
    <row r="3" spans="2:4" x14ac:dyDescent="0.25">
      <c r="B3" s="6" t="s">
        <v>0</v>
      </c>
      <c r="C3" s="7" t="e" vm="1">
        <v>#VALUE!</v>
      </c>
      <c r="D3" s="8" t="s">
        <v>1</v>
      </c>
    </row>
    <row r="4" spans="2:4" x14ac:dyDescent="0.25">
      <c r="B4" s="9" t="s">
        <v>2</v>
      </c>
      <c r="C4" s="10" cm="1">
        <f t="array" ref="C4">_FV(C3,"Price")</f>
        <v>18.175000000000001</v>
      </c>
      <c r="D4" s="11"/>
    </row>
    <row r="5" spans="2:4" x14ac:dyDescent="0.25">
      <c r="B5" s="9" t="s">
        <v>3</v>
      </c>
      <c r="C5" s="12">
        <v>401.58329700000002</v>
      </c>
      <c r="D5" s="27" t="s">
        <v>90</v>
      </c>
    </row>
    <row r="6" spans="2:4" x14ac:dyDescent="0.25">
      <c r="B6" s="9" t="s">
        <v>5</v>
      </c>
      <c r="C6" s="12">
        <f>C5*C4</f>
        <v>7298.776422975001</v>
      </c>
      <c r="D6" s="13"/>
    </row>
    <row r="7" spans="2:4" x14ac:dyDescent="0.25">
      <c r="B7" s="9" t="s">
        <v>6</v>
      </c>
      <c r="C7" s="12">
        <v>398.8</v>
      </c>
      <c r="D7" s="27" t="s">
        <v>90</v>
      </c>
    </row>
    <row r="8" spans="2:4" x14ac:dyDescent="0.25">
      <c r="B8" s="9" t="s">
        <v>7</v>
      </c>
      <c r="C8" s="12">
        <f>245.5+1009.4+913.1</f>
        <v>2168</v>
      </c>
      <c r="D8" s="27" t="s">
        <v>90</v>
      </c>
    </row>
    <row r="9" spans="2:4" x14ac:dyDescent="0.25">
      <c r="B9" s="14" t="s">
        <v>8</v>
      </c>
      <c r="C9" s="15">
        <f>C6-C7+C8</f>
        <v>9067.9764229749999</v>
      </c>
      <c r="D9" s="16"/>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8B7B3-4096-45A6-AA5A-71A143F7BC7F}">
  <dimension ref="A1:KX54"/>
  <sheetViews>
    <sheetView tabSelected="1" topLeftCell="B1" workbookViewId="0">
      <pane xSplit="1" ySplit="2" topLeftCell="AI23" activePane="bottomRight" state="frozen"/>
      <selection activeCell="B1" sqref="B1"/>
      <selection pane="topRight" activeCell="C1" sqref="C1"/>
      <selection pane="bottomLeft" activeCell="B3" sqref="B3"/>
      <selection pane="bottomRight" activeCell="AV52" sqref="AV52"/>
    </sheetView>
  </sheetViews>
  <sheetFormatPr defaultColWidth="9.21875" defaultRowHeight="13.8" x14ac:dyDescent="0.25"/>
  <cols>
    <col min="1" max="1" width="9.21875" style="1"/>
    <col min="2" max="2" width="34.77734375" style="1" bestFit="1" customWidth="1"/>
    <col min="3" max="4" width="8.77734375" style="2" customWidth="1"/>
    <col min="5" max="5" width="10.21875" style="2" bestFit="1" customWidth="1"/>
    <col min="6" max="6" width="11.21875" style="2" bestFit="1" customWidth="1"/>
    <col min="7" max="9" width="10.21875" style="2" bestFit="1" customWidth="1"/>
    <col min="10" max="10" width="11.21875" style="2" bestFit="1" customWidth="1"/>
    <col min="11" max="13" width="10.21875" style="2" bestFit="1" customWidth="1"/>
    <col min="14" max="14" width="11.21875" style="2" bestFit="1" customWidth="1"/>
    <col min="15" max="19" width="11.21875" style="2" customWidth="1"/>
    <col min="20" max="20" width="10.21875" style="2" bestFit="1" customWidth="1"/>
    <col min="21" max="30" width="11.21875" style="2" customWidth="1"/>
    <col min="31" max="32" width="8.77734375" style="2" customWidth="1"/>
    <col min="33" max="36" width="11.21875" style="2" bestFit="1" customWidth="1"/>
    <col min="37" max="38" width="11" style="2" bestFit="1" customWidth="1"/>
    <col min="39" max="40" width="8.77734375" style="2" customWidth="1"/>
    <col min="41" max="42" width="9.109375" style="2" customWidth="1"/>
    <col min="43" max="43" width="8.88671875" style="2" customWidth="1"/>
    <col min="44" max="44" width="9.77734375" style="2" bestFit="1" customWidth="1"/>
    <col min="45" max="45" width="7" style="2" bestFit="1" customWidth="1"/>
    <col min="46" max="46" width="6.88671875" style="2" customWidth="1"/>
    <col min="47" max="47" width="14" style="2" bestFit="1" customWidth="1"/>
    <col min="48" max="48" width="8.44140625" style="2" bestFit="1" customWidth="1"/>
    <col min="49" max="268" width="7" style="2" bestFit="1" customWidth="1"/>
    <col min="269" max="16384" width="9.21875" style="2"/>
  </cols>
  <sheetData>
    <row r="1" spans="2:43" s="1" customFormat="1" x14ac:dyDescent="0.25">
      <c r="E1" s="17">
        <v>43338</v>
      </c>
      <c r="F1" s="17">
        <v>43429</v>
      </c>
      <c r="G1" s="17">
        <v>43520</v>
      </c>
      <c r="H1" s="17">
        <v>43611</v>
      </c>
      <c r="I1" s="17">
        <v>43702</v>
      </c>
      <c r="J1" s="17">
        <v>43793</v>
      </c>
      <c r="K1" s="17">
        <v>43884</v>
      </c>
      <c r="L1" s="17">
        <v>43975</v>
      </c>
      <c r="M1" s="17">
        <v>44066</v>
      </c>
      <c r="N1" s="17">
        <v>44164</v>
      </c>
      <c r="O1" s="17">
        <v>44255</v>
      </c>
      <c r="P1" s="17">
        <v>44346</v>
      </c>
      <c r="Q1" s="17">
        <v>44437</v>
      </c>
      <c r="R1" s="17">
        <v>44528</v>
      </c>
      <c r="S1" s="17">
        <v>44619</v>
      </c>
      <c r="T1" s="17">
        <v>44710</v>
      </c>
      <c r="U1" s="17">
        <v>44801</v>
      </c>
      <c r="V1" s="17">
        <v>44892</v>
      </c>
      <c r="W1" s="17">
        <v>44983</v>
      </c>
      <c r="X1" s="17">
        <v>45074</v>
      </c>
      <c r="Y1" s="17">
        <v>45165</v>
      </c>
      <c r="Z1" s="17">
        <v>45256</v>
      </c>
      <c r="AA1" s="17"/>
      <c r="AB1" s="17"/>
      <c r="AC1" s="17"/>
      <c r="AD1" s="17"/>
      <c r="AG1" s="17">
        <f>F1</f>
        <v>43429</v>
      </c>
      <c r="AH1" s="17">
        <f>J1</f>
        <v>43793</v>
      </c>
      <c r="AI1" s="17">
        <f>N1</f>
        <v>44164</v>
      </c>
      <c r="AJ1" s="17">
        <f>R1</f>
        <v>44528</v>
      </c>
      <c r="AK1" s="17">
        <v>44892</v>
      </c>
      <c r="AL1" s="17">
        <v>45256</v>
      </c>
    </row>
    <row r="2" spans="2:43" s="1" customFormat="1" x14ac:dyDescent="0.25">
      <c r="C2" s="18" t="s">
        <v>20</v>
      </c>
      <c r="D2" s="18" t="s">
        <v>21</v>
      </c>
      <c r="E2" s="18" t="s">
        <v>22</v>
      </c>
      <c r="F2" s="18" t="s">
        <v>23</v>
      </c>
      <c r="G2" s="18" t="s">
        <v>24</v>
      </c>
      <c r="H2" s="18" t="s">
        <v>25</v>
      </c>
      <c r="I2" s="18" t="s">
        <v>26</v>
      </c>
      <c r="J2" s="18" t="s">
        <v>27</v>
      </c>
      <c r="K2" s="18" t="s">
        <v>28</v>
      </c>
      <c r="L2" s="18" t="s">
        <v>29</v>
      </c>
      <c r="M2" s="18" t="s">
        <v>9</v>
      </c>
      <c r="N2" s="18" t="s">
        <v>4</v>
      </c>
      <c r="O2" s="18" t="s">
        <v>60</v>
      </c>
      <c r="P2" s="18" t="s">
        <v>61</v>
      </c>
      <c r="Q2" s="18" t="s">
        <v>62</v>
      </c>
      <c r="R2" s="18" t="s">
        <v>63</v>
      </c>
      <c r="S2" s="18" t="s">
        <v>64</v>
      </c>
      <c r="T2" s="18" t="s">
        <v>65</v>
      </c>
      <c r="U2" s="18" t="s">
        <v>66</v>
      </c>
      <c r="V2" s="18" t="s">
        <v>67</v>
      </c>
      <c r="W2" s="18" t="s">
        <v>87</v>
      </c>
      <c r="X2" s="18" t="s">
        <v>88</v>
      </c>
      <c r="Y2" s="18" t="s">
        <v>89</v>
      </c>
      <c r="Z2" s="18" t="s">
        <v>90</v>
      </c>
      <c r="AA2" s="18"/>
      <c r="AB2" s="18"/>
      <c r="AC2" s="18"/>
      <c r="AD2" s="18"/>
      <c r="AG2" s="1">
        <v>2018</v>
      </c>
      <c r="AH2" s="1">
        <v>2019</v>
      </c>
      <c r="AI2" s="1">
        <v>2020</v>
      </c>
      <c r="AJ2" s="1">
        <v>2021</v>
      </c>
      <c r="AK2" s="1">
        <v>2022</v>
      </c>
      <c r="AL2" s="1">
        <v>2023</v>
      </c>
      <c r="AM2" s="1">
        <v>2024</v>
      </c>
      <c r="AN2" s="1">
        <v>2025</v>
      </c>
      <c r="AO2" s="1">
        <v>2026</v>
      </c>
      <c r="AP2" s="1">
        <v>2027</v>
      </c>
      <c r="AQ2" s="1">
        <v>2028</v>
      </c>
    </row>
    <row r="3" spans="2:43" s="1" customFormat="1" x14ac:dyDescent="0.25">
      <c r="B3" s="24" t="s">
        <v>68</v>
      </c>
      <c r="C3" s="12">
        <v>448.74200000000002</v>
      </c>
      <c r="D3" s="12">
        <v>480.68</v>
      </c>
      <c r="E3" s="12">
        <v>588.68299999999999</v>
      </c>
      <c r="F3" s="12">
        <f>2209.897-SUM(C3:E3)</f>
        <v>691.79199999999992</v>
      </c>
      <c r="G3" s="12">
        <v>483.80099999999999</v>
      </c>
      <c r="H3" s="12">
        <v>487.95800000000003</v>
      </c>
      <c r="I3" s="12">
        <v>548.21400000000006</v>
      </c>
      <c r="J3" s="12">
        <f>2181.168-SUM(G3:I3)</f>
        <v>661.19500000000016</v>
      </c>
      <c r="K3" s="12">
        <v>460.86599999999999</v>
      </c>
      <c r="L3" s="12">
        <v>206.44</v>
      </c>
      <c r="M3" s="12">
        <v>404.529</v>
      </c>
      <c r="N3" s="12">
        <f>1500.043-SUM(K3:M3)</f>
        <v>428.20799999999986</v>
      </c>
      <c r="O3" s="12">
        <v>411.20499999999998</v>
      </c>
      <c r="P3" s="12">
        <v>458.92099999999999</v>
      </c>
      <c r="Q3" s="12">
        <v>559.84400000000005</v>
      </c>
      <c r="R3" s="12">
        <f>2061.33-SUM(O3:Q3)</f>
        <v>631.3599999999999</v>
      </c>
      <c r="S3" s="12">
        <v>510.73500000000001</v>
      </c>
      <c r="T3" s="12">
        <v>547.71699999999998</v>
      </c>
      <c r="U3" s="12">
        <v>566.84299999999996</v>
      </c>
      <c r="V3" s="12">
        <f>2193.7-SUM(S3:U3)</f>
        <v>568.40499999999975</v>
      </c>
      <c r="W3" s="12">
        <v>530.6</v>
      </c>
      <c r="X3" s="12">
        <v>366.7</v>
      </c>
      <c r="Y3" s="12">
        <v>499.1</v>
      </c>
      <c r="Z3" s="12">
        <f>1981.4-SUM(W3:Y3)</f>
        <v>585</v>
      </c>
      <c r="AA3" s="12"/>
      <c r="AB3" s="12"/>
      <c r="AC3" s="12"/>
      <c r="AD3" s="12"/>
      <c r="AG3" s="2">
        <f>SUM(C3:F3)</f>
        <v>2209.8969999999999</v>
      </c>
      <c r="AH3" s="2">
        <f>SUM(G3:J3)</f>
        <v>2181.1680000000001</v>
      </c>
      <c r="AI3" s="2">
        <f>SUM(K3:N3)</f>
        <v>1500.0429999999999</v>
      </c>
      <c r="AJ3" s="2">
        <f>SUM(O3:R3)</f>
        <v>2061.33</v>
      </c>
      <c r="AK3" s="2">
        <f>SUM(S3:V3)</f>
        <v>2193.6999999999998</v>
      </c>
      <c r="AL3" s="2">
        <f>SUM(W3:Z3)</f>
        <v>1981.4</v>
      </c>
    </row>
    <row r="4" spans="2:43" s="1" customFormat="1" x14ac:dyDescent="0.25">
      <c r="B4" s="24" t="s">
        <v>69</v>
      </c>
      <c r="C4" s="12">
        <v>208.45500000000001</v>
      </c>
      <c r="D4" s="12">
        <v>189.11099999999999</v>
      </c>
      <c r="E4" s="12">
        <v>204.149</v>
      </c>
      <c r="F4" s="12">
        <f>832.767-SUM(C4:E4)</f>
        <v>231.05200000000002</v>
      </c>
      <c r="G4" s="12">
        <v>233.46299999999999</v>
      </c>
      <c r="H4" s="12">
        <v>204.74</v>
      </c>
      <c r="I4" s="12">
        <v>222.60300000000001</v>
      </c>
      <c r="J4" s="12">
        <f>875.856-SUM(G4:I4)</f>
        <v>215.04999999999995</v>
      </c>
      <c r="K4" s="12">
        <v>284.714</v>
      </c>
      <c r="L4" s="12">
        <v>76.287999999999997</v>
      </c>
      <c r="M4" s="12">
        <v>145.26900000000001</v>
      </c>
      <c r="N4" s="12">
        <f>687.856-SUM(K4:M4)</f>
        <v>181.58499999999998</v>
      </c>
      <c r="O4" s="12">
        <v>194.916</v>
      </c>
      <c r="P4" s="12">
        <v>202.51400000000001</v>
      </c>
      <c r="Q4" s="12">
        <v>222.489</v>
      </c>
      <c r="R4" s="12">
        <f>873.496-SUM(O4:Q4)</f>
        <v>253.577</v>
      </c>
      <c r="S4" s="12">
        <v>255.11699999999999</v>
      </c>
      <c r="T4" s="12">
        <v>228.37700000000001</v>
      </c>
      <c r="U4" s="12">
        <v>238.239</v>
      </c>
      <c r="V4" s="12">
        <f>993.7-SUM(S4:U4)</f>
        <v>271.96699999999998</v>
      </c>
      <c r="W4" s="12">
        <v>292.39999999999998</v>
      </c>
      <c r="X4" s="12">
        <v>242.2</v>
      </c>
      <c r="Y4" s="12">
        <v>267.60000000000002</v>
      </c>
      <c r="Z4" s="12">
        <f>1105.5-SUM(W4:Y4)</f>
        <v>303.30000000000007</v>
      </c>
      <c r="AA4" s="12"/>
      <c r="AB4" s="12"/>
      <c r="AC4" s="12"/>
      <c r="AD4" s="12"/>
      <c r="AG4" s="2">
        <f>SUM(C4:F4)</f>
        <v>832.76700000000005</v>
      </c>
      <c r="AH4" s="2">
        <f>SUM(G4:J4)</f>
        <v>875.85599999999999</v>
      </c>
      <c r="AI4" s="2">
        <f>SUM(K4:N4)</f>
        <v>687.85599999999999</v>
      </c>
      <c r="AJ4" s="2">
        <f>SUM(O4:R4)</f>
        <v>873.49599999999998</v>
      </c>
      <c r="AK4" s="2">
        <f>SUM(S4:V4)</f>
        <v>993.7</v>
      </c>
      <c r="AL4" s="2">
        <f>SUM(W4:Z4)</f>
        <v>1105.5</v>
      </c>
    </row>
    <row r="5" spans="2:43" s="19" customFormat="1" x14ac:dyDescent="0.25">
      <c r="B5" s="19" t="s">
        <v>70</v>
      </c>
      <c r="C5" s="25">
        <f t="shared" ref="C5:S5" si="0">+C3+C4</f>
        <v>657.197</v>
      </c>
      <c r="D5" s="25">
        <f t="shared" si="0"/>
        <v>669.79099999999994</v>
      </c>
      <c r="E5" s="25">
        <f t="shared" si="0"/>
        <v>792.83199999999999</v>
      </c>
      <c r="F5" s="25">
        <f t="shared" si="0"/>
        <v>922.84399999999994</v>
      </c>
      <c r="G5" s="25">
        <f t="shared" si="0"/>
        <v>717.26400000000001</v>
      </c>
      <c r="H5" s="25">
        <f t="shared" si="0"/>
        <v>692.69800000000009</v>
      </c>
      <c r="I5" s="25">
        <f t="shared" si="0"/>
        <v>770.81700000000001</v>
      </c>
      <c r="J5" s="25">
        <f t="shared" si="0"/>
        <v>876.24500000000012</v>
      </c>
      <c r="K5" s="25">
        <f t="shared" si="0"/>
        <v>745.57999999999993</v>
      </c>
      <c r="L5" s="25">
        <f t="shared" si="0"/>
        <v>282.72800000000001</v>
      </c>
      <c r="M5" s="25">
        <f t="shared" si="0"/>
        <v>549.798</v>
      </c>
      <c r="N5" s="25">
        <f t="shared" si="0"/>
        <v>609.79299999999989</v>
      </c>
      <c r="O5" s="25">
        <f t="shared" si="0"/>
        <v>606.12099999999998</v>
      </c>
      <c r="P5" s="25">
        <f t="shared" si="0"/>
        <v>661.43499999999995</v>
      </c>
      <c r="Q5" s="25">
        <f t="shared" si="0"/>
        <v>782.33300000000008</v>
      </c>
      <c r="R5" s="25">
        <f t="shared" si="0"/>
        <v>884.9369999999999</v>
      </c>
      <c r="S5" s="25">
        <f t="shared" si="0"/>
        <v>765.85199999999998</v>
      </c>
      <c r="T5" s="25">
        <f>+T3+T4</f>
        <v>776.09400000000005</v>
      </c>
      <c r="U5" s="25">
        <f t="shared" ref="U5:Z5" si="1">+U3+U4</f>
        <v>805.08199999999999</v>
      </c>
      <c r="V5" s="25">
        <f t="shared" si="1"/>
        <v>840.37199999999973</v>
      </c>
      <c r="W5" s="25">
        <f t="shared" si="1"/>
        <v>823</v>
      </c>
      <c r="X5" s="25">
        <f t="shared" si="1"/>
        <v>608.9</v>
      </c>
      <c r="Y5" s="25">
        <f t="shared" si="1"/>
        <v>766.7</v>
      </c>
      <c r="Z5" s="25">
        <f t="shared" si="1"/>
        <v>888.30000000000007</v>
      </c>
      <c r="AA5" s="25"/>
      <c r="AB5" s="25"/>
      <c r="AC5" s="25"/>
      <c r="AD5" s="25"/>
      <c r="AG5" s="25">
        <f t="shared" ref="AG5:AJ5" si="2">+AG3+AG4</f>
        <v>3042.6639999999998</v>
      </c>
      <c r="AH5" s="25">
        <f t="shared" si="2"/>
        <v>3057.0240000000003</v>
      </c>
      <c r="AI5" s="25">
        <f>+AI3+AI4</f>
        <v>2187.8989999999999</v>
      </c>
      <c r="AJ5" s="25">
        <f t="shared" si="2"/>
        <v>2934.826</v>
      </c>
      <c r="AK5" s="25">
        <f>+AK3+AK4</f>
        <v>3187.3999999999996</v>
      </c>
      <c r="AL5" s="25">
        <f>+AL3+AL4</f>
        <v>3086.9</v>
      </c>
    </row>
    <row r="6" spans="2:43" s="1" customFormat="1" x14ac:dyDescent="0.25">
      <c r="B6" s="24"/>
      <c r="C6" s="12"/>
      <c r="D6" s="12"/>
      <c r="E6" s="12"/>
      <c r="F6" s="12"/>
      <c r="G6" s="12"/>
      <c r="H6" s="12"/>
      <c r="I6" s="12"/>
      <c r="J6" s="12"/>
      <c r="K6" s="12"/>
      <c r="L6" s="12"/>
      <c r="M6" s="12"/>
      <c r="N6" s="12"/>
      <c r="O6" s="12"/>
      <c r="P6" s="12"/>
      <c r="Q6" s="12"/>
      <c r="R6" s="12"/>
      <c r="S6" s="12"/>
      <c r="T6" s="12"/>
      <c r="U6" s="12"/>
      <c r="V6" s="18"/>
      <c r="W6" s="18"/>
      <c r="X6" s="18"/>
      <c r="Y6" s="18"/>
      <c r="Z6" s="18"/>
      <c r="AA6" s="18"/>
      <c r="AB6" s="18"/>
      <c r="AC6" s="18"/>
      <c r="AD6" s="18"/>
    </row>
    <row r="7" spans="2:43" s="29" customFormat="1" ht="14.4" x14ac:dyDescent="0.3">
      <c r="B7" s="29" t="s">
        <v>83</v>
      </c>
      <c r="C7" s="30"/>
      <c r="D7" s="30"/>
      <c r="E7" s="30"/>
      <c r="F7" s="30"/>
      <c r="G7" s="30">
        <f t="shared" ref="G7:V7" si="3">G5/C5-1</f>
        <v>9.1398773883629936E-2</v>
      </c>
      <c r="H7" s="30">
        <f t="shared" si="3"/>
        <v>3.4200220665849823E-2</v>
      </c>
      <c r="I7" s="30">
        <f t="shared" si="3"/>
        <v>-2.7767547223119138E-2</v>
      </c>
      <c r="J7" s="30">
        <f t="shared" si="3"/>
        <v>-5.0494991569539183E-2</v>
      </c>
      <c r="K7" s="30">
        <f t="shared" si="3"/>
        <v>3.9477793392669769E-2</v>
      </c>
      <c r="L7" s="30">
        <f t="shared" si="3"/>
        <v>-0.59184521970613457</v>
      </c>
      <c r="M7" s="30">
        <f t="shared" si="3"/>
        <v>-0.28673342700018289</v>
      </c>
      <c r="N7" s="30">
        <f t="shared" si="3"/>
        <v>-0.30408390347448511</v>
      </c>
      <c r="O7" s="30">
        <f t="shared" si="3"/>
        <v>-0.18704766758764979</v>
      </c>
      <c r="P7" s="30">
        <f t="shared" si="3"/>
        <v>1.3394746894541747</v>
      </c>
      <c r="Q7" s="30">
        <f t="shared" si="3"/>
        <v>0.42294624571206163</v>
      </c>
      <c r="R7" s="30">
        <f t="shared" si="3"/>
        <v>0.45120885284022627</v>
      </c>
      <c r="S7" s="30">
        <f t="shared" si="3"/>
        <v>0.26352988924653653</v>
      </c>
      <c r="T7" s="30">
        <f t="shared" si="3"/>
        <v>0.17334885514071696</v>
      </c>
      <c r="U7" s="30">
        <f t="shared" si="3"/>
        <v>2.9078410344443917E-2</v>
      </c>
      <c r="V7" s="30">
        <f t="shared" si="3"/>
        <v>-5.0359517118167885E-2</v>
      </c>
      <c r="W7" s="30">
        <f t="shared" ref="W7" si="4">W5/S5-1</f>
        <v>7.4620161597802159E-2</v>
      </c>
      <c r="X7" s="30">
        <f t="shared" ref="X7" si="5">X5/T5-1</f>
        <v>-0.21543008965408839</v>
      </c>
      <c r="Y7" s="30">
        <f t="shared" ref="Y7" si="6">Y5/U5-1</f>
        <v>-4.7674646806163734E-2</v>
      </c>
      <c r="Z7" s="30">
        <f t="shared" ref="Z7" si="7">Z5/V5-1</f>
        <v>5.7031885879111011E-2</v>
      </c>
      <c r="AA7" s="30"/>
      <c r="AB7" s="30"/>
      <c r="AC7" s="30"/>
      <c r="AD7" s="30"/>
      <c r="AG7" s="31"/>
      <c r="AH7" s="31">
        <f>AH5/AG5-1</f>
        <v>4.7195483957480633E-3</v>
      </c>
      <c r="AI7" s="31">
        <f t="shared" ref="AI7:AL7" si="8">AI5/AH5-1</f>
        <v>-0.2843042776242517</v>
      </c>
      <c r="AJ7" s="31">
        <f t="shared" si="8"/>
        <v>0.34139007330777149</v>
      </c>
      <c r="AK7" s="31">
        <f t="shared" si="8"/>
        <v>8.6060979424333661E-2</v>
      </c>
      <c r="AL7" s="31">
        <f t="shared" si="8"/>
        <v>-3.1530400953755255E-2</v>
      </c>
    </row>
    <row r="8" spans="2:43" s="1" customFormat="1" x14ac:dyDescent="0.25">
      <c r="B8" s="24"/>
      <c r="C8" s="12"/>
      <c r="D8" s="12"/>
      <c r="E8" s="12"/>
      <c r="F8" s="12"/>
      <c r="G8" s="12"/>
      <c r="H8" s="12"/>
      <c r="I8" s="12"/>
      <c r="J8" s="12"/>
      <c r="K8" s="12"/>
      <c r="L8" s="12"/>
      <c r="M8" s="12"/>
      <c r="N8" s="12"/>
      <c r="O8" s="12"/>
      <c r="P8" s="12"/>
      <c r="Q8" s="12"/>
      <c r="R8" s="12"/>
      <c r="S8" s="12"/>
      <c r="T8" s="12"/>
      <c r="U8" s="12"/>
      <c r="V8" s="18"/>
      <c r="W8" s="18"/>
      <c r="X8" s="18"/>
      <c r="Y8" s="18"/>
      <c r="Z8" s="18"/>
      <c r="AA8" s="18"/>
      <c r="AB8" s="18"/>
      <c r="AC8" s="18"/>
      <c r="AD8" s="18"/>
    </row>
    <row r="9" spans="2:43" s="1" customFormat="1" x14ac:dyDescent="0.25">
      <c r="B9" s="24" t="s">
        <v>71</v>
      </c>
      <c r="C9" s="12">
        <v>259.86500000000001</v>
      </c>
      <c r="D9" s="12">
        <v>196.58099999999999</v>
      </c>
      <c r="E9" s="12">
        <v>237.92</v>
      </c>
      <c r="F9" s="12">
        <f>925.317-SUM(C9:E9)</f>
        <v>230.95100000000002</v>
      </c>
      <c r="G9" s="12">
        <v>252.93299999999999</v>
      </c>
      <c r="H9" s="12">
        <v>207.98</v>
      </c>
      <c r="I9" s="12">
        <v>272.48399999999998</v>
      </c>
      <c r="J9" s="12">
        <f>981.308-SUM(G9:I9)</f>
        <v>247.91100000000006</v>
      </c>
      <c r="K9" s="12">
        <v>276.95499999999998</v>
      </c>
      <c r="L9" s="12">
        <v>70.186000000000007</v>
      </c>
      <c r="M9" s="12">
        <v>222.77699999999999</v>
      </c>
      <c r="N9" s="12">
        <f>776.947-SUM(K9:M9)</f>
        <v>207.02900000000011</v>
      </c>
      <c r="O9" s="12">
        <v>276.78500000000003</v>
      </c>
      <c r="P9" s="12">
        <v>211.642</v>
      </c>
      <c r="Q9" s="12">
        <v>276.14600000000002</v>
      </c>
      <c r="R9" s="12">
        <f>1003.844-SUM(O9:Q9)</f>
        <v>239.27099999999996</v>
      </c>
      <c r="S9" s="12">
        <v>265.71800000000002</v>
      </c>
      <c r="T9" s="12">
        <v>190.61799999999999</v>
      </c>
      <c r="U9" s="12">
        <v>230.851</v>
      </c>
      <c r="V9" s="12">
        <f>879.8-SUM(S9:U9)</f>
        <v>192.61299999999994</v>
      </c>
      <c r="W9" s="12">
        <v>244.1</v>
      </c>
      <c r="X9" s="12">
        <v>172.5</v>
      </c>
      <c r="Y9" s="12">
        <v>208.3</v>
      </c>
      <c r="Z9" s="12">
        <f>804.7-SUM(W9:Y9)</f>
        <v>179.79999999999995</v>
      </c>
      <c r="AA9" s="12"/>
      <c r="AB9" s="12"/>
      <c r="AC9" s="12"/>
      <c r="AD9" s="12"/>
      <c r="AG9" s="2">
        <f t="shared" ref="AG9:AG10" si="9">SUM(C9:F9)</f>
        <v>925.31700000000001</v>
      </c>
      <c r="AH9" s="2">
        <f>SUM(G9:J9)</f>
        <v>981.30799999999999</v>
      </c>
      <c r="AI9" s="2">
        <f>SUM(K9:N9)</f>
        <v>776.947</v>
      </c>
      <c r="AJ9" s="2">
        <f>SUM(O9:R9)</f>
        <v>1003.8440000000001</v>
      </c>
      <c r="AK9" s="2">
        <f>SUM(S9:V9)</f>
        <v>879.8</v>
      </c>
      <c r="AL9" s="2">
        <f>SUM(W9:Z9)</f>
        <v>804.7</v>
      </c>
    </row>
    <row r="10" spans="2:43" s="1" customFormat="1" x14ac:dyDescent="0.25">
      <c r="B10" s="24" t="s">
        <v>72</v>
      </c>
      <c r="C10" s="12">
        <v>192.857</v>
      </c>
      <c r="D10" s="12">
        <v>170.255</v>
      </c>
      <c r="E10" s="12">
        <v>167.81700000000001</v>
      </c>
      <c r="F10" s="12">
        <f>720.919-SUM(C10:E10)</f>
        <v>189.99</v>
      </c>
      <c r="G10" s="12">
        <v>211.74299999999999</v>
      </c>
      <c r="H10" s="12">
        <v>190.38900000000001</v>
      </c>
      <c r="I10" s="12">
        <v>190.774</v>
      </c>
      <c r="J10" s="12">
        <f>786.748-SUM(G10:I10)</f>
        <v>193.8420000000001</v>
      </c>
      <c r="K10" s="12">
        <v>235.988</v>
      </c>
      <c r="L10" s="12">
        <v>58.837000000000003</v>
      </c>
      <c r="M10" s="12">
        <v>167.596</v>
      </c>
      <c r="N10" s="12">
        <f>614.817-SUM(K10:M10)</f>
        <v>152.39600000000002</v>
      </c>
      <c r="O10" s="12">
        <v>139.93199999999999</v>
      </c>
      <c r="P10" s="12">
        <v>143.244</v>
      </c>
      <c r="Q10" s="12">
        <v>202.96799999999999</v>
      </c>
      <c r="R10" s="12">
        <f>700.174-SUM(O10:Q10)</f>
        <v>214.02999999999997</v>
      </c>
      <c r="S10" s="12">
        <v>203.63900000000001</v>
      </c>
      <c r="T10" s="12">
        <v>176.51900000000001</v>
      </c>
      <c r="U10" s="12">
        <v>159.453</v>
      </c>
      <c r="V10" s="12">
        <f>717.4-SUM(S10:U10)</f>
        <v>177.78899999999999</v>
      </c>
      <c r="W10" s="12">
        <v>211</v>
      </c>
      <c r="X10" s="12">
        <v>188.8</v>
      </c>
      <c r="Y10" s="12">
        <v>175.8</v>
      </c>
      <c r="Z10" s="12">
        <f>774.8-SUM(W10:Y10)</f>
        <v>199.19999999999993</v>
      </c>
      <c r="AA10" s="12"/>
      <c r="AB10" s="12"/>
      <c r="AC10" s="12"/>
      <c r="AD10" s="12"/>
      <c r="AG10" s="2">
        <f t="shared" si="9"/>
        <v>720.91899999999998</v>
      </c>
      <c r="AH10" s="2">
        <f>SUM(G10:J10)</f>
        <v>786.74800000000005</v>
      </c>
      <c r="AI10" s="2">
        <f>SUM(K10:N10)</f>
        <v>614.81700000000001</v>
      </c>
      <c r="AJ10" s="2">
        <f>SUM(O10:R10)</f>
        <v>700.17399999999998</v>
      </c>
      <c r="AK10" s="2">
        <f>SUM(S10:V10)</f>
        <v>717.4</v>
      </c>
      <c r="AL10" s="2">
        <f>SUM(W10:Z10)</f>
        <v>774.8</v>
      </c>
    </row>
    <row r="11" spans="2:43" s="19" customFormat="1" x14ac:dyDescent="0.25">
      <c r="B11" s="19" t="s">
        <v>73</v>
      </c>
      <c r="C11" s="25">
        <f t="shared" ref="C11:S11" si="10">+C9+C10</f>
        <v>452.72199999999998</v>
      </c>
      <c r="D11" s="25">
        <f t="shared" si="10"/>
        <v>366.83600000000001</v>
      </c>
      <c r="E11" s="25">
        <f t="shared" si="10"/>
        <v>405.73699999999997</v>
      </c>
      <c r="F11" s="25">
        <f t="shared" si="10"/>
        <v>420.94100000000003</v>
      </c>
      <c r="G11" s="25">
        <f t="shared" si="10"/>
        <v>464.67599999999999</v>
      </c>
      <c r="H11" s="25">
        <f t="shared" si="10"/>
        <v>398.36900000000003</v>
      </c>
      <c r="I11" s="25">
        <f t="shared" si="10"/>
        <v>463.25799999999998</v>
      </c>
      <c r="J11" s="25">
        <f t="shared" si="10"/>
        <v>441.75300000000016</v>
      </c>
      <c r="K11" s="25">
        <f t="shared" si="10"/>
        <v>512.94299999999998</v>
      </c>
      <c r="L11" s="25">
        <f t="shared" si="10"/>
        <v>129.02300000000002</v>
      </c>
      <c r="M11" s="25">
        <f t="shared" si="10"/>
        <v>390.37299999999999</v>
      </c>
      <c r="N11" s="25">
        <f t="shared" si="10"/>
        <v>359.42500000000013</v>
      </c>
      <c r="O11" s="25">
        <f t="shared" si="10"/>
        <v>416.71699999999998</v>
      </c>
      <c r="P11" s="25">
        <f t="shared" si="10"/>
        <v>354.88599999999997</v>
      </c>
      <c r="Q11" s="25">
        <f t="shared" si="10"/>
        <v>479.11400000000003</v>
      </c>
      <c r="R11" s="25">
        <f t="shared" si="10"/>
        <v>453.30099999999993</v>
      </c>
      <c r="S11" s="25">
        <f t="shared" si="10"/>
        <v>469.35700000000003</v>
      </c>
      <c r="T11" s="25">
        <f>+T9+T10</f>
        <v>367.137</v>
      </c>
      <c r="U11" s="25">
        <f t="shared" ref="U11:Y11" si="11">+U9+U10</f>
        <v>390.30399999999997</v>
      </c>
      <c r="V11" s="25">
        <f t="shared" si="11"/>
        <v>370.40199999999993</v>
      </c>
      <c r="W11" s="25">
        <f t="shared" si="11"/>
        <v>455.1</v>
      </c>
      <c r="X11" s="25">
        <f t="shared" si="11"/>
        <v>361.3</v>
      </c>
      <c r="Y11" s="25">
        <f t="shared" si="11"/>
        <v>384.1</v>
      </c>
      <c r="Z11" s="25">
        <f>+Z9+Z10</f>
        <v>378.99999999999989</v>
      </c>
      <c r="AA11" s="25"/>
      <c r="AB11" s="25"/>
      <c r="AC11" s="25"/>
      <c r="AD11" s="25"/>
      <c r="AG11" s="25">
        <f t="shared" ref="AG11:AK11" si="12">+AG9+AG10</f>
        <v>1646.2359999999999</v>
      </c>
      <c r="AH11" s="25">
        <f t="shared" si="12"/>
        <v>1768.056</v>
      </c>
      <c r="AI11" s="25">
        <f t="shared" si="12"/>
        <v>1391.7640000000001</v>
      </c>
      <c r="AJ11" s="25">
        <f t="shared" si="12"/>
        <v>1704.018</v>
      </c>
      <c r="AK11" s="25">
        <f t="shared" si="12"/>
        <v>1597.1999999999998</v>
      </c>
      <c r="AL11" s="25">
        <f t="shared" ref="AL11" si="13">+AL9+AL10</f>
        <v>1579.5</v>
      </c>
    </row>
    <row r="12" spans="2:43" s="19" customFormat="1" x14ac:dyDescent="0.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G12" s="25"/>
      <c r="AH12" s="25"/>
      <c r="AI12" s="25"/>
      <c r="AJ12" s="25"/>
      <c r="AK12" s="25"/>
      <c r="AL12" s="25"/>
    </row>
    <row r="13" spans="2:43" s="19" customFormat="1" ht="14.4" x14ac:dyDescent="0.3">
      <c r="B13" s="29" t="s">
        <v>84</v>
      </c>
      <c r="C13" s="30"/>
      <c r="D13" s="30"/>
      <c r="E13" s="30"/>
      <c r="F13" s="30"/>
      <c r="G13" s="30">
        <f t="shared" ref="G13:W13" si="14">G11/C11-1</f>
        <v>2.6404725195594558E-2</v>
      </c>
      <c r="H13" s="30">
        <f t="shared" si="14"/>
        <v>8.595939329836777E-2</v>
      </c>
      <c r="I13" s="30">
        <f t="shared" si="14"/>
        <v>0.14176917559897184</v>
      </c>
      <c r="J13" s="30">
        <f t="shared" si="14"/>
        <v>4.9441608206375998E-2</v>
      </c>
      <c r="K13" s="30">
        <f t="shared" si="14"/>
        <v>0.10387237559073426</v>
      </c>
      <c r="L13" s="30">
        <f t="shared" si="14"/>
        <v>-0.67612188699421893</v>
      </c>
      <c r="M13" s="30">
        <f t="shared" si="14"/>
        <v>-0.15733133588626635</v>
      </c>
      <c r="N13" s="30">
        <f t="shared" si="14"/>
        <v>-0.18636658947420848</v>
      </c>
      <c r="O13" s="30">
        <f t="shared" si="14"/>
        <v>-0.18759589272102362</v>
      </c>
      <c r="P13" s="30">
        <f t="shared" si="14"/>
        <v>1.7505638529564487</v>
      </c>
      <c r="Q13" s="30">
        <f t="shared" si="14"/>
        <v>0.22732361100793352</v>
      </c>
      <c r="R13" s="30">
        <f t="shared" si="14"/>
        <v>0.26118383529248046</v>
      </c>
      <c r="S13" s="30">
        <f t="shared" si="14"/>
        <v>0.12632074045455322</v>
      </c>
      <c r="T13" s="30">
        <f t="shared" si="14"/>
        <v>3.4520944754090177E-2</v>
      </c>
      <c r="U13" s="30">
        <f t="shared" si="14"/>
        <v>-0.18536298250520766</v>
      </c>
      <c r="V13" s="30">
        <f t="shared" si="14"/>
        <v>-0.18287848471545398</v>
      </c>
      <c r="W13" s="30">
        <f t="shared" si="14"/>
        <v>-3.0375598957723016E-2</v>
      </c>
      <c r="X13" s="30">
        <f t="shared" ref="X13" si="15">X11/T11-1</f>
        <v>-1.5898697216570334E-2</v>
      </c>
      <c r="Y13" s="30">
        <f t="shared" ref="Y13" si="16">Y11/U11-1</f>
        <v>-1.5895302123472899E-2</v>
      </c>
      <c r="Z13" s="30">
        <f t="shared" ref="Z13" si="17">Z11/V11-1</f>
        <v>2.3212617642453193E-2</v>
      </c>
      <c r="AA13" s="30"/>
      <c r="AB13" s="30"/>
      <c r="AC13" s="30"/>
      <c r="AD13" s="30"/>
      <c r="AG13" s="31"/>
      <c r="AH13" s="31">
        <f>AH11/AG11-1</f>
        <v>7.3999110698587778E-2</v>
      </c>
      <c r="AI13" s="31">
        <f>AI11/AH11-1</f>
        <v>-0.21282810046740597</v>
      </c>
      <c r="AJ13" s="31">
        <f t="shared" ref="AJ13:AK13" si="18">AJ11/AI11-1</f>
        <v>0.22435844008035843</v>
      </c>
      <c r="AK13" s="31">
        <f t="shared" si="18"/>
        <v>-6.268595754270212E-2</v>
      </c>
      <c r="AL13" s="31">
        <f t="shared" ref="AL13" si="19">AL11/AK11-1</f>
        <v>-1.1081893313298119E-2</v>
      </c>
    </row>
    <row r="14" spans="2:43" s="1" customFormat="1" x14ac:dyDescent="0.25">
      <c r="B14" s="24"/>
      <c r="C14" s="12"/>
      <c r="D14" s="12"/>
      <c r="E14" s="12"/>
      <c r="F14" s="12"/>
      <c r="G14" s="12"/>
      <c r="H14" s="12"/>
      <c r="I14" s="12"/>
      <c r="J14" s="12"/>
      <c r="K14" s="12"/>
      <c r="L14" s="12"/>
      <c r="M14" s="12"/>
      <c r="N14" s="12"/>
      <c r="O14" s="12"/>
      <c r="P14" s="12"/>
      <c r="Q14" s="12"/>
      <c r="R14" s="12"/>
      <c r="S14" s="12"/>
      <c r="T14" s="12"/>
      <c r="U14" s="12"/>
      <c r="V14" s="18"/>
      <c r="W14" s="18"/>
      <c r="X14" s="18"/>
      <c r="Y14" s="18"/>
      <c r="Z14" s="18"/>
      <c r="AA14" s="18"/>
      <c r="AB14" s="18"/>
      <c r="AC14" s="18"/>
      <c r="AD14" s="18"/>
    </row>
    <row r="15" spans="2:43" s="1" customFormat="1" x14ac:dyDescent="0.25">
      <c r="B15" s="24" t="s">
        <v>74</v>
      </c>
      <c r="C15" s="12">
        <v>119.633</v>
      </c>
      <c r="D15" s="12">
        <v>108.693</v>
      </c>
      <c r="E15" s="12">
        <v>107.509</v>
      </c>
      <c r="F15" s="12">
        <f>464.953-SUM(C15:E15)</f>
        <v>129.11799999999999</v>
      </c>
      <c r="G15" s="12">
        <v>132.57499999999999</v>
      </c>
      <c r="H15" s="12">
        <v>115.736</v>
      </c>
      <c r="I15" s="12">
        <v>122.114</v>
      </c>
      <c r="J15" s="12">
        <f>498.043-SUM(G15:I15)</f>
        <v>127.61800000000005</v>
      </c>
      <c r="K15" s="12">
        <v>138.50299999999999</v>
      </c>
      <c r="L15" s="12">
        <v>24.1</v>
      </c>
      <c r="M15" s="12">
        <v>41.484000000000002</v>
      </c>
      <c r="N15" s="12">
        <f>291.88-SUM(K15:M15)</f>
        <v>87.793000000000006</v>
      </c>
      <c r="O15" s="12">
        <v>116.813</v>
      </c>
      <c r="P15" s="12">
        <v>79.506</v>
      </c>
      <c r="Q15" s="12">
        <v>83.174999999999997</v>
      </c>
      <c r="R15" s="12">
        <f>389.327-SUM(O15:Q15)</f>
        <v>109.83299999999997</v>
      </c>
      <c r="S15" s="12">
        <v>122.76300000000001</v>
      </c>
      <c r="T15" s="12">
        <v>107.285</v>
      </c>
      <c r="U15" s="12">
        <v>115.901</v>
      </c>
      <c r="V15" s="12">
        <f>458.3-SUM(S15:U15)</f>
        <v>112.351</v>
      </c>
      <c r="W15" s="12">
        <v>134</v>
      </c>
      <c r="X15" s="12">
        <v>112.3</v>
      </c>
      <c r="Y15" s="12">
        <v>125.6</v>
      </c>
      <c r="Z15" s="12">
        <f>485-SUM(W15:Y15)</f>
        <v>113.10000000000002</v>
      </c>
      <c r="AA15" s="12"/>
      <c r="AB15" s="12"/>
      <c r="AC15" s="12"/>
      <c r="AD15" s="12"/>
      <c r="AG15" s="2">
        <f t="shared" ref="AG15:AG16" si="20">SUM(C15:F15)</f>
        <v>464.95299999999997</v>
      </c>
      <c r="AH15" s="2">
        <f>SUM(G15:J15)</f>
        <v>498.04300000000001</v>
      </c>
      <c r="AI15" s="2">
        <f>SUM(K15:N15)</f>
        <v>291.88</v>
      </c>
      <c r="AJ15" s="2">
        <f>SUM(O15:R15)</f>
        <v>389.327</v>
      </c>
      <c r="AK15" s="2">
        <f>SUM(S15:V15)</f>
        <v>458.3</v>
      </c>
      <c r="AL15" s="2">
        <f>SUM(W15:Z15)</f>
        <v>485</v>
      </c>
    </row>
    <row r="16" spans="2:43" s="1" customFormat="1" x14ac:dyDescent="0.25">
      <c r="B16" s="24" t="s">
        <v>75</v>
      </c>
      <c r="C16" s="12">
        <v>114.133</v>
      </c>
      <c r="D16" s="12">
        <v>100.422</v>
      </c>
      <c r="E16" s="12">
        <v>88.075000000000003</v>
      </c>
      <c r="F16" s="12">
        <f>421.587-SUM(C16:E16)</f>
        <v>118.95699999999999</v>
      </c>
      <c r="G16" s="12">
        <v>119.943</v>
      </c>
      <c r="H16" s="12">
        <v>106.137</v>
      </c>
      <c r="I16" s="12">
        <v>90.891999999999996</v>
      </c>
      <c r="J16" s="12">
        <f>439.964-SUM(G16:I16)</f>
        <v>122.99200000000002</v>
      </c>
      <c r="K16" s="12">
        <v>109.1</v>
      </c>
      <c r="L16" s="12">
        <v>61.691000000000003</v>
      </c>
      <c r="M16" s="12">
        <v>81.430000000000007</v>
      </c>
      <c r="N16" s="12">
        <f>371.511-SUM(K16:M16)</f>
        <v>119.29000000000002</v>
      </c>
      <c r="O16" s="12">
        <v>116.10299999999999</v>
      </c>
      <c r="P16" s="12">
        <v>112.283</v>
      </c>
      <c r="Q16" s="12">
        <v>79.003</v>
      </c>
      <c r="R16" s="12">
        <f>445.322-SUM(O16:Q16)</f>
        <v>137.93299999999999</v>
      </c>
      <c r="S16" s="12">
        <v>135.642</v>
      </c>
      <c r="T16" s="12">
        <v>114.563</v>
      </c>
      <c r="U16" s="12">
        <v>104.745</v>
      </c>
      <c r="V16" s="12">
        <f>493.8-SUM(S16:U16)</f>
        <v>138.85000000000002</v>
      </c>
      <c r="W16" s="12">
        <v>155.5</v>
      </c>
      <c r="X16" s="12">
        <v>149.4</v>
      </c>
      <c r="Y16" s="12">
        <v>120.9</v>
      </c>
      <c r="Z16" s="12">
        <f>574.7-SUM(W16:Y16)</f>
        <v>148.90000000000009</v>
      </c>
      <c r="AA16" s="12"/>
      <c r="AB16" s="12"/>
      <c r="AC16" s="12"/>
      <c r="AD16" s="12"/>
      <c r="AG16" s="2">
        <f t="shared" si="20"/>
        <v>421.58699999999999</v>
      </c>
      <c r="AH16" s="2">
        <f>SUM(G16:J16)</f>
        <v>439.964</v>
      </c>
      <c r="AI16" s="2">
        <f>SUM(K16:N16)</f>
        <v>371.51100000000002</v>
      </c>
      <c r="AJ16" s="2">
        <f>SUM(O16:R16)</f>
        <v>445.322</v>
      </c>
      <c r="AK16" s="2">
        <f>SUM(S16:V16)</f>
        <v>493.8</v>
      </c>
      <c r="AL16" s="2">
        <f>SUM(W16:Z16)</f>
        <v>574.70000000000005</v>
      </c>
    </row>
    <row r="17" spans="1:43" s="19" customFormat="1" x14ac:dyDescent="0.25">
      <c r="B17" s="19" t="s">
        <v>76</v>
      </c>
      <c r="C17" s="25">
        <f t="shared" ref="C17:S17" si="21">+C15+C16</f>
        <v>233.76599999999999</v>
      </c>
      <c r="D17" s="25">
        <f t="shared" si="21"/>
        <v>209.11500000000001</v>
      </c>
      <c r="E17" s="25">
        <f t="shared" si="21"/>
        <v>195.584</v>
      </c>
      <c r="F17" s="25">
        <f t="shared" si="21"/>
        <v>248.07499999999999</v>
      </c>
      <c r="G17" s="25">
        <f t="shared" si="21"/>
        <v>252.51799999999997</v>
      </c>
      <c r="H17" s="25">
        <f t="shared" si="21"/>
        <v>221.87299999999999</v>
      </c>
      <c r="I17" s="25">
        <f t="shared" si="21"/>
        <v>213.006</v>
      </c>
      <c r="J17" s="25">
        <f t="shared" si="21"/>
        <v>250.61000000000007</v>
      </c>
      <c r="K17" s="25">
        <f t="shared" si="21"/>
        <v>247.60299999999998</v>
      </c>
      <c r="L17" s="25">
        <f t="shared" si="21"/>
        <v>85.790999999999997</v>
      </c>
      <c r="M17" s="25">
        <f t="shared" si="21"/>
        <v>122.91400000000002</v>
      </c>
      <c r="N17" s="25">
        <f t="shared" si="21"/>
        <v>207.08300000000003</v>
      </c>
      <c r="O17" s="25">
        <f t="shared" si="21"/>
        <v>232.916</v>
      </c>
      <c r="P17" s="25">
        <f t="shared" si="21"/>
        <v>191.78899999999999</v>
      </c>
      <c r="Q17" s="25">
        <f t="shared" si="21"/>
        <v>162.178</v>
      </c>
      <c r="R17" s="25">
        <f t="shared" si="21"/>
        <v>247.76599999999996</v>
      </c>
      <c r="S17" s="25">
        <f t="shared" si="21"/>
        <v>258.40499999999997</v>
      </c>
      <c r="T17" s="25">
        <f>+T15+T16</f>
        <v>221.84800000000001</v>
      </c>
      <c r="U17" s="25">
        <f t="shared" ref="U17:V17" si="22">+U15+U16</f>
        <v>220.64600000000002</v>
      </c>
      <c r="V17" s="25">
        <f t="shared" si="22"/>
        <v>251.20100000000002</v>
      </c>
      <c r="W17" s="25">
        <f t="shared" ref="W17:Z17" si="23">+W15+W16</f>
        <v>289.5</v>
      </c>
      <c r="X17" s="25">
        <f t="shared" si="23"/>
        <v>261.7</v>
      </c>
      <c r="Y17" s="25">
        <f t="shared" si="23"/>
        <v>246.5</v>
      </c>
      <c r="Z17" s="25">
        <f t="shared" si="23"/>
        <v>262.00000000000011</v>
      </c>
      <c r="AA17" s="25"/>
      <c r="AB17" s="25"/>
      <c r="AC17" s="25"/>
      <c r="AD17" s="25"/>
      <c r="AG17" s="25">
        <f t="shared" ref="AG17:AJ17" si="24">+AG15+AG16</f>
        <v>886.54</v>
      </c>
      <c r="AH17" s="25">
        <f t="shared" si="24"/>
        <v>938.00700000000006</v>
      </c>
      <c r="AI17" s="25">
        <f t="shared" si="24"/>
        <v>663.39100000000008</v>
      </c>
      <c r="AJ17" s="25">
        <f t="shared" si="24"/>
        <v>834.649</v>
      </c>
      <c r="AK17" s="25">
        <f>+AK15+AK16</f>
        <v>952.1</v>
      </c>
      <c r="AL17" s="25">
        <f t="shared" ref="AL17" si="25">+AL15+AL16</f>
        <v>1059.7</v>
      </c>
    </row>
    <row r="18" spans="1:43" s="19" customFormat="1" x14ac:dyDescent="0.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G18" s="25"/>
      <c r="AH18" s="25"/>
      <c r="AI18" s="25"/>
      <c r="AJ18" s="25"/>
      <c r="AK18" s="25"/>
      <c r="AL18" s="25"/>
    </row>
    <row r="19" spans="1:43" s="19" customFormat="1" ht="14.4" x14ac:dyDescent="0.3">
      <c r="B19" s="29" t="s">
        <v>85</v>
      </c>
      <c r="C19" s="30"/>
      <c r="D19" s="30"/>
      <c r="E19" s="30"/>
      <c r="F19" s="30"/>
      <c r="G19" s="30">
        <f t="shared" ref="G19:V19" si="26">G17/C17-1</f>
        <v>8.0216969105857849E-2</v>
      </c>
      <c r="H19" s="30">
        <f t="shared" si="26"/>
        <v>6.1009492384572983E-2</v>
      </c>
      <c r="I19" s="30">
        <f t="shared" si="26"/>
        <v>8.9076816099476375E-2</v>
      </c>
      <c r="J19" s="30">
        <f t="shared" si="26"/>
        <v>1.0218683865766742E-2</v>
      </c>
      <c r="K19" s="30">
        <f t="shared" si="26"/>
        <v>-1.9463959004902609E-2</v>
      </c>
      <c r="L19" s="30">
        <f t="shared" si="26"/>
        <v>-0.6133328525778261</v>
      </c>
      <c r="M19" s="30">
        <f t="shared" si="26"/>
        <v>-0.42295522191863133</v>
      </c>
      <c r="N19" s="30">
        <f t="shared" si="26"/>
        <v>-0.17368421052631589</v>
      </c>
      <c r="O19" s="30">
        <f t="shared" si="26"/>
        <v>-5.9316728795693052E-2</v>
      </c>
      <c r="P19" s="30">
        <f t="shared" si="26"/>
        <v>1.2355375272464477</v>
      </c>
      <c r="Q19" s="30">
        <f t="shared" si="26"/>
        <v>0.31944286248921983</v>
      </c>
      <c r="R19" s="30">
        <f t="shared" si="26"/>
        <v>0.19645745908645296</v>
      </c>
      <c r="S19" s="30">
        <f t="shared" si="26"/>
        <v>0.10943430249532016</v>
      </c>
      <c r="T19" s="30">
        <f t="shared" si="26"/>
        <v>0.15672953089071862</v>
      </c>
      <c r="U19" s="30">
        <f t="shared" si="26"/>
        <v>0.36051745612845165</v>
      </c>
      <c r="V19" s="30">
        <f t="shared" si="26"/>
        <v>1.3863887700491739E-2</v>
      </c>
      <c r="W19" s="30">
        <f t="shared" ref="W19" si="27">W17/S17-1</f>
        <v>0.12033435885528543</v>
      </c>
      <c r="X19" s="30">
        <f t="shared" ref="X19" si="28">X17/T17-1</f>
        <v>0.17963650787926855</v>
      </c>
      <c r="Y19" s="30">
        <f t="shared" ref="Y19" si="29">Y17/U17-1</f>
        <v>0.11717411600482208</v>
      </c>
      <c r="Z19" s="30">
        <f t="shared" ref="Z19" si="30">Z17/V17-1</f>
        <v>4.2989478545069959E-2</v>
      </c>
      <c r="AA19" s="30"/>
      <c r="AB19" s="30"/>
      <c r="AC19" s="30"/>
      <c r="AD19" s="30"/>
      <c r="AG19" s="31"/>
      <c r="AH19" s="31">
        <f>AH17/AG17-1</f>
        <v>5.8053782119250164E-2</v>
      </c>
      <c r="AI19" s="31">
        <f t="shared" ref="AI19:AL19" si="31">AI17/AH17-1</f>
        <v>-0.2927654058018756</v>
      </c>
      <c r="AJ19" s="31">
        <f t="shared" si="31"/>
        <v>0.25815544678779156</v>
      </c>
      <c r="AK19" s="31">
        <f t="shared" si="31"/>
        <v>0.14071903279102949</v>
      </c>
      <c r="AL19" s="31">
        <f t="shared" si="31"/>
        <v>0.11301333893498589</v>
      </c>
    </row>
    <row r="20" spans="1:43" s="1" customFormat="1" x14ac:dyDescent="0.25">
      <c r="B20" s="24"/>
      <c r="C20" s="12"/>
      <c r="D20" s="12"/>
      <c r="E20" s="12"/>
      <c r="F20" s="12"/>
      <c r="G20" s="12"/>
      <c r="H20" s="12"/>
      <c r="I20" s="12"/>
      <c r="J20" s="12"/>
      <c r="K20" s="12"/>
      <c r="L20" s="12"/>
      <c r="M20" s="12"/>
      <c r="N20" s="12"/>
      <c r="O20" s="12"/>
      <c r="P20" s="12"/>
      <c r="Q20" s="12"/>
      <c r="R20" s="12"/>
      <c r="S20" s="12"/>
      <c r="T20" s="12"/>
      <c r="U20" s="12"/>
      <c r="V20" s="18"/>
      <c r="W20" s="18"/>
      <c r="X20" s="18"/>
      <c r="Y20" s="18"/>
      <c r="Z20" s="18"/>
      <c r="AA20" s="18"/>
      <c r="AB20" s="18"/>
      <c r="AC20" s="18"/>
      <c r="AD20" s="18"/>
    </row>
    <row r="21" spans="1:43" s="1" customFormat="1" x14ac:dyDescent="0.25">
      <c r="B21" s="24" t="s">
        <v>77</v>
      </c>
      <c r="C21" s="12"/>
      <c r="D21" s="12"/>
      <c r="E21" s="12"/>
      <c r="F21" s="12"/>
      <c r="G21" s="12"/>
      <c r="H21" s="12"/>
      <c r="I21" s="12"/>
      <c r="J21" s="12"/>
      <c r="K21" s="12"/>
      <c r="L21" s="12"/>
      <c r="M21" s="12"/>
      <c r="N21" s="12">
        <f>154.435-SUM(K21:M21)</f>
        <v>154.435</v>
      </c>
      <c r="O21" s="12">
        <v>33.956000000000003</v>
      </c>
      <c r="P21" s="12">
        <v>52.414999999999999</v>
      </c>
      <c r="Q21" s="12">
        <v>51.551000000000002</v>
      </c>
      <c r="R21" s="12">
        <f>206.901-SUM(O21:Q21)</f>
        <v>68.978999999999985</v>
      </c>
      <c r="S21" s="12">
        <v>63.853999999999999</v>
      </c>
      <c r="T21" s="12">
        <v>74.872</v>
      </c>
      <c r="U21" s="12">
        <v>67.375</v>
      </c>
      <c r="V21" s="12">
        <f>297.9-SUM(S21:U21)</f>
        <v>91.798999999999978</v>
      </c>
      <c r="W21" s="12">
        <v>76.2</v>
      </c>
      <c r="X21" s="12">
        <v>63.8</v>
      </c>
      <c r="Y21" s="12">
        <v>69.099999999999994</v>
      </c>
      <c r="Z21" s="12">
        <f>279.8-SUM(W21:Y21)</f>
        <v>70.700000000000017</v>
      </c>
      <c r="AA21" s="12"/>
      <c r="AB21" s="12"/>
      <c r="AC21" s="12"/>
      <c r="AD21" s="12"/>
      <c r="AG21" s="2">
        <f t="shared" ref="AG21:AG22" si="32">SUM(C21:F21)</f>
        <v>0</v>
      </c>
      <c r="AH21" s="2">
        <f>SUM(G21:J21)</f>
        <v>0</v>
      </c>
      <c r="AI21" s="2">
        <f>SUM(K21:N21)</f>
        <v>154.435</v>
      </c>
      <c r="AJ21" s="2">
        <f>SUM(O21:R21)</f>
        <v>206.90100000000001</v>
      </c>
      <c r="AK21" s="2">
        <f>SUM(S21:V21)</f>
        <v>297.89999999999998</v>
      </c>
      <c r="AL21" s="2">
        <f>SUM(W21:Z21)</f>
        <v>279.8</v>
      </c>
    </row>
    <row r="22" spans="1:43" s="1" customFormat="1" x14ac:dyDescent="0.25">
      <c r="B22" s="24" t="s">
        <v>78</v>
      </c>
      <c r="C22" s="12"/>
      <c r="D22" s="12"/>
      <c r="E22" s="12"/>
      <c r="F22" s="12"/>
      <c r="G22" s="12"/>
      <c r="H22" s="12"/>
      <c r="I22" s="12"/>
      <c r="J22" s="12"/>
      <c r="K22" s="12"/>
      <c r="L22" s="12"/>
      <c r="M22" s="12"/>
      <c r="N22" s="12">
        <f>55.12-SUM(K22:M22)</f>
        <v>55.12</v>
      </c>
      <c r="O22" s="12">
        <v>15.891999999999999</v>
      </c>
      <c r="P22" s="12">
        <v>15.446</v>
      </c>
      <c r="Q22" s="12">
        <v>22.405999999999999</v>
      </c>
      <c r="R22" s="12">
        <f>83.542-SUM(O22:Q22)</f>
        <v>29.798000000000002</v>
      </c>
      <c r="S22" s="12">
        <v>34.094000000000001</v>
      </c>
      <c r="T22" s="12">
        <v>31.198</v>
      </c>
      <c r="U22" s="12">
        <v>33.743000000000002</v>
      </c>
      <c r="V22" s="12">
        <f>134-SUM(S22:U22)</f>
        <v>34.965000000000003</v>
      </c>
      <c r="W22" s="12">
        <v>45.1</v>
      </c>
      <c r="X22" s="12">
        <v>41.1</v>
      </c>
      <c r="Y22" s="12">
        <v>44.6</v>
      </c>
      <c r="Z22" s="12">
        <f>173.1-SUM(W22:Y22)</f>
        <v>42.299999999999983</v>
      </c>
      <c r="AA22" s="12"/>
      <c r="AB22" s="12"/>
      <c r="AC22" s="12"/>
      <c r="AD22" s="12"/>
      <c r="AG22" s="2">
        <f t="shared" si="32"/>
        <v>0</v>
      </c>
      <c r="AH22" s="2">
        <f>SUM(G22:J22)</f>
        <v>0</v>
      </c>
      <c r="AI22" s="2">
        <f>SUM(K22:N22)</f>
        <v>55.12</v>
      </c>
      <c r="AJ22" s="2">
        <f>SUM(O22:R22)</f>
        <v>83.542000000000002</v>
      </c>
      <c r="AK22" s="2">
        <f>SUM(S22:V22)</f>
        <v>134</v>
      </c>
      <c r="AL22" s="2">
        <f>SUM(W22:Z22)</f>
        <v>173.1</v>
      </c>
    </row>
    <row r="23" spans="1:43" s="19" customFormat="1" x14ac:dyDescent="0.25">
      <c r="B23" s="19" t="s">
        <v>79</v>
      </c>
      <c r="C23" s="25">
        <f t="shared" ref="C23:S23" si="33">+C21+C22</f>
        <v>0</v>
      </c>
      <c r="D23" s="25">
        <f t="shared" si="33"/>
        <v>0</v>
      </c>
      <c r="E23" s="25">
        <f t="shared" si="33"/>
        <v>0</v>
      </c>
      <c r="F23" s="25">
        <f t="shared" si="33"/>
        <v>0</v>
      </c>
      <c r="G23" s="25">
        <f t="shared" si="33"/>
        <v>0</v>
      </c>
      <c r="H23" s="25">
        <f t="shared" si="33"/>
        <v>0</v>
      </c>
      <c r="I23" s="25">
        <f t="shared" si="33"/>
        <v>0</v>
      </c>
      <c r="J23" s="25">
        <f t="shared" si="33"/>
        <v>0</v>
      </c>
      <c r="K23" s="25">
        <f t="shared" si="33"/>
        <v>0</v>
      </c>
      <c r="L23" s="25">
        <f t="shared" si="33"/>
        <v>0</v>
      </c>
      <c r="M23" s="25">
        <f t="shared" si="33"/>
        <v>0</v>
      </c>
      <c r="N23" s="25">
        <f t="shared" si="33"/>
        <v>209.55500000000001</v>
      </c>
      <c r="O23" s="25">
        <f t="shared" si="33"/>
        <v>49.847999999999999</v>
      </c>
      <c r="P23" s="25">
        <f t="shared" si="33"/>
        <v>67.861000000000004</v>
      </c>
      <c r="Q23" s="25">
        <f t="shared" si="33"/>
        <v>73.956999999999994</v>
      </c>
      <c r="R23" s="25">
        <f t="shared" si="33"/>
        <v>98.776999999999987</v>
      </c>
      <c r="S23" s="25">
        <f t="shared" si="33"/>
        <v>97.948000000000008</v>
      </c>
      <c r="T23" s="25">
        <f>+T21+T22</f>
        <v>106.07</v>
      </c>
      <c r="U23" s="25">
        <f t="shared" ref="U23" si="34">+U21+U22</f>
        <v>101.11799999999999</v>
      </c>
      <c r="V23" s="25">
        <f>+V21+V22</f>
        <v>126.76399999999998</v>
      </c>
      <c r="W23" s="25">
        <f t="shared" ref="W23:Z23" si="35">+W21+W22</f>
        <v>121.30000000000001</v>
      </c>
      <c r="X23" s="25">
        <f t="shared" si="35"/>
        <v>104.9</v>
      </c>
      <c r="Y23" s="25">
        <f t="shared" si="35"/>
        <v>113.69999999999999</v>
      </c>
      <c r="Z23" s="25">
        <f t="shared" si="35"/>
        <v>113</v>
      </c>
      <c r="AA23" s="25"/>
      <c r="AB23" s="25"/>
      <c r="AC23" s="25"/>
      <c r="AD23" s="25"/>
      <c r="AG23" s="25">
        <f t="shared" ref="AG23:AK23" si="36">+AG21+AG22</f>
        <v>0</v>
      </c>
      <c r="AH23" s="25">
        <f t="shared" si="36"/>
        <v>0</v>
      </c>
      <c r="AI23" s="25">
        <f t="shared" si="36"/>
        <v>209.55500000000001</v>
      </c>
      <c r="AJ23" s="25">
        <f t="shared" si="36"/>
        <v>290.44299999999998</v>
      </c>
      <c r="AK23" s="25">
        <f t="shared" si="36"/>
        <v>431.9</v>
      </c>
      <c r="AL23" s="25">
        <f t="shared" ref="AL23" si="37">+AL21+AL22</f>
        <v>452.9</v>
      </c>
    </row>
    <row r="24" spans="1:43" s="19" customFormat="1" x14ac:dyDescent="0.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G24" s="25"/>
      <c r="AH24" s="25"/>
      <c r="AI24" s="25"/>
      <c r="AJ24" s="25"/>
      <c r="AK24" s="25"/>
      <c r="AL24" s="25"/>
    </row>
    <row r="25" spans="1:43" s="29" customFormat="1" ht="14.4" x14ac:dyDescent="0.3">
      <c r="B25" s="29" t="s">
        <v>86</v>
      </c>
      <c r="C25" s="30"/>
      <c r="D25" s="30"/>
      <c r="E25" s="30"/>
      <c r="F25" s="30"/>
      <c r="G25" s="30" t="e">
        <f t="shared" ref="G25:V25" si="38">G23/C23-1</f>
        <v>#DIV/0!</v>
      </c>
      <c r="H25" s="30" t="e">
        <f t="shared" si="38"/>
        <v>#DIV/0!</v>
      </c>
      <c r="I25" s="30" t="e">
        <f t="shared" si="38"/>
        <v>#DIV/0!</v>
      </c>
      <c r="J25" s="30" t="e">
        <f t="shared" si="38"/>
        <v>#DIV/0!</v>
      </c>
      <c r="K25" s="30" t="e">
        <f t="shared" si="38"/>
        <v>#DIV/0!</v>
      </c>
      <c r="L25" s="30" t="e">
        <f t="shared" si="38"/>
        <v>#DIV/0!</v>
      </c>
      <c r="M25" s="30" t="e">
        <f t="shared" si="38"/>
        <v>#DIV/0!</v>
      </c>
      <c r="N25" s="30" t="e">
        <f t="shared" si="38"/>
        <v>#DIV/0!</v>
      </c>
      <c r="O25" s="30" t="e">
        <f t="shared" si="38"/>
        <v>#DIV/0!</v>
      </c>
      <c r="P25" s="30" t="e">
        <f t="shared" si="38"/>
        <v>#DIV/0!</v>
      </c>
      <c r="Q25" s="30" t="e">
        <f t="shared" si="38"/>
        <v>#DIV/0!</v>
      </c>
      <c r="R25" s="30">
        <f t="shared" si="38"/>
        <v>-0.52863448736608531</v>
      </c>
      <c r="S25" s="30">
        <f t="shared" si="38"/>
        <v>0.96493339752848684</v>
      </c>
      <c r="T25" s="30">
        <f t="shared" si="38"/>
        <v>0.56304799516659032</v>
      </c>
      <c r="U25" s="30">
        <f t="shared" si="38"/>
        <v>0.36725394485985108</v>
      </c>
      <c r="V25" s="30">
        <f t="shared" si="38"/>
        <v>0.28333518936594548</v>
      </c>
      <c r="W25" s="30">
        <f t="shared" ref="W25" si="39">W23/S23-1</f>
        <v>0.23841221872830487</v>
      </c>
      <c r="X25" s="30">
        <f t="shared" ref="X25" si="40">X23/T23-1</f>
        <v>-1.103045158857352E-2</v>
      </c>
      <c r="Y25" s="30">
        <f t="shared" ref="Y25" si="41">Y23/U23-1</f>
        <v>0.12442888506497352</v>
      </c>
      <c r="Z25" s="30">
        <f t="shared" ref="Z25" si="42">Z23/V23-1</f>
        <v>-0.10857972294973328</v>
      </c>
      <c r="AA25" s="30"/>
      <c r="AB25" s="30"/>
      <c r="AC25" s="30"/>
      <c r="AD25" s="30"/>
      <c r="AG25" s="31"/>
      <c r="AH25" s="31" t="e">
        <f>AH23/AG23-1</f>
        <v>#DIV/0!</v>
      </c>
      <c r="AI25" s="31" t="e">
        <f t="shared" ref="AI25:AK25" si="43">AI23/AH23-1</f>
        <v>#DIV/0!</v>
      </c>
      <c r="AJ25" s="31">
        <f t="shared" si="43"/>
        <v>0.38599890243611457</v>
      </c>
      <c r="AK25" s="31">
        <f t="shared" si="43"/>
        <v>0.48703876492117204</v>
      </c>
      <c r="AL25" s="31">
        <f t="shared" ref="AL25" si="44">AL23/AK23-1</f>
        <v>4.8622366288492813E-2</v>
      </c>
    </row>
    <row r="26" spans="1:43" s="19" customFormat="1" x14ac:dyDescent="0.25">
      <c r="C26" s="25"/>
      <c r="D26" s="25"/>
      <c r="E26" s="25"/>
      <c r="F26" s="25"/>
      <c r="G26" s="25"/>
      <c r="H26" s="25"/>
      <c r="I26" s="25"/>
      <c r="J26" s="25"/>
      <c r="K26" s="25"/>
      <c r="L26" s="25"/>
      <c r="M26" s="25"/>
      <c r="N26" s="25"/>
      <c r="O26" s="25"/>
      <c r="P26" s="25"/>
      <c r="Q26" s="25"/>
      <c r="R26" s="25"/>
      <c r="S26" s="25"/>
      <c r="T26" s="25"/>
      <c r="U26" s="26"/>
      <c r="V26" s="26"/>
      <c r="W26" s="26"/>
      <c r="X26" s="26"/>
      <c r="Y26" s="26"/>
      <c r="Z26" s="26"/>
      <c r="AA26" s="26"/>
      <c r="AB26" s="26"/>
      <c r="AC26" s="26"/>
      <c r="AD26" s="26"/>
    </row>
    <row r="27" spans="1:43" s="19" customFormat="1" x14ac:dyDescent="0.25">
      <c r="B27" s="19" t="s">
        <v>81</v>
      </c>
      <c r="C27" s="25">
        <f t="shared" ref="C27:S27" si="45">C3+C9+C15+C21</f>
        <v>828.24</v>
      </c>
      <c r="D27" s="25">
        <f t="shared" si="45"/>
        <v>785.95399999999995</v>
      </c>
      <c r="E27" s="25">
        <f t="shared" si="45"/>
        <v>934.11199999999997</v>
      </c>
      <c r="F27" s="25">
        <f t="shared" si="45"/>
        <v>1051.8609999999999</v>
      </c>
      <c r="G27" s="25">
        <f t="shared" si="45"/>
        <v>869.30899999999997</v>
      </c>
      <c r="H27" s="25">
        <f t="shared" si="45"/>
        <v>811.67399999999998</v>
      </c>
      <c r="I27" s="25">
        <f t="shared" si="45"/>
        <v>942.81200000000013</v>
      </c>
      <c r="J27" s="25">
        <f t="shared" si="45"/>
        <v>1036.7240000000002</v>
      </c>
      <c r="K27" s="25">
        <f t="shared" si="45"/>
        <v>876.32399999999984</v>
      </c>
      <c r="L27" s="25">
        <f t="shared" si="45"/>
        <v>300.726</v>
      </c>
      <c r="M27" s="25">
        <f t="shared" si="45"/>
        <v>668.79000000000008</v>
      </c>
      <c r="N27" s="25">
        <f t="shared" si="45"/>
        <v>877.46499999999992</v>
      </c>
      <c r="O27" s="25">
        <f t="shared" si="45"/>
        <v>838.75900000000001</v>
      </c>
      <c r="P27" s="25">
        <f t="shared" si="45"/>
        <v>802.48399999999992</v>
      </c>
      <c r="Q27" s="25">
        <f t="shared" si="45"/>
        <v>970.71600000000001</v>
      </c>
      <c r="R27" s="25">
        <f t="shared" si="45"/>
        <v>1049.4429999999998</v>
      </c>
      <c r="S27" s="25">
        <f t="shared" si="45"/>
        <v>963.07</v>
      </c>
      <c r="T27" s="25">
        <f>T3+T9+T15+T21</f>
        <v>920.49199999999996</v>
      </c>
      <c r="U27" s="25">
        <f t="shared" ref="U27:V27" si="46">U3+U9+U15+U21</f>
        <v>980.96999999999991</v>
      </c>
      <c r="V27" s="25">
        <f t="shared" si="46"/>
        <v>965.16799999999967</v>
      </c>
      <c r="W27" s="25">
        <f t="shared" ref="W27:Z27" si="47">W3+W9+W15+W21</f>
        <v>984.90000000000009</v>
      </c>
      <c r="X27" s="25">
        <f t="shared" si="47"/>
        <v>715.3</v>
      </c>
      <c r="Y27" s="25">
        <f t="shared" si="47"/>
        <v>902.10000000000014</v>
      </c>
      <c r="Z27" s="25">
        <f t="shared" si="47"/>
        <v>948.6</v>
      </c>
      <c r="AA27" s="25"/>
      <c r="AB27" s="25"/>
      <c r="AC27" s="25"/>
      <c r="AD27" s="25"/>
      <c r="AG27" s="25">
        <f t="shared" ref="AG27:AI27" si="48">AG3+AG9+AG15+AG21</f>
        <v>3600.1669999999999</v>
      </c>
      <c r="AH27" s="25">
        <f t="shared" si="48"/>
        <v>3660.5190000000002</v>
      </c>
      <c r="AI27" s="25">
        <f t="shared" si="48"/>
        <v>2723.3049999999998</v>
      </c>
      <c r="AJ27" s="25">
        <f t="shared" ref="AJ27:AL28" si="49">AJ3+AJ9+AJ15+AJ21</f>
        <v>3661.402</v>
      </c>
      <c r="AK27" s="25">
        <f t="shared" si="49"/>
        <v>3829.7000000000003</v>
      </c>
      <c r="AL27" s="25">
        <f t="shared" si="49"/>
        <v>3550.9000000000005</v>
      </c>
    </row>
    <row r="28" spans="1:43" s="19" customFormat="1" x14ac:dyDescent="0.25">
      <c r="B28" s="19" t="s">
        <v>82</v>
      </c>
      <c r="C28" s="25">
        <f t="shared" ref="C28:S28" si="50">C4+C10+C16+C22</f>
        <v>515.44500000000005</v>
      </c>
      <c r="D28" s="25">
        <f t="shared" si="50"/>
        <v>459.78800000000001</v>
      </c>
      <c r="E28" s="25">
        <f t="shared" si="50"/>
        <v>460.041</v>
      </c>
      <c r="F28" s="25">
        <f t="shared" si="50"/>
        <v>539.99900000000002</v>
      </c>
      <c r="G28" s="25">
        <f t="shared" si="50"/>
        <v>565.149</v>
      </c>
      <c r="H28" s="25">
        <f t="shared" si="50"/>
        <v>501.26600000000002</v>
      </c>
      <c r="I28" s="25">
        <f t="shared" si="50"/>
        <v>504.26900000000001</v>
      </c>
      <c r="J28" s="25">
        <f t="shared" si="50"/>
        <v>531.88400000000001</v>
      </c>
      <c r="K28" s="25">
        <f t="shared" si="50"/>
        <v>629.80200000000002</v>
      </c>
      <c r="L28" s="25">
        <f t="shared" si="50"/>
        <v>196.816</v>
      </c>
      <c r="M28" s="25">
        <f t="shared" si="50"/>
        <v>394.29500000000002</v>
      </c>
      <c r="N28" s="25">
        <f t="shared" si="50"/>
        <v>508.39100000000002</v>
      </c>
      <c r="O28" s="25">
        <f t="shared" si="50"/>
        <v>466.84299999999996</v>
      </c>
      <c r="P28" s="25">
        <f t="shared" si="50"/>
        <v>473.48700000000008</v>
      </c>
      <c r="Q28" s="25">
        <f t="shared" si="50"/>
        <v>526.86599999999999</v>
      </c>
      <c r="R28" s="25">
        <f t="shared" si="50"/>
        <v>635.33799999999997</v>
      </c>
      <c r="S28" s="25">
        <f t="shared" si="50"/>
        <v>628.49199999999996</v>
      </c>
      <c r="T28" s="25">
        <f>T4+T10+T16+T22</f>
        <v>550.65700000000004</v>
      </c>
      <c r="U28" s="25">
        <f t="shared" ref="U28:V28" si="51">U4+U10+U16+U22</f>
        <v>536.18000000000006</v>
      </c>
      <c r="V28" s="25">
        <f t="shared" si="51"/>
        <v>623.57100000000003</v>
      </c>
      <c r="W28" s="25">
        <f t="shared" ref="W28:Z28" si="52">W4+W10+W16+W22</f>
        <v>704</v>
      </c>
      <c r="X28" s="25">
        <f t="shared" si="52"/>
        <v>621.5</v>
      </c>
      <c r="Y28" s="25">
        <f t="shared" si="52"/>
        <v>608.90000000000009</v>
      </c>
      <c r="Z28" s="25">
        <f t="shared" si="52"/>
        <v>693.7</v>
      </c>
      <c r="AA28" s="25"/>
      <c r="AB28" s="25"/>
      <c r="AC28" s="25"/>
      <c r="AD28" s="25"/>
      <c r="AG28" s="25">
        <f t="shared" ref="AG28:AI28" si="53">AG4+AG10+AG16+AG22</f>
        <v>1975.2730000000001</v>
      </c>
      <c r="AH28" s="25">
        <f t="shared" si="53"/>
        <v>2102.5680000000002</v>
      </c>
      <c r="AI28" s="25">
        <f t="shared" si="53"/>
        <v>1729.3039999999999</v>
      </c>
      <c r="AJ28" s="25">
        <f t="shared" si="49"/>
        <v>2102.5340000000001</v>
      </c>
      <c r="AK28" s="25">
        <f t="shared" si="49"/>
        <v>2338.9</v>
      </c>
      <c r="AL28" s="25">
        <f t="shared" si="49"/>
        <v>2628.1</v>
      </c>
    </row>
    <row r="29" spans="1:43" s="19" customFormat="1" x14ac:dyDescent="0.25">
      <c r="B29" s="24"/>
      <c r="C29" s="25"/>
      <c r="D29" s="25"/>
      <c r="E29" s="25"/>
      <c r="F29" s="25"/>
      <c r="G29" s="25"/>
      <c r="H29" s="25"/>
      <c r="I29" s="25"/>
      <c r="J29" s="25"/>
      <c r="K29" s="25"/>
      <c r="L29" s="25"/>
      <c r="M29" s="25"/>
      <c r="N29" s="25"/>
      <c r="O29" s="25"/>
      <c r="P29" s="25"/>
      <c r="Q29" s="25"/>
      <c r="R29" s="25"/>
      <c r="S29" s="25"/>
      <c r="T29" s="25"/>
      <c r="U29" s="26"/>
      <c r="V29" s="26"/>
      <c r="W29" s="26"/>
      <c r="X29" s="26"/>
      <c r="Y29" s="26"/>
      <c r="Z29" s="26"/>
      <c r="AA29" s="26"/>
      <c r="AB29" s="26"/>
      <c r="AC29" s="26"/>
      <c r="AD29" s="26"/>
    </row>
    <row r="30" spans="1:43" s="20" customFormat="1" x14ac:dyDescent="0.25">
      <c r="A30" s="19"/>
      <c r="B30" s="19" t="s">
        <v>80</v>
      </c>
      <c r="C30" s="20">
        <f t="shared" ref="C30:S30" si="54">C27+C28</f>
        <v>1343.6849999999999</v>
      </c>
      <c r="D30" s="20">
        <f t="shared" si="54"/>
        <v>1245.742</v>
      </c>
      <c r="E30" s="20">
        <f t="shared" si="54"/>
        <v>1394.153</v>
      </c>
      <c r="F30" s="20">
        <f t="shared" si="54"/>
        <v>1591.86</v>
      </c>
      <c r="G30" s="20">
        <f t="shared" si="54"/>
        <v>1434.4580000000001</v>
      </c>
      <c r="H30" s="20">
        <f t="shared" si="54"/>
        <v>1312.94</v>
      </c>
      <c r="I30" s="20">
        <f t="shared" si="54"/>
        <v>1447.0810000000001</v>
      </c>
      <c r="J30" s="20">
        <f t="shared" si="54"/>
        <v>1568.6080000000002</v>
      </c>
      <c r="K30" s="20">
        <f t="shared" si="54"/>
        <v>1506.1259999999997</v>
      </c>
      <c r="L30" s="20">
        <f t="shared" si="54"/>
        <v>497.54200000000003</v>
      </c>
      <c r="M30" s="20">
        <f t="shared" si="54"/>
        <v>1063.085</v>
      </c>
      <c r="N30" s="20">
        <f t="shared" si="54"/>
        <v>1385.856</v>
      </c>
      <c r="O30" s="20">
        <f t="shared" si="54"/>
        <v>1305.6019999999999</v>
      </c>
      <c r="P30" s="20">
        <f t="shared" si="54"/>
        <v>1275.971</v>
      </c>
      <c r="Q30" s="20">
        <f t="shared" si="54"/>
        <v>1497.5819999999999</v>
      </c>
      <c r="R30" s="20">
        <f t="shared" si="54"/>
        <v>1684.7809999999997</v>
      </c>
      <c r="S30" s="20">
        <f t="shared" si="54"/>
        <v>1591.5619999999999</v>
      </c>
      <c r="T30" s="20">
        <f>T27+T28</f>
        <v>1471.1489999999999</v>
      </c>
      <c r="U30" s="20">
        <f>U27+U28</f>
        <v>1517.15</v>
      </c>
      <c r="V30" s="20">
        <f>V27+V28</f>
        <v>1588.7389999999996</v>
      </c>
      <c r="W30" s="20">
        <f>W27+W28</f>
        <v>1688.9</v>
      </c>
      <c r="X30" s="20">
        <f t="shared" ref="X30:Z30" si="55">X27+X28</f>
        <v>1336.8</v>
      </c>
      <c r="Y30" s="20">
        <f t="shared" si="55"/>
        <v>1511.0000000000002</v>
      </c>
      <c r="Z30" s="20">
        <f t="shared" si="55"/>
        <v>1642.3000000000002</v>
      </c>
      <c r="AG30" s="20">
        <f t="shared" ref="AG30:AI30" si="56">AG27+AG28</f>
        <v>5575.4400000000005</v>
      </c>
      <c r="AH30" s="20">
        <f t="shared" si="56"/>
        <v>5763.0870000000004</v>
      </c>
      <c r="AI30" s="20">
        <f t="shared" si="56"/>
        <v>4452.6089999999995</v>
      </c>
      <c r="AJ30" s="20">
        <f>AJ27+AJ28</f>
        <v>5763.9359999999997</v>
      </c>
      <c r="AK30" s="20">
        <f>AK27+AK28</f>
        <v>6168.6</v>
      </c>
      <c r="AL30" s="20">
        <f>AL27+AL28</f>
        <v>6179</v>
      </c>
      <c r="AM30" s="20">
        <f>AL30*1.03</f>
        <v>6364.37</v>
      </c>
      <c r="AN30" s="20">
        <f t="shared" ref="AN30:AQ30" si="57">AM30*1.03</f>
        <v>6555.3010999999997</v>
      </c>
      <c r="AO30" s="20">
        <f t="shared" si="57"/>
        <v>6751.9601329999996</v>
      </c>
      <c r="AP30" s="20">
        <f t="shared" si="57"/>
        <v>6954.5189369899999</v>
      </c>
      <c r="AQ30" s="20">
        <f t="shared" si="57"/>
        <v>7163.1545050997001</v>
      </c>
    </row>
    <row r="31" spans="1:43" x14ac:dyDescent="0.25">
      <c r="B31" s="1" t="s">
        <v>10</v>
      </c>
      <c r="C31" s="2">
        <v>605.56100000000004</v>
      </c>
      <c r="D31" s="2">
        <v>574.86500000000001</v>
      </c>
      <c r="E31" s="2">
        <v>652.59100000000001</v>
      </c>
      <c r="F31" s="2">
        <f>AG31-SUM(C31:E31)</f>
        <v>744.44800000000032</v>
      </c>
      <c r="G31" s="2">
        <v>651.65</v>
      </c>
      <c r="H31" s="2">
        <v>612.51700000000005</v>
      </c>
      <c r="I31" s="2">
        <v>680.33500000000004</v>
      </c>
      <c r="J31" s="2">
        <f>AH31-SUM(G31:I31)</f>
        <v>717.21199999999999</v>
      </c>
      <c r="K31" s="2">
        <v>666.79899999999998</v>
      </c>
      <c r="L31" s="2">
        <v>327.89</v>
      </c>
      <c r="M31" s="2">
        <v>485.68700000000001</v>
      </c>
      <c r="N31" s="2">
        <v>619.30899999999997</v>
      </c>
      <c r="O31" s="2">
        <v>545.57299999999998</v>
      </c>
      <c r="P31" s="2">
        <v>525.77</v>
      </c>
      <c r="Q31" s="2">
        <v>635.42700000000002</v>
      </c>
      <c r="R31" s="2">
        <v>710.45500000000004</v>
      </c>
      <c r="S31" s="2">
        <v>647.95399999999995</v>
      </c>
      <c r="T31" s="2">
        <v>616.12599999999998</v>
      </c>
      <c r="U31" s="2">
        <v>654.26900000000001</v>
      </c>
      <c r="V31" s="2">
        <v>701.4</v>
      </c>
      <c r="W31" s="2">
        <v>746.6</v>
      </c>
      <c r="X31" s="2">
        <v>552.6</v>
      </c>
      <c r="Y31" s="2">
        <v>671.5</v>
      </c>
      <c r="Z31" s="2">
        <v>692.6</v>
      </c>
      <c r="AG31" s="2">
        <v>2577.4650000000001</v>
      </c>
      <c r="AH31" s="2">
        <v>2661.7139999999999</v>
      </c>
      <c r="AI31" s="2">
        <f>SUM(K31:N31)</f>
        <v>2099.6849999999999</v>
      </c>
      <c r="AJ31" s="2">
        <f>SUM(O31:R31)</f>
        <v>2417.2249999999999</v>
      </c>
      <c r="AK31" s="2">
        <f>SUM(S31:V31)</f>
        <v>2619.7489999999998</v>
      </c>
      <c r="AL31" s="23">
        <f>SUM(W31:Z31)</f>
        <v>2663.3</v>
      </c>
      <c r="AM31" s="23">
        <f>AL31*1.02</f>
        <v>2716.5660000000003</v>
      </c>
      <c r="AN31" s="23">
        <f t="shared" ref="AN31:AQ31" si="58">AM31*1.02</f>
        <v>2770.8973200000005</v>
      </c>
      <c r="AO31" s="23">
        <f t="shared" si="58"/>
        <v>2826.3152664000004</v>
      </c>
      <c r="AP31" s="23">
        <f t="shared" si="58"/>
        <v>2882.8415717280004</v>
      </c>
      <c r="AQ31" s="23">
        <f t="shared" si="58"/>
        <v>2940.4984031625604</v>
      </c>
    </row>
    <row r="32" spans="1:43" s="20" customFormat="1" x14ac:dyDescent="0.25">
      <c r="A32" s="19"/>
      <c r="B32" s="19" t="s">
        <v>11</v>
      </c>
      <c r="C32" s="20">
        <f t="shared" ref="C32:Z32" si="59">+C30-C31</f>
        <v>738.12399999999991</v>
      </c>
      <c r="D32" s="20">
        <f t="shared" si="59"/>
        <v>670.87699999999995</v>
      </c>
      <c r="E32" s="20">
        <f t="shared" si="59"/>
        <v>741.56200000000001</v>
      </c>
      <c r="F32" s="20">
        <f t="shared" si="59"/>
        <v>847.41199999999958</v>
      </c>
      <c r="G32" s="20">
        <f t="shared" si="59"/>
        <v>782.80800000000011</v>
      </c>
      <c r="H32" s="20">
        <f t="shared" si="59"/>
        <v>700.423</v>
      </c>
      <c r="I32" s="20">
        <f t="shared" si="59"/>
        <v>766.74600000000009</v>
      </c>
      <c r="J32" s="20">
        <f t="shared" si="59"/>
        <v>851.39600000000019</v>
      </c>
      <c r="K32" s="20">
        <f t="shared" si="59"/>
        <v>839.32699999999977</v>
      </c>
      <c r="L32" s="20">
        <f t="shared" si="59"/>
        <v>169.65200000000004</v>
      </c>
      <c r="M32" s="20">
        <f t="shared" si="59"/>
        <v>577.39800000000002</v>
      </c>
      <c r="N32" s="20">
        <f t="shared" si="59"/>
        <v>766.54700000000003</v>
      </c>
      <c r="O32" s="20">
        <f>+O30-O31</f>
        <v>760.02899999999988</v>
      </c>
      <c r="P32" s="20">
        <f t="shared" si="59"/>
        <v>750.20100000000002</v>
      </c>
      <c r="Q32" s="20">
        <f t="shared" si="59"/>
        <v>862.15499999999986</v>
      </c>
      <c r="R32" s="20">
        <f t="shared" si="59"/>
        <v>974.32599999999968</v>
      </c>
      <c r="S32" s="20">
        <f t="shared" ref="S32" si="60">+S30-S31</f>
        <v>943.60799999999995</v>
      </c>
      <c r="T32" s="20">
        <f t="shared" si="59"/>
        <v>855.02299999999991</v>
      </c>
      <c r="U32" s="20">
        <f t="shared" si="59"/>
        <v>862.88100000000009</v>
      </c>
      <c r="V32" s="20">
        <f t="shared" si="59"/>
        <v>887.3389999999996</v>
      </c>
      <c r="W32" s="20">
        <f t="shared" si="59"/>
        <v>942.30000000000007</v>
      </c>
      <c r="X32" s="20">
        <f t="shared" si="59"/>
        <v>784.19999999999993</v>
      </c>
      <c r="Y32" s="20">
        <f t="shared" si="59"/>
        <v>839.50000000000023</v>
      </c>
      <c r="Z32" s="20">
        <f t="shared" si="59"/>
        <v>949.70000000000016</v>
      </c>
      <c r="AG32" s="20">
        <f t="shared" ref="AG32:AQ32" si="61">+AG30-AG31</f>
        <v>2997.9750000000004</v>
      </c>
      <c r="AH32" s="20">
        <f t="shared" si="61"/>
        <v>3101.3730000000005</v>
      </c>
      <c r="AI32" s="20">
        <f>+AI30-AI31</f>
        <v>2352.9239999999995</v>
      </c>
      <c r="AJ32" s="20">
        <f>+AJ30-AJ31</f>
        <v>3346.7109999999998</v>
      </c>
      <c r="AK32" s="20">
        <f>+AK30-AK31</f>
        <v>3548.8510000000006</v>
      </c>
      <c r="AL32" s="20">
        <f>+AL30-AL31</f>
        <v>3515.7</v>
      </c>
      <c r="AM32" s="20">
        <f t="shared" si="61"/>
        <v>3647.8039999999996</v>
      </c>
      <c r="AN32" s="20">
        <f t="shared" si="61"/>
        <v>3784.4037799999992</v>
      </c>
      <c r="AO32" s="20">
        <f t="shared" si="61"/>
        <v>3925.6448665999992</v>
      </c>
      <c r="AP32" s="20">
        <f t="shared" si="61"/>
        <v>4071.6773652619995</v>
      </c>
      <c r="AQ32" s="20">
        <f t="shared" si="61"/>
        <v>4222.6561019371402</v>
      </c>
    </row>
    <row r="33" spans="1:310" x14ac:dyDescent="0.25">
      <c r="B33" s="1" t="s">
        <v>12</v>
      </c>
      <c r="C33" s="2">
        <v>564.02499999999998</v>
      </c>
      <c r="D33" s="2">
        <v>594.35299999999995</v>
      </c>
      <c r="E33" s="2">
        <v>582.95299999999997</v>
      </c>
      <c r="F33" s="2">
        <f>AG33-SUM(C33:E33)</f>
        <v>716.23299999999995</v>
      </c>
      <c r="G33" s="2">
        <v>581.89599999999996</v>
      </c>
      <c r="H33" s="2">
        <v>637.52499999999998</v>
      </c>
      <c r="I33" s="2">
        <v>595.52800000000002</v>
      </c>
      <c r="J33" s="2">
        <f>AH33-SUM(G33:I33)</f>
        <v>719.74900000000002</v>
      </c>
      <c r="K33" s="2">
        <v>660.54499999999996</v>
      </c>
      <c r="L33" s="2">
        <v>550.52499999999998</v>
      </c>
      <c r="M33" s="2">
        <v>484.00200000000001</v>
      </c>
      <c r="N33" s="2">
        <v>652.55600000000004</v>
      </c>
      <c r="O33" s="2">
        <v>582.90599999999995</v>
      </c>
      <c r="P33" s="2">
        <v>628.23099999999999</v>
      </c>
      <c r="Q33" s="2">
        <v>649.46</v>
      </c>
      <c r="R33" s="2">
        <v>790.83900000000006</v>
      </c>
      <c r="S33" s="2">
        <v>709.37599999999998</v>
      </c>
      <c r="T33" s="2">
        <v>778.85699999999997</v>
      </c>
      <c r="U33" s="2">
        <v>663.75300000000004</v>
      </c>
      <c r="V33" s="2">
        <v>750.3</v>
      </c>
      <c r="W33" s="2">
        <v>784.9</v>
      </c>
      <c r="X33" s="2">
        <v>774.3</v>
      </c>
      <c r="Y33" s="2">
        <v>714.5</v>
      </c>
      <c r="Z33" s="2">
        <v>798.5</v>
      </c>
      <c r="AG33" s="2">
        <v>2457.5639999999999</v>
      </c>
      <c r="AH33" s="2">
        <v>2534.6979999999999</v>
      </c>
      <c r="AI33" s="2">
        <f>SUM(K33:N33)</f>
        <v>2347.6279999999997</v>
      </c>
      <c r="AJ33" s="2">
        <f>SUM(O33:R33)</f>
        <v>2651.4360000000001</v>
      </c>
      <c r="AK33" s="2">
        <f>SUM(S33:V33)</f>
        <v>2902.2860000000001</v>
      </c>
      <c r="AL33" s="23">
        <f>SUM(W33:Z33)</f>
        <v>3072.2</v>
      </c>
      <c r="AM33" s="23">
        <f t="shared" ref="AM33:AQ33" si="62">AL33*1.02</f>
        <v>3133.6439999999998</v>
      </c>
      <c r="AN33" s="23">
        <f t="shared" si="62"/>
        <v>3196.3168799999999</v>
      </c>
      <c r="AO33" s="23">
        <f t="shared" si="62"/>
        <v>3260.2432175999998</v>
      </c>
      <c r="AP33" s="23">
        <f t="shared" si="62"/>
        <v>3325.4480819519999</v>
      </c>
      <c r="AQ33" s="23">
        <f t="shared" si="62"/>
        <v>3391.95704359104</v>
      </c>
    </row>
    <row r="34" spans="1:310" s="20" customFormat="1" x14ac:dyDescent="0.25">
      <c r="A34" s="19"/>
      <c r="B34" s="20" t="s">
        <v>13</v>
      </c>
      <c r="C34" s="20">
        <f t="shared" ref="C34:Y34" si="63">+C33</f>
        <v>564.02499999999998</v>
      </c>
      <c r="D34" s="20">
        <f t="shared" si="63"/>
        <v>594.35299999999995</v>
      </c>
      <c r="E34" s="20">
        <f t="shared" si="63"/>
        <v>582.95299999999997</v>
      </c>
      <c r="F34" s="20">
        <f t="shared" si="63"/>
        <v>716.23299999999995</v>
      </c>
      <c r="G34" s="20">
        <f t="shared" si="63"/>
        <v>581.89599999999996</v>
      </c>
      <c r="H34" s="20">
        <f t="shared" si="63"/>
        <v>637.52499999999998</v>
      </c>
      <c r="I34" s="20">
        <f t="shared" si="63"/>
        <v>595.52800000000002</v>
      </c>
      <c r="J34" s="20">
        <f t="shared" si="63"/>
        <v>719.74900000000002</v>
      </c>
      <c r="K34" s="20">
        <f t="shared" si="63"/>
        <v>660.54499999999996</v>
      </c>
      <c r="L34" s="20">
        <f t="shared" si="63"/>
        <v>550.52499999999998</v>
      </c>
      <c r="M34" s="20">
        <f t="shared" si="63"/>
        <v>484.00200000000001</v>
      </c>
      <c r="N34" s="20">
        <f t="shared" si="63"/>
        <v>652.55600000000004</v>
      </c>
      <c r="O34" s="20">
        <f t="shared" si="63"/>
        <v>582.90599999999995</v>
      </c>
      <c r="P34" s="20">
        <f t="shared" si="63"/>
        <v>628.23099999999999</v>
      </c>
      <c r="Q34" s="20">
        <f t="shared" si="63"/>
        <v>649.46</v>
      </c>
      <c r="R34" s="20">
        <f t="shared" si="63"/>
        <v>790.83900000000006</v>
      </c>
      <c r="S34" s="20">
        <f t="shared" si="63"/>
        <v>709.37599999999998</v>
      </c>
      <c r="T34" s="20">
        <f t="shared" si="63"/>
        <v>778.85699999999997</v>
      </c>
      <c r="U34" s="20">
        <f t="shared" si="63"/>
        <v>663.75300000000004</v>
      </c>
      <c r="V34" s="20">
        <f t="shared" si="63"/>
        <v>750.3</v>
      </c>
      <c r="W34" s="20">
        <f t="shared" si="63"/>
        <v>784.9</v>
      </c>
      <c r="X34" s="20">
        <f t="shared" si="63"/>
        <v>774.3</v>
      </c>
      <c r="Y34" s="20">
        <f t="shared" si="63"/>
        <v>714.5</v>
      </c>
      <c r="Z34" s="20">
        <f>+Z33</f>
        <v>798.5</v>
      </c>
      <c r="AG34" s="20">
        <f t="shared" ref="AG34:AM34" si="64">+AG33</f>
        <v>2457.5639999999999</v>
      </c>
      <c r="AH34" s="20">
        <f t="shared" si="64"/>
        <v>2534.6979999999999</v>
      </c>
      <c r="AI34" s="20">
        <f t="shared" si="64"/>
        <v>2347.6279999999997</v>
      </c>
      <c r="AJ34" s="20">
        <f t="shared" si="64"/>
        <v>2651.4360000000001</v>
      </c>
      <c r="AK34" s="20">
        <f t="shared" si="64"/>
        <v>2902.2860000000001</v>
      </c>
      <c r="AL34" s="20">
        <f>+AL33</f>
        <v>3072.2</v>
      </c>
      <c r="AM34" s="20">
        <f t="shared" si="64"/>
        <v>3133.6439999999998</v>
      </c>
      <c r="AN34" s="20">
        <f t="shared" ref="AN34:AQ34" si="65">+AN33</f>
        <v>3196.3168799999999</v>
      </c>
      <c r="AO34" s="20">
        <f t="shared" si="65"/>
        <v>3260.2432175999998</v>
      </c>
      <c r="AP34" s="20">
        <f t="shared" si="65"/>
        <v>3325.4480819519999</v>
      </c>
      <c r="AQ34" s="20">
        <f t="shared" si="65"/>
        <v>3391.95704359104</v>
      </c>
    </row>
    <row r="35" spans="1:310" s="20" customFormat="1" x14ac:dyDescent="0.25">
      <c r="A35" s="19"/>
      <c r="B35" s="19" t="s">
        <v>14</v>
      </c>
      <c r="C35" s="20">
        <f t="shared" ref="C35:Z35" si="66">+C32-C34</f>
        <v>174.09899999999993</v>
      </c>
      <c r="D35" s="20">
        <f t="shared" si="66"/>
        <v>76.524000000000001</v>
      </c>
      <c r="E35" s="20">
        <f t="shared" si="66"/>
        <v>158.60900000000004</v>
      </c>
      <c r="F35" s="20">
        <f t="shared" si="66"/>
        <v>131.17899999999963</v>
      </c>
      <c r="G35" s="20">
        <f t="shared" si="66"/>
        <v>200.91200000000015</v>
      </c>
      <c r="H35" s="20">
        <f t="shared" si="66"/>
        <v>62.898000000000025</v>
      </c>
      <c r="I35" s="20">
        <f t="shared" si="66"/>
        <v>171.21800000000007</v>
      </c>
      <c r="J35" s="20">
        <f t="shared" si="66"/>
        <v>131.64700000000016</v>
      </c>
      <c r="K35" s="20">
        <f t="shared" si="66"/>
        <v>178.78199999999981</v>
      </c>
      <c r="L35" s="20">
        <f t="shared" si="66"/>
        <v>-380.87299999999993</v>
      </c>
      <c r="M35" s="20">
        <f t="shared" si="66"/>
        <v>93.396000000000015</v>
      </c>
      <c r="N35" s="20">
        <f t="shared" si="66"/>
        <v>113.99099999999999</v>
      </c>
      <c r="O35" s="20">
        <f t="shared" si="66"/>
        <v>177.12299999999993</v>
      </c>
      <c r="P35" s="20">
        <f t="shared" si="66"/>
        <v>121.97000000000003</v>
      </c>
      <c r="Q35" s="20">
        <f t="shared" si="66"/>
        <v>212.69499999999982</v>
      </c>
      <c r="R35" s="20">
        <f t="shared" si="66"/>
        <v>183.48699999999963</v>
      </c>
      <c r="S35" s="20">
        <f t="shared" si="66"/>
        <v>234.23199999999997</v>
      </c>
      <c r="T35" s="20">
        <f t="shared" si="66"/>
        <v>76.16599999999994</v>
      </c>
      <c r="U35" s="20">
        <f t="shared" si="66"/>
        <v>199.12800000000004</v>
      </c>
      <c r="V35" s="20">
        <f t="shared" si="66"/>
        <v>137.03899999999965</v>
      </c>
      <c r="W35" s="20">
        <f t="shared" si="66"/>
        <v>157.40000000000009</v>
      </c>
      <c r="X35" s="20">
        <f t="shared" si="66"/>
        <v>9.8999999999999773</v>
      </c>
      <c r="Y35" s="20">
        <f t="shared" si="66"/>
        <v>125.00000000000023</v>
      </c>
      <c r="Z35" s="20">
        <f t="shared" si="66"/>
        <v>151.20000000000016</v>
      </c>
      <c r="AG35" s="20">
        <f t="shared" ref="AG35:AM35" si="67">+AG32-AG34</f>
        <v>540.41100000000051</v>
      </c>
      <c r="AH35" s="20">
        <f t="shared" si="67"/>
        <v>566.67500000000064</v>
      </c>
      <c r="AI35" s="20">
        <f t="shared" si="67"/>
        <v>5.2959999999998217</v>
      </c>
      <c r="AJ35" s="20">
        <f t="shared" si="67"/>
        <v>695.27499999999964</v>
      </c>
      <c r="AK35" s="20">
        <f t="shared" si="67"/>
        <v>646.56500000000051</v>
      </c>
      <c r="AL35" s="20">
        <f>+AL32-AL34</f>
        <v>443.5</v>
      </c>
      <c r="AM35" s="20">
        <f t="shared" si="67"/>
        <v>514.15999999999985</v>
      </c>
      <c r="AN35" s="20">
        <f t="shared" ref="AN35:AQ35" si="68">+AN32-AN34</f>
        <v>588.08689999999933</v>
      </c>
      <c r="AO35" s="20">
        <f t="shared" si="68"/>
        <v>665.40164899999945</v>
      </c>
      <c r="AP35" s="20">
        <f t="shared" si="68"/>
        <v>746.22928330999957</v>
      </c>
      <c r="AQ35" s="20">
        <f t="shared" si="68"/>
        <v>830.69905834610017</v>
      </c>
    </row>
    <row r="36" spans="1:310" x14ac:dyDescent="0.25">
      <c r="B36" s="1" t="s">
        <v>16</v>
      </c>
      <c r="C36" s="2">
        <f>-15.497</f>
        <v>-15.497</v>
      </c>
      <c r="D36" s="2">
        <f>-14.465</f>
        <v>-14.465</v>
      </c>
      <c r="E36" s="2">
        <f>-15.697</f>
        <v>-15.696999999999999</v>
      </c>
      <c r="F36" s="2">
        <f>AG36-SUM(C36:E36)</f>
        <v>-9.6370000000000005</v>
      </c>
      <c r="G36" s="2">
        <f>-17.544</f>
        <v>-17.544</v>
      </c>
      <c r="H36" s="2">
        <f>-15.126</f>
        <v>-15.125999999999999</v>
      </c>
      <c r="I36" s="2">
        <f>-15.292</f>
        <v>-15.292</v>
      </c>
      <c r="J36" s="2">
        <v>-18.286000000000001</v>
      </c>
      <c r="K36" s="2">
        <f>-16.654</f>
        <v>-16.654</v>
      </c>
      <c r="L36" s="2">
        <f>-11.246</f>
        <v>-11.246</v>
      </c>
      <c r="M36" s="2">
        <f>-28.437</f>
        <v>-28.437000000000001</v>
      </c>
      <c r="N36" s="2">
        <f>-25.853</f>
        <v>-25.853000000000002</v>
      </c>
      <c r="O36" s="2">
        <f>-23.31</f>
        <v>-23.31</v>
      </c>
      <c r="P36" s="2">
        <f>-19.933</f>
        <v>-19.933</v>
      </c>
      <c r="Q36" s="2">
        <f>-18.118</f>
        <v>-18.117999999999999</v>
      </c>
      <c r="R36" s="2">
        <f>-11.541</f>
        <v>-11.541</v>
      </c>
      <c r="S36" s="2">
        <f>-4.248</f>
        <v>-4.2480000000000002</v>
      </c>
      <c r="T36" s="2">
        <f>-4.36</f>
        <v>-4.3600000000000003</v>
      </c>
      <c r="U36" s="2">
        <f>-7.654</f>
        <v>-7.6539999999999999</v>
      </c>
      <c r="V36" s="2">
        <f>-9.4</f>
        <v>-9.4</v>
      </c>
      <c r="W36" s="2">
        <f>-10.7</f>
        <v>-10.7</v>
      </c>
      <c r="X36" s="2">
        <v>-13.2</v>
      </c>
      <c r="Y36" s="2">
        <v>-11.5</v>
      </c>
      <c r="Z36" s="2">
        <v>-10.5</v>
      </c>
      <c r="AG36" s="2">
        <f>-55.296</f>
        <v>-55.295999999999999</v>
      </c>
      <c r="AH36" s="2">
        <f>-66.248</f>
        <v>-66.248000000000005</v>
      </c>
      <c r="AI36" s="2">
        <f>SUM(K36:N36)</f>
        <v>-82.19</v>
      </c>
      <c r="AJ36" s="2">
        <f>SUM(O36:R36)</f>
        <v>-72.901999999999987</v>
      </c>
      <c r="AK36" s="2">
        <f>SUM(S36:V36)</f>
        <v>-25.661999999999999</v>
      </c>
      <c r="AL36" s="23">
        <f>SUM(W36:Z36)</f>
        <v>-45.9</v>
      </c>
      <c r="AM36" s="2">
        <f>AL36*1.02</f>
        <v>-46.817999999999998</v>
      </c>
      <c r="AN36" s="2">
        <f t="shared" ref="AN36:AQ36" si="69">AM36*1.02</f>
        <v>-47.754359999999998</v>
      </c>
      <c r="AO36" s="2">
        <f t="shared" si="69"/>
        <v>-48.7094472</v>
      </c>
      <c r="AP36" s="2">
        <f t="shared" si="69"/>
        <v>-49.683636143999998</v>
      </c>
      <c r="AQ36" s="2">
        <f t="shared" si="69"/>
        <v>-50.677308866879997</v>
      </c>
    </row>
    <row r="37" spans="1:310" x14ac:dyDescent="0.25">
      <c r="B37" s="28" t="s">
        <v>91</v>
      </c>
      <c r="C37" s="2">
        <v>-9.577</v>
      </c>
      <c r="D37" s="2">
        <v>13.653</v>
      </c>
      <c r="E37" s="2">
        <v>-3.032</v>
      </c>
      <c r="F37" s="2">
        <f>AG37-SUM(C37:E37)</f>
        <v>13.863</v>
      </c>
      <c r="G37" s="2">
        <v>-1.6459999999999999</v>
      </c>
      <c r="H37" s="2">
        <v>3.1659999999999999</v>
      </c>
      <c r="I37" s="2">
        <v>-4.3689999999999998</v>
      </c>
      <c r="J37" s="2">
        <v>4.8659999999999997</v>
      </c>
      <c r="K37" s="2">
        <v>2.7</v>
      </c>
      <c r="L37" s="2">
        <v>1.3049999999999999</v>
      </c>
      <c r="M37" s="2">
        <v>-12.273999999999999</v>
      </c>
      <c r="N37" s="2">
        <v>-14.205</v>
      </c>
      <c r="O37" s="2">
        <v>0.85799999999999998</v>
      </c>
      <c r="P37" s="2">
        <v>-0.71499999999999997</v>
      </c>
      <c r="Q37" s="2">
        <v>4.8470000000000004</v>
      </c>
      <c r="R37" s="2">
        <v>-1.768</v>
      </c>
      <c r="S37" s="2">
        <v>15.9</v>
      </c>
      <c r="T37" s="2">
        <v>6</v>
      </c>
      <c r="U37" s="2">
        <v>-5.2</v>
      </c>
      <c r="V37" s="2">
        <v>12.2</v>
      </c>
      <c r="W37" s="2">
        <v>-7.5</v>
      </c>
      <c r="X37" s="2">
        <v>-3.9</v>
      </c>
      <c r="Y37" s="2">
        <v>-26.7</v>
      </c>
      <c r="Z37" s="2">
        <v>-4.0999999999999996</v>
      </c>
      <c r="AG37" s="2">
        <v>14.907</v>
      </c>
      <c r="AH37" s="2">
        <f>SUM(G37:J37)</f>
        <v>2.0169999999999999</v>
      </c>
      <c r="AI37" s="2">
        <f>SUM(K37:N37)</f>
        <v>-22.473999999999997</v>
      </c>
      <c r="AJ37" s="2">
        <f>SUM(O37:R37)</f>
        <v>3.2220000000000004</v>
      </c>
      <c r="AK37" s="2">
        <f>SUM(S37:V37)</f>
        <v>28.9</v>
      </c>
      <c r="AL37" s="23">
        <f>SUM(W37:Z37)</f>
        <v>-42.2</v>
      </c>
      <c r="AM37" s="2">
        <f t="shared" ref="AM37:AQ37" si="70">AL37*1.02</f>
        <v>-43.044000000000004</v>
      </c>
      <c r="AN37" s="2">
        <f t="shared" si="70"/>
        <v>-43.904880000000006</v>
      </c>
      <c r="AO37" s="2">
        <f t="shared" si="70"/>
        <v>-44.782977600000009</v>
      </c>
      <c r="AP37" s="2">
        <f t="shared" si="70"/>
        <v>-45.678637152000007</v>
      </c>
      <c r="AQ37" s="2">
        <f t="shared" si="70"/>
        <v>-46.592209895040007</v>
      </c>
    </row>
    <row r="38" spans="1:310" x14ac:dyDescent="0.25">
      <c r="B38" s="1" t="s">
        <v>15</v>
      </c>
      <c r="C38" s="2">
        <f t="shared" ref="C38:W38" si="71">+C35+C36+C37</f>
        <v>149.02499999999992</v>
      </c>
      <c r="D38" s="2">
        <f t="shared" si="71"/>
        <v>75.712000000000003</v>
      </c>
      <c r="E38" s="2">
        <f t="shared" si="71"/>
        <v>139.88000000000002</v>
      </c>
      <c r="F38" s="2">
        <f>+F35+F36+F37</f>
        <v>135.40499999999963</v>
      </c>
      <c r="G38" s="2">
        <f t="shared" si="71"/>
        <v>181.72200000000015</v>
      </c>
      <c r="H38" s="2">
        <f t="shared" si="71"/>
        <v>50.938000000000024</v>
      </c>
      <c r="I38" s="2">
        <f t="shared" si="71"/>
        <v>151.55700000000007</v>
      </c>
      <c r="J38" s="2">
        <f t="shared" si="71"/>
        <v>118.22700000000016</v>
      </c>
      <c r="K38" s="2">
        <f t="shared" si="71"/>
        <v>164.8279999999998</v>
      </c>
      <c r="L38" s="2">
        <f t="shared" si="71"/>
        <v>-390.81399999999991</v>
      </c>
      <c r="M38" s="2">
        <f t="shared" si="71"/>
        <v>52.685000000000016</v>
      </c>
      <c r="N38" s="2">
        <f t="shared" si="71"/>
        <v>73.932999999999979</v>
      </c>
      <c r="O38" s="2">
        <f t="shared" si="71"/>
        <v>154.67099999999994</v>
      </c>
      <c r="P38" s="2">
        <f t="shared" si="71"/>
        <v>101.32200000000003</v>
      </c>
      <c r="Q38" s="2">
        <f t="shared" si="71"/>
        <v>199.42399999999984</v>
      </c>
      <c r="R38" s="2">
        <f t="shared" si="71"/>
        <v>170.17799999999963</v>
      </c>
      <c r="S38" s="2">
        <f t="shared" si="71"/>
        <v>245.88399999999999</v>
      </c>
      <c r="T38" s="2">
        <f t="shared" si="71"/>
        <v>77.805999999999941</v>
      </c>
      <c r="U38" s="2">
        <f t="shared" si="71"/>
        <v>186.27400000000006</v>
      </c>
      <c r="V38" s="2">
        <f t="shared" si="71"/>
        <v>139.83899999999963</v>
      </c>
      <c r="W38" s="2">
        <f t="shared" si="71"/>
        <v>139.2000000000001</v>
      </c>
      <c r="X38" s="2">
        <f>+X35+X36+X37</f>
        <v>-7.2000000000000224</v>
      </c>
      <c r="Y38" s="2">
        <f>+Y35+Y36+Y37</f>
        <v>86.800000000000225</v>
      </c>
      <c r="Z38" s="2">
        <f t="shared" ref="Z38" si="72">+Z35+Z36+Z37</f>
        <v>136.60000000000016</v>
      </c>
      <c r="AG38" s="2">
        <f t="shared" ref="AG38:AQ38" si="73">+AG35+AG36+AG37</f>
        <v>500.0220000000005</v>
      </c>
      <c r="AH38" s="2">
        <f>+AH35+AH36+AH37</f>
        <v>502.44400000000064</v>
      </c>
      <c r="AI38" s="2">
        <f t="shared" si="73"/>
        <v>-99.368000000000166</v>
      </c>
      <c r="AJ38" s="2">
        <f t="shared" si="73"/>
        <v>625.59499999999957</v>
      </c>
      <c r="AK38" s="2">
        <f>+AK35+AK36+AK37</f>
        <v>649.80300000000045</v>
      </c>
      <c r="AL38" s="2">
        <f>+AL35+AL36+AL37</f>
        <v>355.40000000000003</v>
      </c>
      <c r="AM38" s="2">
        <f t="shared" si="73"/>
        <v>424.29799999999989</v>
      </c>
      <c r="AN38" s="2">
        <f t="shared" si="73"/>
        <v>496.42765999999932</v>
      </c>
      <c r="AO38" s="2">
        <f t="shared" si="73"/>
        <v>571.90922419999947</v>
      </c>
      <c r="AP38" s="2">
        <f t="shared" si="73"/>
        <v>650.86701001399956</v>
      </c>
      <c r="AQ38" s="2">
        <f t="shared" si="73"/>
        <v>733.42953958418013</v>
      </c>
    </row>
    <row r="39" spans="1:310" x14ac:dyDescent="0.25">
      <c r="B39" s="1" t="s">
        <v>17</v>
      </c>
      <c r="C39" s="2">
        <v>167.654</v>
      </c>
      <c r="D39" s="2">
        <v>-1.32</v>
      </c>
      <c r="E39" s="2">
        <v>10.298999999999999</v>
      </c>
      <c r="F39" s="2">
        <f>AG39-SUM(C39:E39)</f>
        <v>38.144999999999982</v>
      </c>
      <c r="G39" s="2">
        <v>35.271000000000001</v>
      </c>
      <c r="H39" s="2">
        <v>-2.4289999999999998</v>
      </c>
      <c r="I39" s="2">
        <v>27.34</v>
      </c>
      <c r="J39" s="2">
        <f>AH39-SUM(G39:I39)</f>
        <v>22.421999999999997</v>
      </c>
      <c r="K39" s="2">
        <v>12.138999999999999</v>
      </c>
      <c r="L39" s="2">
        <v>-94.635999999999996</v>
      </c>
      <c r="M39" s="2">
        <v>24.565000000000001</v>
      </c>
      <c r="N39" s="2">
        <v>-4.71</v>
      </c>
      <c r="O39" s="2">
        <v>12.167</v>
      </c>
      <c r="P39" s="2">
        <v>-9.02</v>
      </c>
      <c r="Q39" s="2">
        <v>9.7059999999999995</v>
      </c>
      <c r="R39" s="2">
        <v>13.846</v>
      </c>
      <c r="S39" s="2">
        <v>50.037999999999997</v>
      </c>
      <c r="T39" s="2">
        <v>28.068000000000001</v>
      </c>
      <c r="U39" s="2">
        <v>13.339</v>
      </c>
      <c r="V39" s="2">
        <v>-10.8</v>
      </c>
      <c r="W39" s="2">
        <v>24.5</v>
      </c>
      <c r="X39" s="2">
        <v>-5.6</v>
      </c>
      <c r="Y39" s="2">
        <v>-13</v>
      </c>
      <c r="Z39" s="2">
        <v>9.8000000000000007</v>
      </c>
      <c r="AG39" s="2">
        <v>214.77799999999999</v>
      </c>
      <c r="AH39" s="2">
        <v>82.603999999999999</v>
      </c>
      <c r="AI39" s="2">
        <f>SUM(K39:N39)</f>
        <v>-62.642000000000003</v>
      </c>
      <c r="AJ39" s="2">
        <f>SUM(O39:R39)</f>
        <v>26.698999999999998</v>
      </c>
      <c r="AK39" s="2">
        <f>SUM(S39:V39)</f>
        <v>80.644999999999996</v>
      </c>
      <c r="AL39" s="23">
        <f>SUM(W39:Z39)</f>
        <v>15.7</v>
      </c>
      <c r="AM39" s="2">
        <f>AM38*WACC!$C$9</f>
        <v>29.83666255282645</v>
      </c>
      <c r="AN39" s="2">
        <f>AN38*WACC!$C$9</f>
        <v>34.908824866742819</v>
      </c>
      <c r="AO39" s="2">
        <f>AO38*WACC!$C$9</f>
        <v>40.216693298823358</v>
      </c>
      <c r="AP39" s="2">
        <f>AP38*WACC!$C$9</f>
        <v>45.769009857587882</v>
      </c>
      <c r="AQ39" s="2">
        <f>AQ38*WACC!$C$9</f>
        <v>51.574812228311366</v>
      </c>
    </row>
    <row r="40" spans="1:310" s="20" customFormat="1" x14ac:dyDescent="0.25">
      <c r="A40" s="19"/>
      <c r="B40" s="19" t="s">
        <v>18</v>
      </c>
      <c r="C40" s="20">
        <f t="shared" ref="C40:L40" si="74">+C38-C39</f>
        <v>-18.629000000000076</v>
      </c>
      <c r="D40" s="20">
        <f t="shared" si="74"/>
        <v>77.031999999999996</v>
      </c>
      <c r="E40" s="20">
        <f t="shared" si="74"/>
        <v>129.58100000000002</v>
      </c>
      <c r="F40" s="20">
        <f t="shared" si="74"/>
        <v>97.25999999999965</v>
      </c>
      <c r="G40" s="20">
        <f t="shared" si="74"/>
        <v>146.45100000000014</v>
      </c>
      <c r="H40" s="20">
        <f t="shared" si="74"/>
        <v>53.367000000000026</v>
      </c>
      <c r="I40" s="20">
        <f t="shared" si="74"/>
        <v>124.21700000000007</v>
      </c>
      <c r="J40" s="20">
        <f t="shared" si="74"/>
        <v>95.805000000000163</v>
      </c>
      <c r="K40" s="20">
        <f t="shared" si="74"/>
        <v>152.68899999999979</v>
      </c>
      <c r="L40" s="20">
        <f t="shared" si="74"/>
        <v>-296.17799999999988</v>
      </c>
      <c r="M40" s="20">
        <f>+M38-M39</f>
        <v>28.120000000000015</v>
      </c>
      <c r="N40" s="20">
        <f>+N38-N39</f>
        <v>78.642999999999972</v>
      </c>
      <c r="O40" s="20">
        <f>+O38-O39</f>
        <v>142.50399999999993</v>
      </c>
      <c r="P40" s="20">
        <f t="shared" ref="P40:U40" si="75">+P38-P39</f>
        <v>110.34200000000003</v>
      </c>
      <c r="Q40" s="20">
        <f t="shared" si="75"/>
        <v>189.71799999999985</v>
      </c>
      <c r="R40" s="20">
        <f t="shared" ref="R40" si="76">+R38-R39</f>
        <v>156.33199999999962</v>
      </c>
      <c r="S40" s="20">
        <f t="shared" si="75"/>
        <v>195.846</v>
      </c>
      <c r="T40" s="20">
        <f t="shared" si="75"/>
        <v>49.737999999999943</v>
      </c>
      <c r="U40" s="20">
        <f t="shared" si="75"/>
        <v>172.93500000000006</v>
      </c>
      <c r="V40" s="20">
        <f t="shared" ref="V40:Z40" si="77">+V38-V39</f>
        <v>150.63899999999964</v>
      </c>
      <c r="W40" s="20">
        <f t="shared" si="77"/>
        <v>114.7000000000001</v>
      </c>
      <c r="X40" s="20">
        <f t="shared" si="77"/>
        <v>-1.6000000000000227</v>
      </c>
      <c r="Y40" s="20">
        <f t="shared" si="77"/>
        <v>99.800000000000225</v>
      </c>
      <c r="Z40" s="20">
        <f t="shared" si="77"/>
        <v>126.80000000000017</v>
      </c>
      <c r="AG40" s="20">
        <f t="shared" ref="AG40:AQ40" si="78">+AG38-AG39</f>
        <v>285.24400000000048</v>
      </c>
      <c r="AH40" s="20">
        <f t="shared" si="78"/>
        <v>419.84000000000066</v>
      </c>
      <c r="AI40" s="20">
        <f>+AI38-AI39</f>
        <v>-36.726000000000163</v>
      </c>
      <c r="AJ40" s="20">
        <f t="shared" si="78"/>
        <v>598.89599999999962</v>
      </c>
      <c r="AK40" s="20">
        <f>+AK38-AK39</f>
        <v>569.15800000000047</v>
      </c>
      <c r="AL40" s="20">
        <f>+AL38-AL39</f>
        <v>339.70000000000005</v>
      </c>
      <c r="AM40" s="20">
        <f t="shared" si="78"/>
        <v>394.46133744717343</v>
      </c>
      <c r="AN40" s="20">
        <f t="shared" si="78"/>
        <v>461.51883513325652</v>
      </c>
      <c r="AO40" s="20">
        <f t="shared" si="78"/>
        <v>531.69253090117616</v>
      </c>
      <c r="AP40" s="20">
        <f t="shared" si="78"/>
        <v>605.09800015641167</v>
      </c>
      <c r="AQ40" s="20">
        <f t="shared" si="78"/>
        <v>681.85472735586882</v>
      </c>
      <c r="AR40" s="20">
        <f>AQ40*(1+$AV$45)</f>
        <v>675.03618008231012</v>
      </c>
      <c r="AS40" s="20">
        <f t="shared" ref="AS40:DD40" si="79">AR40*(1+$AV$45)</f>
        <v>668.28581828148697</v>
      </c>
      <c r="AT40" s="20">
        <f t="shared" si="79"/>
        <v>661.60296009867204</v>
      </c>
      <c r="AU40" s="20">
        <f t="shared" si="79"/>
        <v>654.98693049768531</v>
      </c>
      <c r="AV40" s="20">
        <f t="shared" si="79"/>
        <v>648.43706119270848</v>
      </c>
      <c r="AW40" s="20">
        <f t="shared" si="79"/>
        <v>641.95269058078134</v>
      </c>
      <c r="AX40" s="20">
        <f t="shared" si="79"/>
        <v>635.53316367497348</v>
      </c>
      <c r="AY40" s="20">
        <f t="shared" si="79"/>
        <v>629.17783203822376</v>
      </c>
      <c r="AZ40" s="20">
        <f t="shared" si="79"/>
        <v>622.88605371784149</v>
      </c>
      <c r="BA40" s="20">
        <f t="shared" si="79"/>
        <v>616.65719318066306</v>
      </c>
      <c r="BB40" s="20">
        <f t="shared" si="79"/>
        <v>610.49062124885643</v>
      </c>
      <c r="BC40" s="20">
        <f t="shared" si="79"/>
        <v>604.38571503636786</v>
      </c>
      <c r="BD40" s="20">
        <f t="shared" si="79"/>
        <v>598.34185788600416</v>
      </c>
      <c r="BE40" s="20">
        <f t="shared" si="79"/>
        <v>592.35843930714407</v>
      </c>
      <c r="BF40" s="20">
        <f t="shared" si="79"/>
        <v>586.43485491407262</v>
      </c>
      <c r="BG40" s="20">
        <f t="shared" si="79"/>
        <v>580.57050636493193</v>
      </c>
      <c r="BH40" s="20">
        <f t="shared" si="79"/>
        <v>574.76480130128266</v>
      </c>
      <c r="BI40" s="20">
        <f t="shared" si="79"/>
        <v>569.01715328826981</v>
      </c>
      <c r="BJ40" s="20">
        <f t="shared" si="79"/>
        <v>563.32698175538712</v>
      </c>
      <c r="BK40" s="20">
        <f t="shared" si="79"/>
        <v>557.6937119378332</v>
      </c>
      <c r="BL40" s="20">
        <f t="shared" si="79"/>
        <v>552.11677481845481</v>
      </c>
      <c r="BM40" s="20">
        <f t="shared" si="79"/>
        <v>546.59560707027026</v>
      </c>
      <c r="BN40" s="20">
        <f t="shared" si="79"/>
        <v>541.1296509995675</v>
      </c>
      <c r="BO40" s="20">
        <f t="shared" si="79"/>
        <v>535.71835448957177</v>
      </c>
      <c r="BP40" s="20">
        <f t="shared" si="79"/>
        <v>530.36117094467602</v>
      </c>
      <c r="BQ40" s="20">
        <f t="shared" si="79"/>
        <v>525.05755923522929</v>
      </c>
      <c r="BR40" s="20">
        <f t="shared" si="79"/>
        <v>519.80698364287696</v>
      </c>
      <c r="BS40" s="20">
        <f t="shared" si="79"/>
        <v>514.60891380644819</v>
      </c>
      <c r="BT40" s="20">
        <f t="shared" si="79"/>
        <v>509.46282466838369</v>
      </c>
      <c r="BU40" s="20">
        <f t="shared" si="79"/>
        <v>504.36819642169985</v>
      </c>
      <c r="BV40" s="20">
        <f t="shared" si="79"/>
        <v>499.32451445748285</v>
      </c>
      <c r="BW40" s="20">
        <f t="shared" si="79"/>
        <v>494.33126931290803</v>
      </c>
      <c r="BX40" s="20">
        <f t="shared" si="79"/>
        <v>489.38795661977895</v>
      </c>
      <c r="BY40" s="20">
        <f t="shared" si="79"/>
        <v>484.49407705358118</v>
      </c>
      <c r="BZ40" s="20">
        <f t="shared" si="79"/>
        <v>479.64913628304538</v>
      </c>
      <c r="CA40" s="20">
        <f t="shared" si="79"/>
        <v>474.85264492021491</v>
      </c>
      <c r="CB40" s="20">
        <f t="shared" si="79"/>
        <v>470.10411847101278</v>
      </c>
      <c r="CC40" s="20">
        <f t="shared" si="79"/>
        <v>465.40307728630268</v>
      </c>
      <c r="CD40" s="20">
        <f t="shared" si="79"/>
        <v>460.74904651343962</v>
      </c>
      <c r="CE40" s="20">
        <f t="shared" si="79"/>
        <v>456.14155604830523</v>
      </c>
      <c r="CF40" s="20">
        <f t="shared" si="79"/>
        <v>451.58014048782218</v>
      </c>
      <c r="CG40" s="20">
        <f t="shared" si="79"/>
        <v>447.06433908294395</v>
      </c>
      <c r="CH40" s="20">
        <f t="shared" si="79"/>
        <v>442.59369569211452</v>
      </c>
      <c r="CI40" s="20">
        <f t="shared" si="79"/>
        <v>438.16775873519339</v>
      </c>
      <c r="CJ40" s="20">
        <f t="shared" si="79"/>
        <v>433.78608114784146</v>
      </c>
      <c r="CK40" s="20">
        <f t="shared" si="79"/>
        <v>429.44822033636302</v>
      </c>
      <c r="CL40" s="20">
        <f t="shared" si="79"/>
        <v>425.15373813299937</v>
      </c>
      <c r="CM40" s="20">
        <f t="shared" si="79"/>
        <v>420.90220075166934</v>
      </c>
      <c r="CN40" s="20">
        <f t="shared" si="79"/>
        <v>416.69317874415265</v>
      </c>
      <c r="CO40" s="20">
        <f t="shared" si="79"/>
        <v>412.52624695671113</v>
      </c>
      <c r="CP40" s="20">
        <f t="shared" si="79"/>
        <v>408.400984487144</v>
      </c>
      <c r="CQ40" s="20">
        <f t="shared" si="79"/>
        <v>404.31697464227256</v>
      </c>
      <c r="CR40" s="20">
        <f t="shared" si="79"/>
        <v>400.27380489584982</v>
      </c>
      <c r="CS40" s="20">
        <f t="shared" si="79"/>
        <v>396.2710668468913</v>
      </c>
      <c r="CT40" s="20">
        <f t="shared" si="79"/>
        <v>392.3083561784224</v>
      </c>
      <c r="CU40" s="20">
        <f t="shared" si="79"/>
        <v>388.38527261663819</v>
      </c>
      <c r="CV40" s="20">
        <f t="shared" si="79"/>
        <v>384.50141989047182</v>
      </c>
      <c r="CW40" s="20">
        <f t="shared" si="79"/>
        <v>380.6564056915671</v>
      </c>
      <c r="CX40" s="20">
        <f t="shared" si="79"/>
        <v>376.84984163465145</v>
      </c>
      <c r="CY40" s="20">
        <f t="shared" si="79"/>
        <v>373.08134321830494</v>
      </c>
      <c r="CZ40" s="20">
        <f t="shared" si="79"/>
        <v>369.35052978612191</v>
      </c>
      <c r="DA40" s="20">
        <f t="shared" si="79"/>
        <v>365.65702448826067</v>
      </c>
      <c r="DB40" s="20">
        <f t="shared" si="79"/>
        <v>362.00045424337804</v>
      </c>
      <c r="DC40" s="20">
        <f t="shared" si="79"/>
        <v>358.38044970094427</v>
      </c>
      <c r="DD40" s="20">
        <f t="shared" si="79"/>
        <v>354.79664520393482</v>
      </c>
      <c r="DE40" s="20">
        <f t="shared" ref="DE40:FP40" si="80">DD40*(1+$AV$45)</f>
        <v>351.24867875189545</v>
      </c>
      <c r="DF40" s="20">
        <f t="shared" si="80"/>
        <v>347.73619196437647</v>
      </c>
      <c r="DG40" s="20">
        <f t="shared" si="80"/>
        <v>344.25883004473269</v>
      </c>
      <c r="DH40" s="20">
        <f t="shared" si="80"/>
        <v>340.81624174428538</v>
      </c>
      <c r="DI40" s="20">
        <f t="shared" si="80"/>
        <v>337.40807932684254</v>
      </c>
      <c r="DJ40" s="20">
        <f t="shared" si="80"/>
        <v>334.03399853357411</v>
      </c>
      <c r="DK40" s="20">
        <f t="shared" si="80"/>
        <v>330.69365854823837</v>
      </c>
      <c r="DL40" s="20">
        <f t="shared" si="80"/>
        <v>327.38672196275598</v>
      </c>
      <c r="DM40" s="20">
        <f t="shared" si="80"/>
        <v>324.11285474312842</v>
      </c>
      <c r="DN40" s="20">
        <f t="shared" si="80"/>
        <v>320.87172619569714</v>
      </c>
      <c r="DO40" s="20">
        <f t="shared" si="80"/>
        <v>317.66300893374017</v>
      </c>
      <c r="DP40" s="20">
        <f t="shared" si="80"/>
        <v>314.48637884440279</v>
      </c>
      <c r="DQ40" s="20">
        <f t="shared" si="80"/>
        <v>311.34151505595878</v>
      </c>
      <c r="DR40" s="20">
        <f t="shared" si="80"/>
        <v>308.22809990539918</v>
      </c>
      <c r="DS40" s="20">
        <f t="shared" si="80"/>
        <v>305.1458189063452</v>
      </c>
      <c r="DT40" s="20">
        <f t="shared" si="80"/>
        <v>302.09436071728175</v>
      </c>
      <c r="DU40" s="20">
        <f t="shared" si="80"/>
        <v>299.07341711010895</v>
      </c>
      <c r="DV40" s="20">
        <f t="shared" si="80"/>
        <v>296.08268293900784</v>
      </c>
      <c r="DW40" s="20">
        <f t="shared" si="80"/>
        <v>293.12185610961774</v>
      </c>
      <c r="DX40" s="20">
        <f t="shared" si="80"/>
        <v>290.19063754852158</v>
      </c>
      <c r="DY40" s="20">
        <f t="shared" si="80"/>
        <v>287.28873117303635</v>
      </c>
      <c r="DZ40" s="20">
        <f t="shared" si="80"/>
        <v>284.41584386130597</v>
      </c>
      <c r="EA40" s="20">
        <f t="shared" si="80"/>
        <v>281.57168542269289</v>
      </c>
      <c r="EB40" s="20">
        <f t="shared" si="80"/>
        <v>278.75596856846596</v>
      </c>
      <c r="EC40" s="20">
        <f t="shared" si="80"/>
        <v>275.96840888278132</v>
      </c>
      <c r="ED40" s="20">
        <f t="shared" si="80"/>
        <v>273.20872479395348</v>
      </c>
      <c r="EE40" s="20">
        <f t="shared" si="80"/>
        <v>270.47663754601393</v>
      </c>
      <c r="EF40" s="20">
        <f t="shared" si="80"/>
        <v>267.77187117055377</v>
      </c>
      <c r="EG40" s="20">
        <f t="shared" si="80"/>
        <v>265.09415245884821</v>
      </c>
      <c r="EH40" s="20">
        <f t="shared" si="80"/>
        <v>262.44321093425975</v>
      </c>
      <c r="EI40" s="20">
        <f t="shared" si="80"/>
        <v>259.81877882491716</v>
      </c>
      <c r="EJ40" s="20">
        <f t="shared" si="80"/>
        <v>257.220591036668</v>
      </c>
      <c r="EK40" s="20">
        <f t="shared" si="80"/>
        <v>254.64838512630132</v>
      </c>
      <c r="EL40" s="20">
        <f t="shared" si="80"/>
        <v>252.1019012750383</v>
      </c>
      <c r="EM40" s="20">
        <f t="shared" si="80"/>
        <v>249.58088226228793</v>
      </c>
      <c r="EN40" s="20">
        <f t="shared" si="80"/>
        <v>247.08507343966505</v>
      </c>
      <c r="EO40" s="20">
        <f t="shared" si="80"/>
        <v>244.61422270526839</v>
      </c>
      <c r="EP40" s="20">
        <f t="shared" si="80"/>
        <v>242.1680804782157</v>
      </c>
      <c r="EQ40" s="20">
        <f t="shared" si="80"/>
        <v>239.74639967343353</v>
      </c>
      <c r="ER40" s="20">
        <f t="shared" si="80"/>
        <v>237.3489356766992</v>
      </c>
      <c r="ES40" s="20">
        <f t="shared" si="80"/>
        <v>234.97544631993222</v>
      </c>
      <c r="ET40" s="20">
        <f t="shared" si="80"/>
        <v>232.62569185673289</v>
      </c>
      <c r="EU40" s="20">
        <f t="shared" si="80"/>
        <v>230.29943493816555</v>
      </c>
      <c r="EV40" s="20">
        <f t="shared" si="80"/>
        <v>227.99644058878388</v>
      </c>
      <c r="EW40" s="20">
        <f t="shared" si="80"/>
        <v>225.71647618289603</v>
      </c>
      <c r="EX40" s="20">
        <f t="shared" si="80"/>
        <v>223.45931142106707</v>
      </c>
      <c r="EY40" s="20">
        <f t="shared" si="80"/>
        <v>221.2247183068564</v>
      </c>
      <c r="EZ40" s="20">
        <f t="shared" si="80"/>
        <v>219.01247112378783</v>
      </c>
      <c r="FA40" s="20">
        <f t="shared" si="80"/>
        <v>216.82234641254996</v>
      </c>
      <c r="FB40" s="20">
        <f t="shared" si="80"/>
        <v>214.65412294842446</v>
      </c>
      <c r="FC40" s="20">
        <f t="shared" si="80"/>
        <v>212.5075817189402</v>
      </c>
      <c r="FD40" s="20">
        <f t="shared" si="80"/>
        <v>210.38250590175079</v>
      </c>
      <c r="FE40" s="20">
        <f t="shared" si="80"/>
        <v>208.27868084273328</v>
      </c>
      <c r="FF40" s="20">
        <f t="shared" si="80"/>
        <v>206.19589403430595</v>
      </c>
      <c r="FG40" s="20">
        <f t="shared" si="80"/>
        <v>204.13393509396289</v>
      </c>
      <c r="FH40" s="20">
        <f t="shared" si="80"/>
        <v>202.09259574302325</v>
      </c>
      <c r="FI40" s="20">
        <f t="shared" si="80"/>
        <v>200.07166978559303</v>
      </c>
      <c r="FJ40" s="20">
        <f t="shared" si="80"/>
        <v>198.07095308773711</v>
      </c>
      <c r="FK40" s="20">
        <f t="shared" si="80"/>
        <v>196.09024355685975</v>
      </c>
      <c r="FL40" s="20">
        <f t="shared" si="80"/>
        <v>194.12934112129113</v>
      </c>
      <c r="FM40" s="20">
        <f t="shared" si="80"/>
        <v>192.18804771007822</v>
      </c>
      <c r="FN40" s="20">
        <f t="shared" si="80"/>
        <v>190.26616723297744</v>
      </c>
      <c r="FO40" s="20">
        <f t="shared" si="80"/>
        <v>188.36350556064767</v>
      </c>
      <c r="FP40" s="20">
        <f t="shared" si="80"/>
        <v>186.47987050504119</v>
      </c>
      <c r="FQ40" s="20">
        <f t="shared" ref="FQ40:IB40" si="81">FP40*(1+$AV$45)</f>
        <v>184.61507179999077</v>
      </c>
      <c r="FR40" s="20">
        <f t="shared" si="81"/>
        <v>182.76892108199087</v>
      </c>
      <c r="FS40" s="20">
        <f t="shared" si="81"/>
        <v>180.94123187117097</v>
      </c>
      <c r="FT40" s="20">
        <f t="shared" si="81"/>
        <v>179.13181955245926</v>
      </c>
      <c r="FU40" s="20">
        <f t="shared" si="81"/>
        <v>177.34050135693468</v>
      </c>
      <c r="FV40" s="20">
        <f t="shared" si="81"/>
        <v>175.56709634336534</v>
      </c>
      <c r="FW40" s="20">
        <f t="shared" si="81"/>
        <v>173.81142537993168</v>
      </c>
      <c r="FX40" s="20">
        <f t="shared" si="81"/>
        <v>172.07331112613235</v>
      </c>
      <c r="FY40" s="20">
        <f t="shared" si="81"/>
        <v>170.35257801487103</v>
      </c>
      <c r="FZ40" s="20">
        <f t="shared" si="81"/>
        <v>168.64905223472232</v>
      </c>
      <c r="GA40" s="20">
        <f t="shared" si="81"/>
        <v>166.96256171237511</v>
      </c>
      <c r="GB40" s="20">
        <f t="shared" si="81"/>
        <v>165.29293609525135</v>
      </c>
      <c r="GC40" s="20">
        <f t="shared" si="81"/>
        <v>163.64000673429882</v>
      </c>
      <c r="GD40" s="20">
        <f t="shared" si="81"/>
        <v>162.00360666695585</v>
      </c>
      <c r="GE40" s="20">
        <f t="shared" si="81"/>
        <v>160.38357060028628</v>
      </c>
      <c r="GF40" s="20">
        <f t="shared" si="81"/>
        <v>158.77973489428342</v>
      </c>
      <c r="GG40" s="20">
        <f t="shared" si="81"/>
        <v>157.19193754534058</v>
      </c>
      <c r="GH40" s="20">
        <f t="shared" si="81"/>
        <v>155.62001816988717</v>
      </c>
      <c r="GI40" s="20">
        <f t="shared" si="81"/>
        <v>154.0638179881883</v>
      </c>
      <c r="GJ40" s="20">
        <f t="shared" si="81"/>
        <v>152.52317980830642</v>
      </c>
      <c r="GK40" s="20">
        <f t="shared" si="81"/>
        <v>150.99794801022335</v>
      </c>
      <c r="GL40" s="20">
        <f t="shared" si="81"/>
        <v>149.48796853012112</v>
      </c>
      <c r="GM40" s="20">
        <f t="shared" si="81"/>
        <v>147.99308884481991</v>
      </c>
      <c r="GN40" s="20">
        <f t="shared" si="81"/>
        <v>146.51315795637171</v>
      </c>
      <c r="GO40" s="20">
        <f t="shared" si="81"/>
        <v>145.048026376808</v>
      </c>
      <c r="GP40" s="20">
        <f t="shared" si="81"/>
        <v>143.59754611303993</v>
      </c>
      <c r="GQ40" s="20">
        <f t="shared" si="81"/>
        <v>142.16157065190953</v>
      </c>
      <c r="GR40" s="20">
        <f t="shared" si="81"/>
        <v>140.73995494539042</v>
      </c>
      <c r="GS40" s="20">
        <f t="shared" si="81"/>
        <v>139.33255539593651</v>
      </c>
      <c r="GT40" s="20">
        <f t="shared" si="81"/>
        <v>137.93922984197715</v>
      </c>
      <c r="GU40" s="20">
        <f t="shared" si="81"/>
        <v>136.55983754355739</v>
      </c>
      <c r="GV40" s="20">
        <f t="shared" si="81"/>
        <v>135.19423916812181</v>
      </c>
      <c r="GW40" s="20">
        <f t="shared" si="81"/>
        <v>133.84229677644061</v>
      </c>
      <c r="GX40" s="20">
        <f t="shared" si="81"/>
        <v>132.50387380867619</v>
      </c>
      <c r="GY40" s="20">
        <f t="shared" si="81"/>
        <v>131.17883507058943</v>
      </c>
      <c r="GZ40" s="20">
        <f t="shared" si="81"/>
        <v>129.86704671988355</v>
      </c>
      <c r="HA40" s="20">
        <f t="shared" si="81"/>
        <v>128.56837625268471</v>
      </c>
      <c r="HB40" s="20">
        <f t="shared" si="81"/>
        <v>127.28269249015787</v>
      </c>
      <c r="HC40" s="20">
        <f t="shared" si="81"/>
        <v>126.00986556525629</v>
      </c>
      <c r="HD40" s="20">
        <f t="shared" si="81"/>
        <v>124.74976690960372</v>
      </c>
      <c r="HE40" s="20">
        <f t="shared" si="81"/>
        <v>123.50226924050769</v>
      </c>
      <c r="HF40" s="20">
        <f t="shared" si="81"/>
        <v>122.26724654810261</v>
      </c>
      <c r="HG40" s="20">
        <f t="shared" si="81"/>
        <v>121.04457408262158</v>
      </c>
      <c r="HH40" s="20">
        <f t="shared" si="81"/>
        <v>119.83412834179536</v>
      </c>
      <c r="HI40" s="20">
        <f t="shared" si="81"/>
        <v>118.6357870583774</v>
      </c>
      <c r="HJ40" s="20">
        <f t="shared" si="81"/>
        <v>117.44942918779363</v>
      </c>
      <c r="HK40" s="20">
        <f t="shared" si="81"/>
        <v>116.27493489591569</v>
      </c>
      <c r="HL40" s="20">
        <f t="shared" si="81"/>
        <v>115.11218554695654</v>
      </c>
      <c r="HM40" s="20">
        <f t="shared" si="81"/>
        <v>113.96106369148697</v>
      </c>
      <c r="HN40" s="20">
        <f t="shared" si="81"/>
        <v>112.8214530545721</v>
      </c>
      <c r="HO40" s="20">
        <f t="shared" si="81"/>
        <v>111.69323852402638</v>
      </c>
      <c r="HP40" s="20">
        <f t="shared" si="81"/>
        <v>110.57630613878612</v>
      </c>
      <c r="HQ40" s="20">
        <f t="shared" si="81"/>
        <v>109.47054307739826</v>
      </c>
      <c r="HR40" s="20">
        <f t="shared" si="81"/>
        <v>108.37583764662428</v>
      </c>
      <c r="HS40" s="20">
        <f t="shared" si="81"/>
        <v>107.29207927015803</v>
      </c>
      <c r="HT40" s="20">
        <f t="shared" si="81"/>
        <v>106.21915847745645</v>
      </c>
      <c r="HU40" s="20">
        <f t="shared" si="81"/>
        <v>105.15696689268188</v>
      </c>
      <c r="HV40" s="20">
        <f t="shared" si="81"/>
        <v>104.10539722375506</v>
      </c>
      <c r="HW40" s="20">
        <f t="shared" si="81"/>
        <v>103.06434325151751</v>
      </c>
      <c r="HX40" s="20">
        <f t="shared" si="81"/>
        <v>102.03369981900234</v>
      </c>
      <c r="HY40" s="20">
        <f t="shared" si="81"/>
        <v>101.01336282081232</v>
      </c>
      <c r="HZ40" s="20">
        <f t="shared" si="81"/>
        <v>100.00322919260419</v>
      </c>
      <c r="IA40" s="20">
        <f t="shared" si="81"/>
        <v>99.003196900678148</v>
      </c>
      <c r="IB40" s="20">
        <f t="shared" si="81"/>
        <v>98.013164931671369</v>
      </c>
      <c r="IC40" s="20">
        <f t="shared" ref="IC40:KN40" si="82">IB40*(1+$AV$45)</f>
        <v>97.033033282354651</v>
      </c>
      <c r="ID40" s="20">
        <f t="shared" si="82"/>
        <v>96.062702949531101</v>
      </c>
      <c r="IE40" s="20">
        <f t="shared" si="82"/>
        <v>95.102075920035787</v>
      </c>
      <c r="IF40" s="20">
        <f t="shared" si="82"/>
        <v>94.151055160835426</v>
      </c>
      <c r="IG40" s="20">
        <f t="shared" si="82"/>
        <v>93.209544609227066</v>
      </c>
      <c r="IH40" s="20">
        <f t="shared" si="82"/>
        <v>92.27744916313479</v>
      </c>
      <c r="II40" s="20">
        <f t="shared" si="82"/>
        <v>91.354674671503446</v>
      </c>
      <c r="IJ40" s="20">
        <f t="shared" si="82"/>
        <v>90.441127924788404</v>
      </c>
      <c r="IK40" s="20">
        <f t="shared" si="82"/>
        <v>89.536716645540523</v>
      </c>
      <c r="IL40" s="20">
        <f t="shared" si="82"/>
        <v>88.641349479085122</v>
      </c>
      <c r="IM40" s="20">
        <f t="shared" si="82"/>
        <v>87.754935984294264</v>
      </c>
      <c r="IN40" s="20">
        <f t="shared" si="82"/>
        <v>86.877386624451319</v>
      </c>
      <c r="IO40" s="20">
        <f t="shared" si="82"/>
        <v>86.008612758206809</v>
      </c>
      <c r="IP40" s="20">
        <f t="shared" si="82"/>
        <v>85.148526630624744</v>
      </c>
      <c r="IQ40" s="20">
        <f t="shared" si="82"/>
        <v>84.297041364318503</v>
      </c>
      <c r="IR40" s="20">
        <f t="shared" si="82"/>
        <v>83.454070950675316</v>
      </c>
      <c r="IS40" s="20">
        <f t="shared" si="82"/>
        <v>82.619530241168562</v>
      </c>
      <c r="IT40" s="20">
        <f t="shared" si="82"/>
        <v>81.793334938756871</v>
      </c>
      <c r="IU40" s="20">
        <f t="shared" si="82"/>
        <v>80.975401589369298</v>
      </c>
      <c r="IV40" s="20">
        <f t="shared" si="82"/>
        <v>80.16564757347561</v>
      </c>
      <c r="IW40" s="20">
        <f t="shared" si="82"/>
        <v>79.36399109774085</v>
      </c>
      <c r="IX40" s="20">
        <f t="shared" si="82"/>
        <v>78.570351186763446</v>
      </c>
      <c r="IY40" s="20">
        <f t="shared" si="82"/>
        <v>77.784647674895808</v>
      </c>
      <c r="IZ40" s="20">
        <f t="shared" si="82"/>
        <v>77.006801198146846</v>
      </c>
      <c r="JA40" s="20">
        <f t="shared" si="82"/>
        <v>76.236733186165381</v>
      </c>
      <c r="JB40" s="20">
        <f t="shared" si="82"/>
        <v>75.474365854303727</v>
      </c>
      <c r="JC40" s="20">
        <f t="shared" si="82"/>
        <v>74.719622195760692</v>
      </c>
      <c r="JD40" s="20">
        <f t="shared" si="82"/>
        <v>73.972425973803084</v>
      </c>
      <c r="JE40" s="20">
        <f t="shared" si="82"/>
        <v>73.232701714065058</v>
      </c>
      <c r="JF40" s="20">
        <f t="shared" si="82"/>
        <v>72.500374696924411</v>
      </c>
      <c r="JG40" s="20">
        <f t="shared" si="82"/>
        <v>71.77537094995516</v>
      </c>
      <c r="JH40" s="20">
        <f t="shared" si="82"/>
        <v>71.057617240455613</v>
      </c>
      <c r="JI40" s="20">
        <f t="shared" si="82"/>
        <v>70.347041068051055</v>
      </c>
      <c r="JJ40" s="20">
        <f t="shared" si="82"/>
        <v>69.643570657370546</v>
      </c>
      <c r="JK40" s="20">
        <f t="shared" si="82"/>
        <v>68.947134950796837</v>
      </c>
      <c r="JL40" s="20">
        <f t="shared" si="82"/>
        <v>68.257663601288868</v>
      </c>
      <c r="JM40" s="20">
        <f t="shared" si="82"/>
        <v>67.575086965275986</v>
      </c>
      <c r="JN40" s="20">
        <f t="shared" si="82"/>
        <v>66.899336095623227</v>
      </c>
      <c r="JO40" s="20">
        <f t="shared" si="82"/>
        <v>66.230342734666991</v>
      </c>
      <c r="JP40" s="20">
        <f t="shared" si="82"/>
        <v>65.568039307320319</v>
      </c>
      <c r="JQ40" s="20">
        <f t="shared" si="82"/>
        <v>64.912358914247122</v>
      </c>
      <c r="JR40" s="20">
        <f t="shared" si="82"/>
        <v>64.263235325104645</v>
      </c>
      <c r="JS40" s="20">
        <f t="shared" si="82"/>
        <v>63.6206029718536</v>
      </c>
      <c r="JT40" s="20">
        <f t="shared" si="82"/>
        <v>62.984396942135064</v>
      </c>
      <c r="JU40" s="20">
        <f t="shared" si="82"/>
        <v>62.354552972713712</v>
      </c>
      <c r="JV40" s="20">
        <f t="shared" si="82"/>
        <v>61.731007442986574</v>
      </c>
      <c r="JW40" s="20">
        <f t="shared" si="82"/>
        <v>61.113697368556707</v>
      </c>
      <c r="JX40" s="20">
        <f t="shared" si="82"/>
        <v>60.502560394871139</v>
      </c>
      <c r="JY40" s="20">
        <f t="shared" si="82"/>
        <v>59.897534790922428</v>
      </c>
      <c r="JZ40" s="20">
        <f t="shared" si="82"/>
        <v>59.298559443013204</v>
      </c>
      <c r="KA40" s="20">
        <f t="shared" si="82"/>
        <v>58.705573848583072</v>
      </c>
      <c r="KB40" s="20">
        <f t="shared" si="82"/>
        <v>58.118518110097241</v>
      </c>
      <c r="KC40" s="20">
        <f t="shared" si="82"/>
        <v>57.537332928996271</v>
      </c>
      <c r="KD40" s="20">
        <f t="shared" si="82"/>
        <v>56.961959599706304</v>
      </c>
      <c r="KE40" s="20">
        <f t="shared" si="82"/>
        <v>56.392340003709243</v>
      </c>
      <c r="KF40" s="20">
        <f t="shared" si="82"/>
        <v>55.828416603672153</v>
      </c>
      <c r="KG40" s="20">
        <f t="shared" si="82"/>
        <v>55.270132437635432</v>
      </c>
      <c r="KH40" s="20">
        <f t="shared" si="82"/>
        <v>54.717431113259074</v>
      </c>
      <c r="KI40" s="20">
        <f t="shared" si="82"/>
        <v>54.170256802126481</v>
      </c>
      <c r="KJ40" s="20">
        <f t="shared" si="82"/>
        <v>53.628554234105216</v>
      </c>
      <c r="KK40" s="20">
        <f t="shared" si="82"/>
        <v>53.092268691764161</v>
      </c>
      <c r="KL40" s="20">
        <f t="shared" si="82"/>
        <v>52.56134600484652</v>
      </c>
      <c r="KM40" s="20">
        <f t="shared" si="82"/>
        <v>52.035732544798051</v>
      </c>
      <c r="KN40" s="20">
        <f t="shared" si="82"/>
        <v>51.515375219350069</v>
      </c>
      <c r="KO40" s="20">
        <f t="shared" ref="KO40:MZ40" si="83">KN40*(1+$AV$45)</f>
        <v>51.000221467156571</v>
      </c>
      <c r="KP40" s="20">
        <f t="shared" si="83"/>
        <v>50.490219252485005</v>
      </c>
      <c r="KQ40" s="20">
        <f t="shared" si="83"/>
        <v>49.985317059960153</v>
      </c>
      <c r="KR40" s="20">
        <f t="shared" si="83"/>
        <v>49.485463889360553</v>
      </c>
      <c r="KS40" s="20">
        <f t="shared" si="83"/>
        <v>48.990609250466946</v>
      </c>
      <c r="KT40" s="20">
        <f t="shared" si="83"/>
        <v>48.500703157962278</v>
      </c>
      <c r="KU40" s="20">
        <f t="shared" si="83"/>
        <v>48.015696126382657</v>
      </c>
      <c r="KV40" s="20">
        <f t="shared" si="83"/>
        <v>47.535539165118827</v>
      </c>
      <c r="KW40" s="20">
        <f t="shared" si="83"/>
        <v>47.060183773467635</v>
      </c>
      <c r="KX40" s="20">
        <f t="shared" si="83"/>
        <v>46.589581935732959</v>
      </c>
    </row>
    <row r="41" spans="1:310" x14ac:dyDescent="0.25">
      <c r="B41" s="1" t="s">
        <v>3</v>
      </c>
      <c r="C41" s="2">
        <v>377</v>
      </c>
      <c r="D41" s="2">
        <v>377</v>
      </c>
      <c r="E41" s="2">
        <v>376</v>
      </c>
      <c r="F41" s="2">
        <v>388.60736100000003</v>
      </c>
      <c r="G41" s="2">
        <v>393.234825</v>
      </c>
      <c r="H41" s="2">
        <v>409.33299699999998</v>
      </c>
      <c r="I41" s="2">
        <v>407.67738500000002</v>
      </c>
      <c r="J41" s="2">
        <v>408.36590200000001</v>
      </c>
      <c r="K41" s="2">
        <v>410.06837300000001</v>
      </c>
      <c r="L41" s="2">
        <v>397.484849</v>
      </c>
      <c r="M41" s="2">
        <v>407.67738500000002</v>
      </c>
      <c r="N41" s="2">
        <v>408.78491400000001</v>
      </c>
      <c r="O41" s="2">
        <v>411.872771</v>
      </c>
      <c r="P41" s="2">
        <v>412.10284100000001</v>
      </c>
      <c r="Q41" s="2">
        <v>413.10541899999998</v>
      </c>
      <c r="R41" s="2">
        <v>410.07578000000001</v>
      </c>
      <c r="S41" s="2">
        <v>407.01709199999999</v>
      </c>
      <c r="T41" s="2">
        <v>403.78241600000001</v>
      </c>
      <c r="U41" s="2">
        <v>402.91785199999998</v>
      </c>
      <c r="V41" s="2">
        <v>400.20153900000003</v>
      </c>
      <c r="W41" s="2">
        <v>400.36052899999999</v>
      </c>
      <c r="X41" s="2">
        <v>397.45526100000001</v>
      </c>
      <c r="Y41" s="2">
        <v>400.99273499999998</v>
      </c>
      <c r="Z41" s="2">
        <v>401.58329700000002</v>
      </c>
      <c r="AG41" s="2">
        <v>388.60736100000003</v>
      </c>
      <c r="AH41" s="2">
        <f>J41</f>
        <v>408.36590200000001</v>
      </c>
      <c r="AI41" s="2">
        <f>N41</f>
        <v>408.78491400000001</v>
      </c>
      <c r="AJ41" s="2">
        <f>R41</f>
        <v>410.07578000000001</v>
      </c>
      <c r="AK41" s="2">
        <f>V41</f>
        <v>400.20153900000003</v>
      </c>
      <c r="AL41" s="2">
        <f>Z41</f>
        <v>401.58329700000002</v>
      </c>
      <c r="AM41" s="2">
        <f t="shared" ref="AM41:AN41" si="84">AL41*1.01</f>
        <v>405.59912997000004</v>
      </c>
      <c r="AN41" s="2">
        <f t="shared" si="84"/>
        <v>409.65512126970003</v>
      </c>
      <c r="AO41" s="2">
        <f>AN41*0.99</f>
        <v>405.55857005700301</v>
      </c>
      <c r="AP41" s="2">
        <f t="shared" ref="AP41:AQ41" si="85">AO41*0.99</f>
        <v>401.50298435643299</v>
      </c>
      <c r="AQ41" s="2">
        <f t="shared" si="85"/>
        <v>397.48795451286867</v>
      </c>
    </row>
    <row r="42" spans="1:310" x14ac:dyDescent="0.25">
      <c r="B42" s="1" t="s">
        <v>19</v>
      </c>
      <c r="C42" s="21">
        <f>C40/C41</f>
        <v>-4.9413793103448476E-2</v>
      </c>
      <c r="D42" s="21">
        <f t="shared" ref="D42:Z42" si="86">D40/D41</f>
        <v>0.20432891246684348</v>
      </c>
      <c r="E42" s="21">
        <f t="shared" si="86"/>
        <v>0.34463031914893621</v>
      </c>
      <c r="F42" s="21">
        <f t="shared" si="86"/>
        <v>0.25027832656005616</v>
      </c>
      <c r="G42" s="21">
        <f t="shared" si="86"/>
        <v>0.37242632312639179</v>
      </c>
      <c r="H42" s="21">
        <f t="shared" si="86"/>
        <v>0.1303755142906303</v>
      </c>
      <c r="I42" s="21">
        <f t="shared" si="86"/>
        <v>0.30469436022309665</v>
      </c>
      <c r="J42" s="21">
        <f t="shared" si="86"/>
        <v>0.23460577763909427</v>
      </c>
      <c r="K42" s="21">
        <f t="shared" si="86"/>
        <v>0.37235010074771063</v>
      </c>
      <c r="L42" s="21">
        <f t="shared" si="86"/>
        <v>-0.74513028797230929</v>
      </c>
      <c r="M42" s="21">
        <f t="shared" si="86"/>
        <v>6.8976109626488147E-2</v>
      </c>
      <c r="N42" s="21">
        <f t="shared" si="86"/>
        <v>0.19238234412926494</v>
      </c>
      <c r="O42" s="21">
        <f t="shared" si="86"/>
        <v>0.34599033981782673</v>
      </c>
      <c r="P42" s="21">
        <f t="shared" si="86"/>
        <v>0.2677535532932665</v>
      </c>
      <c r="Q42" s="21">
        <f t="shared" si="86"/>
        <v>0.45924839344700014</v>
      </c>
      <c r="R42" s="21">
        <f t="shared" si="86"/>
        <v>0.38122709904983809</v>
      </c>
      <c r="S42" s="21">
        <f t="shared" si="86"/>
        <v>0.48117389625495138</v>
      </c>
      <c r="T42" s="21">
        <f t="shared" si="86"/>
        <v>0.12318020307253781</v>
      </c>
      <c r="U42" s="21">
        <f t="shared" si="86"/>
        <v>0.42920659668363381</v>
      </c>
      <c r="V42" s="21">
        <f t="shared" si="86"/>
        <v>0.37640784784688103</v>
      </c>
      <c r="W42" s="21">
        <f t="shared" si="86"/>
        <v>0.28649177851396063</v>
      </c>
      <c r="X42" s="21">
        <f t="shared" si="86"/>
        <v>-4.0256103189436022E-3</v>
      </c>
      <c r="Y42" s="21">
        <f t="shared" si="86"/>
        <v>0.24888231453869164</v>
      </c>
      <c r="Z42" s="21">
        <f t="shared" si="86"/>
        <v>0.31575018420151113</v>
      </c>
      <c r="AA42" s="21"/>
      <c r="AB42" s="21"/>
      <c r="AC42" s="21"/>
      <c r="AD42" s="21"/>
      <c r="AG42" s="21">
        <f t="shared" ref="AG42:AQ42" si="87">AG40/AG41</f>
        <v>0.73401594675403092</v>
      </c>
      <c r="AH42" s="21">
        <f t="shared" si="87"/>
        <v>1.0280975907728962</v>
      </c>
      <c r="AI42" s="21">
        <f t="shared" si="87"/>
        <v>-8.984186730530902E-2</v>
      </c>
      <c r="AJ42" s="21">
        <f t="shared" si="87"/>
        <v>1.4604520169418433</v>
      </c>
      <c r="AK42" s="21">
        <f t="shared" si="87"/>
        <v>1.4221784389489827</v>
      </c>
      <c r="AL42" s="21">
        <f t="shared" si="87"/>
        <v>0.84590171587739127</v>
      </c>
      <c r="AM42" s="21">
        <f t="shared" si="87"/>
        <v>0.97253990036011562</v>
      </c>
      <c r="AN42" s="21">
        <f t="shared" si="87"/>
        <v>1.1266033577288335</v>
      </c>
      <c r="AO42" s="21">
        <f t="shared" si="87"/>
        <v>1.3110129341526293</v>
      </c>
      <c r="AP42" s="21">
        <f t="shared" si="87"/>
        <v>1.5070821979725009</v>
      </c>
      <c r="AQ42" s="21">
        <f t="shared" si="87"/>
        <v>1.715409786924232</v>
      </c>
    </row>
    <row r="43" spans="1:310" x14ac:dyDescent="0.25">
      <c r="N43" s="21"/>
      <c r="O43" s="21"/>
      <c r="P43" s="21"/>
      <c r="Q43" s="21"/>
      <c r="R43" s="21"/>
      <c r="S43" s="21"/>
      <c r="T43" s="21"/>
      <c r="U43" s="21"/>
      <c r="V43" s="21"/>
      <c r="W43" s="21"/>
      <c r="X43" s="21"/>
      <c r="Y43" s="21"/>
      <c r="Z43" s="21"/>
      <c r="AA43" s="21"/>
      <c r="AB43" s="21"/>
      <c r="AC43" s="21"/>
      <c r="AD43" s="21"/>
      <c r="AL43" s="32"/>
    </row>
    <row r="45" spans="1:310" x14ac:dyDescent="0.25">
      <c r="B45" s="1" t="s">
        <v>30</v>
      </c>
      <c r="C45" s="4"/>
      <c r="D45" s="4"/>
      <c r="E45" s="4"/>
      <c r="F45" s="4"/>
      <c r="G45" s="4">
        <f>G30/C30-1</f>
        <v>6.7555267789697782E-2</v>
      </c>
      <c r="H45" s="4">
        <f>H30/D30-1</f>
        <v>5.3942148534768863E-2</v>
      </c>
      <c r="I45" s="4">
        <f>I30/E30-1</f>
        <v>3.7964269344899826E-2</v>
      </c>
      <c r="J45" s="4">
        <f>J30/F30-1</f>
        <v>-1.4606812156847782E-2</v>
      </c>
      <c r="K45" s="4">
        <f>K30/G30-1</f>
        <v>4.9961727704819214E-2</v>
      </c>
      <c r="L45" s="4">
        <f>L30/H30-1</f>
        <v>-0.62104742029338733</v>
      </c>
      <c r="M45" s="4">
        <f>M30/I30-1</f>
        <v>-0.26535902274993595</v>
      </c>
      <c r="N45" s="4">
        <f>N30/J30-1</f>
        <v>-0.11650584467247405</v>
      </c>
      <c r="O45" s="4">
        <f>O30/K30-1</f>
        <v>-0.133138927287624</v>
      </c>
      <c r="P45" s="4">
        <f>P30/L30-1</f>
        <v>1.5645493244791391</v>
      </c>
      <c r="Q45" s="4">
        <f>Q30/M30-1</f>
        <v>0.40871332019546869</v>
      </c>
      <c r="R45" s="4">
        <f>R30/N30-1</f>
        <v>0.215697013253902</v>
      </c>
      <c r="S45" s="4">
        <f>S30/O30-1</f>
        <v>0.21902539977726754</v>
      </c>
      <c r="T45" s="4">
        <f>T30/P30-1</f>
        <v>0.15296429150819257</v>
      </c>
      <c r="U45" s="4">
        <f>U30/Q30-1</f>
        <v>1.3066396364272759E-2</v>
      </c>
      <c r="V45" s="4">
        <f>V30/R30-1</f>
        <v>-5.7005628624729354E-2</v>
      </c>
      <c r="W45" s="4">
        <f>W30/S30-1</f>
        <v>6.1158786148450606E-2</v>
      </c>
      <c r="X45" s="4">
        <f>X30/T30-1</f>
        <v>-9.132249690548E-2</v>
      </c>
      <c r="Y45" s="4">
        <f>Y30/U30-1</f>
        <v>-4.0536532313877327E-3</v>
      </c>
      <c r="Z45" s="4">
        <f>Z30/V30-1</f>
        <v>3.371290060859633E-2</v>
      </c>
      <c r="AA45" s="4"/>
      <c r="AB45" s="4"/>
      <c r="AC45" s="4"/>
      <c r="AD45" s="4"/>
      <c r="AG45" s="4"/>
      <c r="AH45" s="4">
        <f>AH30/AG30-1</f>
        <v>3.3655998450346614E-2</v>
      </c>
      <c r="AI45" s="4">
        <f>AI30/AH30-1</f>
        <v>-0.2273916739414138</v>
      </c>
      <c r="AJ45" s="4">
        <f>AJ30/AI30-1</f>
        <v>0.29450755725463429</v>
      </c>
      <c r="AK45" s="4">
        <f>AK30/AJ30-1</f>
        <v>7.0206192435169346E-2</v>
      </c>
      <c r="AL45" s="4">
        <f>AL30/AK30-1</f>
        <v>1.685957915896541E-3</v>
      </c>
      <c r="AM45" s="4">
        <f>AM30/AL30-1</f>
        <v>3.0000000000000027E-2</v>
      </c>
      <c r="AN45" s="4">
        <f>AN30/AM30-1</f>
        <v>3.0000000000000027E-2</v>
      </c>
      <c r="AO45" s="4">
        <f>AO30/AN30-1</f>
        <v>3.0000000000000027E-2</v>
      </c>
      <c r="AP45" s="4">
        <f>AP30/AO30-1</f>
        <v>3.0000000000000027E-2</v>
      </c>
      <c r="AQ45" s="4">
        <f>AQ30/AP30-1</f>
        <v>3.0000000000000027E-2</v>
      </c>
      <c r="AU45" s="1" t="s">
        <v>39</v>
      </c>
      <c r="AV45" s="4">
        <v>-0.01</v>
      </c>
    </row>
    <row r="46" spans="1:310" x14ac:dyDescent="0.25">
      <c r="B46" s="1" t="s">
        <v>31</v>
      </c>
      <c r="C46" s="4"/>
      <c r="D46" s="4"/>
      <c r="E46" s="4"/>
      <c r="F46" s="4"/>
      <c r="G46" s="4">
        <f>G31/C31-1</f>
        <v>7.6109590941292327E-2</v>
      </c>
      <c r="H46" s="4">
        <f>H31/D31-1</f>
        <v>6.5497116714359205E-2</v>
      </c>
      <c r="I46" s="4">
        <f>I31/E31-1</f>
        <v>4.2513611128562889E-2</v>
      </c>
      <c r="J46" s="4">
        <f>J31/F31-1</f>
        <v>-3.6585496905089832E-2</v>
      </c>
      <c r="K46" s="4">
        <f>K31/G31-1</f>
        <v>2.3247141870636145E-2</v>
      </c>
      <c r="L46" s="4">
        <f>L31/H31-1</f>
        <v>-0.46468424549849241</v>
      </c>
      <c r="M46" s="4">
        <f>M31/I31-1</f>
        <v>-0.28610610949017767</v>
      </c>
      <c r="N46" s="4">
        <f>N31/J31-1</f>
        <v>-0.13650496645343357</v>
      </c>
      <c r="O46" s="4">
        <f>O31/K31-1</f>
        <v>-0.18180291212194377</v>
      </c>
      <c r="P46" s="4">
        <f>P31/L31-1</f>
        <v>0.60349507456769036</v>
      </c>
      <c r="Q46" s="4">
        <f>Q31/M31-1</f>
        <v>0.30830555481204969</v>
      </c>
      <c r="R46" s="4">
        <f>R31/N31-1</f>
        <v>0.14717370488722126</v>
      </c>
      <c r="S46" s="4">
        <f>S31/O31-1</f>
        <v>0.18765774699261129</v>
      </c>
      <c r="T46" s="4">
        <f>T31/P31-1</f>
        <v>0.17185461323392359</v>
      </c>
      <c r="U46" s="4">
        <f>U31/Q31-1</f>
        <v>2.9652501388829799E-2</v>
      </c>
      <c r="V46" s="4">
        <f>V31/R31-1</f>
        <v>-1.2745353329908338E-2</v>
      </c>
      <c r="W46" s="4">
        <f>W31/S31-1</f>
        <v>0.15224228880445234</v>
      </c>
      <c r="X46" s="4">
        <f>X31/T31-1</f>
        <v>-0.10310553360838526</v>
      </c>
      <c r="Y46" s="4">
        <f>Y31/U31-1</f>
        <v>2.6336262301897229E-2</v>
      </c>
      <c r="Z46" s="4">
        <f>Z31/V31-1</f>
        <v>-1.254633589962928E-2</v>
      </c>
      <c r="AA46" s="4"/>
      <c r="AB46" s="4"/>
      <c r="AC46" s="4"/>
      <c r="AD46" s="4"/>
      <c r="AG46" s="4"/>
      <c r="AH46" s="4">
        <f>AH31/AG31-1</f>
        <v>3.2686767812559969E-2</v>
      </c>
      <c r="AI46" s="4">
        <f>AI31/AH31-1</f>
        <v>-0.21115303898164872</v>
      </c>
      <c r="AJ46" s="4">
        <f>AJ31/AI31-1</f>
        <v>0.15123220864081999</v>
      </c>
      <c r="AK46" s="4">
        <f>AK31/AJ31-1</f>
        <v>8.3783677564148951E-2</v>
      </c>
      <c r="AL46" s="4">
        <f>AL31/AK31-1</f>
        <v>1.662411169925071E-2</v>
      </c>
      <c r="AM46" s="4">
        <f>AM31/AL31-1</f>
        <v>2.0000000000000018E-2</v>
      </c>
      <c r="AN46" s="4">
        <f>AN31/AM31-1</f>
        <v>2.0000000000000018E-2</v>
      </c>
      <c r="AO46" s="4">
        <f>AO31/AN31-1</f>
        <v>2.0000000000000018E-2</v>
      </c>
      <c r="AP46" s="4">
        <f>AP31/AO31-1</f>
        <v>2.0000000000000018E-2</v>
      </c>
      <c r="AQ46" s="4">
        <f>AQ31/AP31-1</f>
        <v>2.0000000000000018E-2</v>
      </c>
      <c r="AU46" s="1" t="s">
        <v>40</v>
      </c>
      <c r="AV46" s="4">
        <f>WACC!C18</f>
        <v>6.2908523021171267E-2</v>
      </c>
    </row>
    <row r="47" spans="1:310" x14ac:dyDescent="0.25">
      <c r="B47" s="1" t="s">
        <v>32</v>
      </c>
      <c r="C47" s="4"/>
      <c r="D47" s="4"/>
      <c r="E47" s="4"/>
      <c r="F47" s="4"/>
      <c r="G47" s="4">
        <f>G34/C34-1</f>
        <v>3.1684765746199162E-2</v>
      </c>
      <c r="H47" s="4">
        <f>H34/D34-1</f>
        <v>7.2636968266333257E-2</v>
      </c>
      <c r="I47" s="4">
        <f>I34/E34-1</f>
        <v>2.1571207284292404E-2</v>
      </c>
      <c r="J47" s="4">
        <f>J34/F34-1</f>
        <v>4.9090170377517062E-3</v>
      </c>
      <c r="K47" s="4">
        <f>K34/G34-1</f>
        <v>0.1351598911145635</v>
      </c>
      <c r="L47" s="4">
        <f>L34/H34-1</f>
        <v>-0.13646523665738597</v>
      </c>
      <c r="M47" s="4">
        <f>M34/I34-1</f>
        <v>-0.18727247081581389</v>
      </c>
      <c r="N47" s="4">
        <f>N34/J34-1</f>
        <v>-9.3356156104419719E-2</v>
      </c>
      <c r="O47" s="4">
        <f>O34/K34-1</f>
        <v>-0.11753779076368753</v>
      </c>
      <c r="P47" s="4">
        <f>P34/L34-1</f>
        <v>0.14114890331955854</v>
      </c>
      <c r="Q47" s="4">
        <f>Q34/M34-1</f>
        <v>0.34185395928116002</v>
      </c>
      <c r="R47" s="4">
        <f>R34/N34-1</f>
        <v>0.21190978245545211</v>
      </c>
      <c r="S47" s="4">
        <f>S34/O34-1</f>
        <v>0.21696465639399842</v>
      </c>
      <c r="T47" s="4">
        <f>T34/P34-1</f>
        <v>0.2397621257149043</v>
      </c>
      <c r="U47" s="4">
        <f>U34/Q34-1</f>
        <v>2.2007513934653389E-2</v>
      </c>
      <c r="V47" s="4">
        <f>V34/R34-1</f>
        <v>-5.1260749659538862E-2</v>
      </c>
      <c r="W47" s="4">
        <f>W34/S34-1</f>
        <v>0.10646540057740883</v>
      </c>
      <c r="X47" s="4">
        <f>X34/T34-1</f>
        <v>-5.8508814840207979E-3</v>
      </c>
      <c r="Y47" s="4">
        <f>Y34/U34-1</f>
        <v>7.6454645026086343E-2</v>
      </c>
      <c r="Z47" s="4">
        <f>Z34/V34-1</f>
        <v>6.4240970278555354E-2</v>
      </c>
      <c r="AA47" s="4"/>
      <c r="AB47" s="4"/>
      <c r="AC47" s="4"/>
      <c r="AD47" s="4"/>
      <c r="AG47" s="4"/>
      <c r="AH47" s="4">
        <f>AH34/AG34-1</f>
        <v>3.1386364709118375E-2</v>
      </c>
      <c r="AI47" s="4">
        <f>AI34/AH34-1</f>
        <v>-7.3803664184056705E-2</v>
      </c>
      <c r="AJ47" s="4">
        <f>AJ34/AI34-1</f>
        <v>0.12941062212582244</v>
      </c>
      <c r="AK47" s="4">
        <f>AK34/AJ34-1</f>
        <v>9.4609109931373059E-2</v>
      </c>
      <c r="AL47" s="4">
        <f>AL34/AK34-1</f>
        <v>5.8544884963094512E-2</v>
      </c>
      <c r="AM47" s="4">
        <f>AM34/AL34-1</f>
        <v>2.0000000000000018E-2</v>
      </c>
      <c r="AN47" s="4">
        <f>AN34/AM34-1</f>
        <v>2.0000000000000018E-2</v>
      </c>
      <c r="AO47" s="4">
        <f>AO34/AN34-1</f>
        <v>2.0000000000000018E-2</v>
      </c>
      <c r="AP47" s="4">
        <f>AP34/AO34-1</f>
        <v>2.0000000000000018E-2</v>
      </c>
      <c r="AQ47" s="4">
        <f>AQ34/AP34-1</f>
        <v>2.0000000000000018E-2</v>
      </c>
      <c r="AU47" s="1" t="s">
        <v>41</v>
      </c>
      <c r="AV47" s="2">
        <f>NPV(AV46,AL40:KX40)</f>
        <v>8809.0541402211111</v>
      </c>
    </row>
    <row r="48" spans="1:310" x14ac:dyDescent="0.25">
      <c r="B48" s="1" t="s">
        <v>33</v>
      </c>
      <c r="C48" s="4"/>
      <c r="D48" s="4"/>
      <c r="E48" s="4"/>
      <c r="F48" s="4"/>
      <c r="G48" s="4">
        <f>G35/C35-1</f>
        <v>0.15401007472759876</v>
      </c>
      <c r="H48" s="4">
        <f>H35/D35-1</f>
        <v>-0.17806178453818378</v>
      </c>
      <c r="I48" s="4">
        <f>I35/E35-1</f>
        <v>7.9497380350421754E-2</v>
      </c>
      <c r="J48" s="4">
        <f>J35/F35-1</f>
        <v>3.5676442113488083E-3</v>
      </c>
      <c r="K48" s="4">
        <f>K35/G35-1</f>
        <v>-0.1101477263677646</v>
      </c>
      <c r="L48" s="4">
        <f>L35/H35-1</f>
        <v>-7.0554071671595251</v>
      </c>
      <c r="M48" s="4">
        <f>M35/I35-1</f>
        <v>-0.45451996869488032</v>
      </c>
      <c r="N48" s="4">
        <f>N35/J35-1</f>
        <v>-0.13411623508321613</v>
      </c>
      <c r="O48" s="4">
        <f>O35/K35-1</f>
        <v>-9.2794576635224502E-3</v>
      </c>
      <c r="P48" s="4">
        <f>P35/L35-1</f>
        <v>-1.3202379795889969</v>
      </c>
      <c r="Q48" s="4">
        <f>Q35/M35-1</f>
        <v>1.2773459248790076</v>
      </c>
      <c r="R48" s="4">
        <f>R35/N35-1</f>
        <v>0.60966216631137238</v>
      </c>
      <c r="S48" s="4">
        <f>S35/O35-1</f>
        <v>0.32242565900532427</v>
      </c>
      <c r="T48" s="4">
        <f>T35/P35-1</f>
        <v>-0.37553496761498795</v>
      </c>
      <c r="U48" s="4">
        <f>U35/Q35-1</f>
        <v>-6.3786172688590659E-2</v>
      </c>
      <c r="V48" s="4">
        <f>V35/R35-1</f>
        <v>-0.25314054946672016</v>
      </c>
      <c r="W48" s="4">
        <f>W35/S35-1</f>
        <v>-0.32801666723590239</v>
      </c>
      <c r="X48" s="4">
        <f>X35/T35-1</f>
        <v>-0.87002074416406294</v>
      </c>
      <c r="Y48" s="4">
        <f>Y35/U35-1</f>
        <v>-0.37226306697199696</v>
      </c>
      <c r="Z48" s="4">
        <f>Z35/V35-1</f>
        <v>0.10333554681514423</v>
      </c>
      <c r="AA48" s="4"/>
      <c r="AB48" s="4"/>
      <c r="AC48" s="4"/>
      <c r="AD48" s="4"/>
      <c r="AG48" s="4"/>
      <c r="AH48" s="4">
        <f>AH35/AG35-1</f>
        <v>4.8600047001263968E-2</v>
      </c>
      <c r="AI48" s="4">
        <f>AI35/AH35-1</f>
        <v>-0.99065425508448435</v>
      </c>
      <c r="AJ48" s="4">
        <f>AJ35/AI35-1</f>
        <v>130.28304380665088</v>
      </c>
      <c r="AK48" s="4">
        <f>AK35/AJ35-1</f>
        <v>-7.0058609902555302E-2</v>
      </c>
      <c r="AL48" s="4">
        <f>AL35/AK35-1</f>
        <v>-0.31406741781568803</v>
      </c>
      <c r="AM48" s="4">
        <f>AM35/AL35-1</f>
        <v>0.15932356257046187</v>
      </c>
      <c r="AN48" s="4">
        <f>AN35/AM35-1</f>
        <v>0.1437818966858555</v>
      </c>
      <c r="AO48" s="4">
        <f>AO35/AN35-1</f>
        <v>0.1314682387926005</v>
      </c>
      <c r="AP48" s="4">
        <f>AP35/AO35-1</f>
        <v>0.12147194770477676</v>
      </c>
      <c r="AQ48" s="4">
        <f>AQ35/AP35-1</f>
        <v>0.11319547078268433</v>
      </c>
      <c r="AU48" s="1" t="s">
        <v>42</v>
      </c>
      <c r="AV48" s="2">
        <f>Main!C7-Main!C8</f>
        <v>-1769.2</v>
      </c>
    </row>
    <row r="49" spans="2:48" x14ac:dyDescent="0.25">
      <c r="B49" s="1" t="s">
        <v>34</v>
      </c>
      <c r="C49" s="4"/>
      <c r="D49" s="4"/>
      <c r="E49" s="4"/>
      <c r="F49" s="4"/>
      <c r="G49" s="4">
        <f>G40/C40-1</f>
        <v>-8.8614525739438257</v>
      </c>
      <c r="H49" s="4">
        <f t="shared" ref="H49:Z49" si="88">H40/D40-1</f>
        <v>-0.30720999065323462</v>
      </c>
      <c r="I49" s="4">
        <f t="shared" si="88"/>
        <v>-4.1394957594091286E-2</v>
      </c>
      <c r="J49" s="4">
        <f t="shared" si="88"/>
        <v>-1.4959901295491407E-2</v>
      </c>
      <c r="K49" s="4">
        <f t="shared" si="88"/>
        <v>4.2594451386468224E-2</v>
      </c>
      <c r="L49" s="4">
        <f t="shared" si="88"/>
        <v>-6.5498341671819613</v>
      </c>
      <c r="M49" s="4">
        <f t="shared" si="88"/>
        <v>-0.77362196800759964</v>
      </c>
      <c r="N49" s="4">
        <f t="shared" si="88"/>
        <v>-0.17913470069411996</v>
      </c>
      <c r="O49" s="4">
        <f t="shared" si="88"/>
        <v>-6.6704215758829233E-2</v>
      </c>
      <c r="P49" s="4">
        <f t="shared" si="88"/>
        <v>-1.3725529917819692</v>
      </c>
      <c r="Q49" s="4">
        <f t="shared" si="88"/>
        <v>5.7467283072546138</v>
      </c>
      <c r="R49" s="4">
        <f t="shared" si="88"/>
        <v>0.98786923184516962</v>
      </c>
      <c r="S49" s="4">
        <f t="shared" si="88"/>
        <v>0.37431931735249613</v>
      </c>
      <c r="T49" s="4">
        <f t="shared" si="88"/>
        <v>-0.54923782421924627</v>
      </c>
      <c r="U49" s="4">
        <f t="shared" si="88"/>
        <v>-8.8462876479826869E-2</v>
      </c>
      <c r="V49" s="4">
        <f t="shared" si="88"/>
        <v>-3.6416088836578542E-2</v>
      </c>
      <c r="W49" s="4">
        <f t="shared" si="88"/>
        <v>-0.41433575360231967</v>
      </c>
      <c r="X49" s="4">
        <f t="shared" si="88"/>
        <v>-1.0321685632715434</v>
      </c>
      <c r="Y49" s="4">
        <f t="shared" si="88"/>
        <v>-0.42290455951658024</v>
      </c>
      <c r="Z49" s="4">
        <f t="shared" si="88"/>
        <v>-0.15825251096993165</v>
      </c>
      <c r="AA49" s="4"/>
      <c r="AB49" s="4"/>
      <c r="AC49" s="4"/>
      <c r="AD49" s="4"/>
      <c r="AG49" s="4"/>
      <c r="AH49" s="4">
        <f>AH40/AG40-1</f>
        <v>0.4718626859811248</v>
      </c>
      <c r="AI49" s="4">
        <f t="shared" ref="AI49:AQ49" si="89">AI40/AH40-1</f>
        <v>-1.0874761814024392</v>
      </c>
      <c r="AJ49" s="4">
        <f t="shared" si="89"/>
        <v>-17.307139356314245</v>
      </c>
      <c r="AK49" s="4">
        <f t="shared" si="89"/>
        <v>-4.9654697977610796E-2</v>
      </c>
      <c r="AL49" s="4">
        <f t="shared" si="89"/>
        <v>-0.40315343015472016</v>
      </c>
      <c r="AM49" s="4">
        <f t="shared" si="89"/>
        <v>0.16120499690071655</v>
      </c>
      <c r="AN49" s="4">
        <f t="shared" si="89"/>
        <v>0.16999764316588695</v>
      </c>
      <c r="AO49" s="4">
        <f t="shared" si="89"/>
        <v>0.1520494732304003</v>
      </c>
      <c r="AP49" s="4">
        <f t="shared" si="89"/>
        <v>0.13805999706412875</v>
      </c>
      <c r="AQ49" s="4">
        <f t="shared" si="89"/>
        <v>0.12685007582179475</v>
      </c>
      <c r="AU49" s="1" t="s">
        <v>43</v>
      </c>
      <c r="AV49" s="2">
        <f>AV47+AV48</f>
        <v>7039.8541402211113</v>
      </c>
    </row>
    <row r="50" spans="2:48" x14ac:dyDescent="0.25">
      <c r="B50" s="1" t="s">
        <v>35</v>
      </c>
      <c r="C50" s="4"/>
      <c r="D50" s="4"/>
      <c r="E50" s="4"/>
      <c r="F50" s="4"/>
      <c r="G50" s="4">
        <f t="shared" ref="G50:N50" si="90">G41/C41-1</f>
        <v>4.3063196286472261E-2</v>
      </c>
      <c r="H50" s="4">
        <f t="shared" si="90"/>
        <v>8.5763917771883191E-2</v>
      </c>
      <c r="I50" s="4">
        <f t="shared" si="90"/>
        <v>8.4248364361702244E-2</v>
      </c>
      <c r="J50" s="4">
        <f t="shared" si="90"/>
        <v>5.0844484646805244E-2</v>
      </c>
      <c r="K50" s="4">
        <f t="shared" si="90"/>
        <v>4.2807876947317691E-2</v>
      </c>
      <c r="L50" s="4">
        <f t="shared" si="90"/>
        <v>-2.8945010753677392E-2</v>
      </c>
      <c r="M50" s="4">
        <f t="shared" si="90"/>
        <v>0</v>
      </c>
      <c r="N50" s="4">
        <f t="shared" si="90"/>
        <v>1.0260699973916321E-3</v>
      </c>
      <c r="O50" s="4">
        <f t="shared" ref="O50:O51" si="91">O41/K41-1</f>
        <v>4.4002369331710423E-3</v>
      </c>
      <c r="P50" s="4">
        <f t="shared" ref="P50:P51" si="92">P41/L41-1</f>
        <v>3.677622439390138E-2</v>
      </c>
      <c r="Q50" s="4">
        <f t="shared" ref="Q50:Q51" si="93">Q41/M41-1</f>
        <v>1.3314533009967988E-2</v>
      </c>
      <c r="R50" s="4">
        <f t="shared" ref="R50:R51" si="94">R41/N41-1</f>
        <v>3.1578122278748122E-3</v>
      </c>
      <c r="S50" s="4">
        <f t="shared" ref="S50:S51" si="95">S41/O41-1</f>
        <v>-1.1789269264415703E-2</v>
      </c>
      <c r="T50" s="4">
        <f t="shared" ref="T50:T51" si="96">T41/P41-1</f>
        <v>-2.0190166560875467E-2</v>
      </c>
      <c r="U50" s="4">
        <f t="shared" ref="U50:U51" si="97">U41/Q41-1</f>
        <v>-2.4660937696389773E-2</v>
      </c>
      <c r="V50" s="4">
        <f t="shared" ref="V50:V51" si="98">V41/R41-1</f>
        <v>-2.4079064118344151E-2</v>
      </c>
      <c r="W50" s="4">
        <f t="shared" ref="W50:W51" si="99">W41/S41-1</f>
        <v>-1.6354504837354567E-2</v>
      </c>
      <c r="X50" s="4">
        <f t="shared" ref="X50:X51" si="100">X41/T41-1</f>
        <v>-1.5669714057087614E-2</v>
      </c>
      <c r="Y50" s="4">
        <f t="shared" ref="Y50:Y51" si="101">Y41/U41-1</f>
        <v>-4.7779392013636013E-3</v>
      </c>
      <c r="Z50" s="4">
        <f t="shared" ref="Z50:Z51" si="102">Z41/V41-1</f>
        <v>3.4526553882141542E-3</v>
      </c>
      <c r="AA50" s="4"/>
      <c r="AB50" s="4"/>
      <c r="AC50" s="4"/>
      <c r="AD50" s="4"/>
      <c r="AG50" s="4"/>
      <c r="AH50" s="4">
        <f>AH41/AG41-1</f>
        <v>5.0844484646805244E-2</v>
      </c>
      <c r="AI50" s="4">
        <f t="shared" ref="AI50:AN50" si="103">AI41/AH41-1</f>
        <v>1.0260699973916321E-3</v>
      </c>
      <c r="AJ50" s="4">
        <f t="shared" si="103"/>
        <v>3.1578122278748122E-3</v>
      </c>
      <c r="AK50" s="4">
        <f t="shared" si="103"/>
        <v>-2.4079064118344151E-2</v>
      </c>
      <c r="AL50" s="4">
        <f t="shared" si="103"/>
        <v>3.4526553882141542E-3</v>
      </c>
      <c r="AM50" s="4">
        <f t="shared" si="103"/>
        <v>1.0000000000000009E-2</v>
      </c>
      <c r="AN50" s="4">
        <f t="shared" si="103"/>
        <v>1.0000000000000009E-2</v>
      </c>
      <c r="AO50" s="4">
        <f t="shared" ref="AO50:AO51" si="104">AO41/AN41-1</f>
        <v>-1.0000000000000009E-2</v>
      </c>
      <c r="AP50" s="4">
        <f t="shared" ref="AP50:AP51" si="105">AP41/AO41-1</f>
        <v>-1.0000000000000009E-2</v>
      </c>
      <c r="AQ50" s="4">
        <f t="shared" ref="AQ50:AQ51" si="106">AQ41/AP41-1</f>
        <v>-1.0000000000000009E-2</v>
      </c>
      <c r="AU50" s="1" t="s">
        <v>44</v>
      </c>
      <c r="AV50" s="21">
        <f>AV49/Main!C5</f>
        <v>17.530246384279053</v>
      </c>
    </row>
    <row r="51" spans="2:48" x14ac:dyDescent="0.25">
      <c r="B51" s="1" t="s">
        <v>36</v>
      </c>
      <c r="C51" s="4"/>
      <c r="D51" s="4"/>
      <c r="E51" s="4"/>
      <c r="F51" s="4"/>
      <c r="G51" s="4">
        <f t="shared" ref="G51:N51" si="107">G42/C42-1</f>
        <v>-8.5368900004642825</v>
      </c>
      <c r="H51" s="4">
        <f t="shared" si="107"/>
        <v>-0.36193310718185134</v>
      </c>
      <c r="I51" s="4">
        <f t="shared" si="107"/>
        <v>-0.11588057320221079</v>
      </c>
      <c r="J51" s="4">
        <f t="shared" si="107"/>
        <v>-6.2620479912794846E-2</v>
      </c>
      <c r="K51" s="4">
        <f t="shared" si="107"/>
        <v>-2.0466431599486246E-4</v>
      </c>
      <c r="L51" s="4">
        <f t="shared" si="107"/>
        <v>-6.7152625017553591</v>
      </c>
      <c r="M51" s="4">
        <f t="shared" si="107"/>
        <v>-0.77362196800759964</v>
      </c>
      <c r="N51" s="4">
        <f t="shared" si="107"/>
        <v>-0.17997610261237351</v>
      </c>
      <c r="O51" s="4">
        <f t="shared" si="91"/>
        <v>-7.0792946952213165E-2</v>
      </c>
      <c r="P51" s="4">
        <f t="shared" si="92"/>
        <v>-1.3593379005192403</v>
      </c>
      <c r="Q51" s="4">
        <f t="shared" si="93"/>
        <v>5.6580790933827902</v>
      </c>
      <c r="R51" s="4">
        <f t="shared" si="94"/>
        <v>0.98161167426926221</v>
      </c>
      <c r="S51" s="4">
        <f t="shared" si="95"/>
        <v>0.39071482894089593</v>
      </c>
      <c r="T51" s="4">
        <f t="shared" si="96"/>
        <v>-0.53994932445351962</v>
      </c>
      <c r="U51" s="4">
        <f t="shared" si="97"/>
        <v>-6.5415137411543922E-2</v>
      </c>
      <c r="V51" s="4">
        <f t="shared" si="98"/>
        <v>-1.2641418238547253E-2</v>
      </c>
      <c r="W51" s="4">
        <f t="shared" si="99"/>
        <v>-0.40459825284835871</v>
      </c>
      <c r="X51" s="4">
        <f t="shared" si="100"/>
        <v>-1.0326806598668539</v>
      </c>
      <c r="Y51" s="4">
        <f t="shared" si="101"/>
        <v>-0.42013399499975146</v>
      </c>
      <c r="Z51" s="4">
        <f t="shared" si="102"/>
        <v>-0.16114877517124682</v>
      </c>
      <c r="AA51" s="4"/>
      <c r="AB51" s="4"/>
      <c r="AC51" s="4"/>
      <c r="AD51" s="4"/>
      <c r="AG51" s="4"/>
      <c r="AH51" s="4">
        <f>AH42/AG42-1</f>
        <v>0.40064748636505065</v>
      </c>
      <c r="AI51" s="4">
        <f t="shared" ref="AI51:AN51" si="108">AI42/AH42-1</f>
        <v>-1.087386516719457</v>
      </c>
      <c r="AJ51" s="4">
        <f t="shared" si="108"/>
        <v>-17.255806571548639</v>
      </c>
      <c r="AK51" s="4">
        <f t="shared" si="108"/>
        <v>-2.6206665846512878E-2</v>
      </c>
      <c r="AL51" s="4">
        <f t="shared" si="108"/>
        <v>-0.40520704525479312</v>
      </c>
      <c r="AM51" s="4">
        <f t="shared" si="108"/>
        <v>0.14970791772348147</v>
      </c>
      <c r="AN51" s="4">
        <f t="shared" si="108"/>
        <v>0.15841350808503663</v>
      </c>
      <c r="AO51" s="4">
        <f t="shared" si="104"/>
        <v>0.16368633659636411</v>
      </c>
      <c r="AP51" s="4">
        <f t="shared" si="105"/>
        <v>0.14955555259002873</v>
      </c>
      <c r="AQ51" s="4">
        <f t="shared" si="106"/>
        <v>0.13823239981999458</v>
      </c>
      <c r="AU51" s="1" t="s">
        <v>45</v>
      </c>
      <c r="AV51" s="21">
        <f>Main!C4</f>
        <v>18.175000000000001</v>
      </c>
    </row>
    <row r="52" spans="2:48" x14ac:dyDescent="0.25">
      <c r="B52" s="1" t="s">
        <v>37</v>
      </c>
      <c r="C52" s="4">
        <f t="shared" ref="C52:Z52" si="109">C32/C30</f>
        <v>0.54932815354789255</v>
      </c>
      <c r="D52" s="4">
        <f t="shared" si="109"/>
        <v>0.53853606926634889</v>
      </c>
      <c r="E52" s="4">
        <f t="shared" si="109"/>
        <v>0.53190862122019611</v>
      </c>
      <c r="F52" s="4">
        <f t="shared" si="109"/>
        <v>0.53234078373726312</v>
      </c>
      <c r="G52" s="4">
        <f t="shared" si="109"/>
        <v>0.54571691886412854</v>
      </c>
      <c r="H52" s="4">
        <f t="shared" si="109"/>
        <v>0.53347677730894028</v>
      </c>
      <c r="I52" s="4">
        <f t="shared" si="109"/>
        <v>0.52985700178497264</v>
      </c>
      <c r="J52" s="4">
        <f t="shared" si="109"/>
        <v>0.54277168036883661</v>
      </c>
      <c r="K52" s="4">
        <f t="shared" si="109"/>
        <v>0.55727542051594614</v>
      </c>
      <c r="L52" s="4">
        <f t="shared" si="109"/>
        <v>0.34098025895301309</v>
      </c>
      <c r="M52" s="4">
        <f t="shared" si="109"/>
        <v>0.54313436837129669</v>
      </c>
      <c r="N52" s="4">
        <f t="shared" si="109"/>
        <v>0.55312168075182422</v>
      </c>
      <c r="O52" s="4">
        <f t="shared" si="109"/>
        <v>0.58212916340508059</v>
      </c>
      <c r="P52" s="4">
        <f t="shared" si="109"/>
        <v>0.58794518057228573</v>
      </c>
      <c r="Q52" s="4">
        <f t="shared" si="109"/>
        <v>0.57569802521664915</v>
      </c>
      <c r="R52" s="4">
        <f t="shared" si="109"/>
        <v>0.57831017799939566</v>
      </c>
      <c r="S52" s="4">
        <f t="shared" si="109"/>
        <v>0.59288170991767841</v>
      </c>
      <c r="T52" s="4">
        <f t="shared" si="109"/>
        <v>0.58119401909663804</v>
      </c>
      <c r="U52" s="4">
        <f t="shared" si="109"/>
        <v>0.56875127706555051</v>
      </c>
      <c r="V52" s="4">
        <f t="shared" si="109"/>
        <v>0.55851779304215476</v>
      </c>
      <c r="W52" s="4">
        <f t="shared" si="109"/>
        <v>0.55793711883474451</v>
      </c>
      <c r="X52" s="4">
        <f t="shared" si="109"/>
        <v>0.58662477558348292</v>
      </c>
      <c r="Y52" s="4">
        <f t="shared" si="109"/>
        <v>0.555592322964924</v>
      </c>
      <c r="Z52" s="4">
        <f t="shared" si="109"/>
        <v>0.57827437130853077</v>
      </c>
      <c r="AA52" s="4"/>
      <c r="AB52" s="4"/>
      <c r="AC52" s="4"/>
      <c r="AD52" s="4"/>
      <c r="AE52" s="4"/>
      <c r="AF52" s="4"/>
      <c r="AG52" s="4">
        <f t="shared" ref="AG52:AN52" si="110">AG32/AG30</f>
        <v>0.53771092505703588</v>
      </c>
      <c r="AH52" s="4">
        <f t="shared" si="110"/>
        <v>0.53814440073523095</v>
      </c>
      <c r="AI52" s="4">
        <f t="shared" si="110"/>
        <v>0.52843714774865702</v>
      </c>
      <c r="AJ52" s="4">
        <f t="shared" si="110"/>
        <v>0.5806294518190348</v>
      </c>
      <c r="AK52" s="4">
        <f t="shared" si="110"/>
        <v>0.5753089842103557</v>
      </c>
      <c r="AL52" s="4">
        <f t="shared" si="110"/>
        <v>0.56897556238873603</v>
      </c>
      <c r="AM52" s="4">
        <f t="shared" si="110"/>
        <v>0.57316026566651523</v>
      </c>
      <c r="AN52" s="4">
        <f t="shared" si="110"/>
        <v>0.57730434075713155</v>
      </c>
      <c r="AO52" s="4">
        <f t="shared" ref="AO52:AQ52" si="111">AO32/AO30</f>
        <v>0.58140818210900413</v>
      </c>
      <c r="AP52" s="4">
        <f t="shared" si="111"/>
        <v>0.58547218034095549</v>
      </c>
      <c r="AQ52" s="4">
        <f t="shared" si="111"/>
        <v>0.58949672227939287</v>
      </c>
      <c r="AU52" s="1" t="s">
        <v>46</v>
      </c>
      <c r="AV52" s="22">
        <f>AV50/AV51-1</f>
        <v>-3.547475189661331E-2</v>
      </c>
    </row>
    <row r="53" spans="2:48" x14ac:dyDescent="0.25">
      <c r="B53" s="1" t="s">
        <v>38</v>
      </c>
      <c r="C53" s="4">
        <f t="shared" ref="C53:Z53" si="112">C35/C30</f>
        <v>0.12956831400216565</v>
      </c>
      <c r="D53" s="4">
        <f t="shared" si="112"/>
        <v>6.1428449871642768E-2</v>
      </c>
      <c r="E53" s="4">
        <f t="shared" si="112"/>
        <v>0.11376728379166422</v>
      </c>
      <c r="F53" s="4">
        <f t="shared" si="112"/>
        <v>8.2406116115738601E-2</v>
      </c>
      <c r="G53" s="4">
        <f t="shared" si="112"/>
        <v>0.14006126355738555</v>
      </c>
      <c r="H53" s="4">
        <f t="shared" si="112"/>
        <v>4.7906225722424499E-2</v>
      </c>
      <c r="I53" s="4">
        <f t="shared" si="112"/>
        <v>0.11831956884237997</v>
      </c>
      <c r="J53" s="4">
        <f t="shared" si="112"/>
        <v>8.3926003182439562E-2</v>
      </c>
      <c r="K53" s="4">
        <f t="shared" si="112"/>
        <v>0.11870321606558804</v>
      </c>
      <c r="L53" s="4">
        <f t="shared" si="112"/>
        <v>-0.76550924344075455</v>
      </c>
      <c r="M53" s="4">
        <f t="shared" si="112"/>
        <v>8.7853746407860159E-2</v>
      </c>
      <c r="N53" s="4">
        <f t="shared" si="112"/>
        <v>8.2253134524799099E-2</v>
      </c>
      <c r="O53" s="4">
        <f t="shared" si="112"/>
        <v>0.13566385468159511</v>
      </c>
      <c r="P53" s="4">
        <f t="shared" si="112"/>
        <v>9.5589946793461625E-2</v>
      </c>
      <c r="Q53" s="4">
        <f t="shared" si="112"/>
        <v>0.14202561195313501</v>
      </c>
      <c r="R53" s="4">
        <f t="shared" si="112"/>
        <v>0.10890851689329334</v>
      </c>
      <c r="S53" s="4">
        <f t="shared" si="112"/>
        <v>0.14717114381971924</v>
      </c>
      <c r="T53" s="4">
        <f t="shared" si="112"/>
        <v>5.177313786706849E-2</v>
      </c>
      <c r="U53" s="4">
        <f t="shared" si="112"/>
        <v>0.13125135945687641</v>
      </c>
      <c r="V53" s="4">
        <f t="shared" si="112"/>
        <v>8.6256458738659836E-2</v>
      </c>
      <c r="W53" s="4">
        <f t="shared" si="112"/>
        <v>9.3196755284504759E-2</v>
      </c>
      <c r="X53" s="4">
        <f t="shared" si="112"/>
        <v>7.4057450628366083E-3</v>
      </c>
      <c r="Y53" s="4">
        <f t="shared" si="112"/>
        <v>8.2726671078755934E-2</v>
      </c>
      <c r="Z53" s="4">
        <f t="shared" si="112"/>
        <v>9.2066004992997719E-2</v>
      </c>
      <c r="AA53" s="4"/>
      <c r="AB53" s="4"/>
      <c r="AC53" s="4"/>
      <c r="AD53" s="4"/>
      <c r="AE53" s="4"/>
      <c r="AF53" s="4"/>
      <c r="AG53" s="4">
        <f t="shared" ref="AG53:AN53" si="113">AG35/AG30</f>
        <v>9.6927058671602687E-2</v>
      </c>
      <c r="AH53" s="4">
        <f t="shared" si="113"/>
        <v>9.8328378523524038E-2</v>
      </c>
      <c r="AI53" s="4">
        <f t="shared" si="113"/>
        <v>1.1894150148822459E-3</v>
      </c>
      <c r="AJ53" s="4">
        <f t="shared" si="113"/>
        <v>0.12062503816836267</v>
      </c>
      <c r="AK53" s="4">
        <f t="shared" si="113"/>
        <v>0.10481551729727985</v>
      </c>
      <c r="AL53" s="4">
        <f t="shared" si="113"/>
        <v>7.1775368182553811E-2</v>
      </c>
      <c r="AM53" s="4">
        <f t="shared" si="113"/>
        <v>8.0787257811849381E-2</v>
      </c>
      <c r="AN53" s="4">
        <f t="shared" si="113"/>
        <v>8.9711653367074068E-2</v>
      </c>
      <c r="AO53" s="4">
        <f t="shared" ref="AO53:AQ53" si="114">AO35/AO30</f>
        <v>9.854940430525784E-2</v>
      </c>
      <c r="AP53" s="4">
        <f t="shared" si="114"/>
        <v>0.10730135183627476</v>
      </c>
      <c r="AQ53" s="4">
        <f t="shared" si="114"/>
        <v>0.11596832900291296</v>
      </c>
    </row>
    <row r="54" spans="2:48" x14ac:dyDescent="0.25">
      <c r="B54" s="1" t="s">
        <v>17</v>
      </c>
      <c r="C54" s="4">
        <f t="shared" ref="C54:AH54" si="115">C39/C38</f>
        <v>1.1250058714980713</v>
      </c>
      <c r="D54" s="4">
        <f t="shared" si="115"/>
        <v>-1.7434488588334743E-2</v>
      </c>
      <c r="E54" s="4">
        <f t="shared" si="115"/>
        <v>7.3627394909922775E-2</v>
      </c>
      <c r="F54" s="4">
        <f t="shared" si="115"/>
        <v>0.28171042428270804</v>
      </c>
      <c r="G54" s="4">
        <f t="shared" si="115"/>
        <v>0.19409317528972811</v>
      </c>
      <c r="H54" s="4">
        <f t="shared" si="115"/>
        <v>-4.7685421492795137E-2</v>
      </c>
      <c r="I54" s="4">
        <f t="shared" si="115"/>
        <v>0.18039417512882933</v>
      </c>
      <c r="J54" s="4">
        <f t="shared" si="115"/>
        <v>0.18965210992412873</v>
      </c>
      <c r="K54" s="4">
        <f t="shared" si="115"/>
        <v>7.3646467833135235E-2</v>
      </c>
      <c r="L54" s="4">
        <f t="shared" si="115"/>
        <v>0.24215099766129161</v>
      </c>
      <c r="M54" s="4">
        <f t="shared" si="115"/>
        <v>0.46626174432950546</v>
      </c>
      <c r="N54" s="4">
        <f t="shared" si="115"/>
        <v>-6.3706328703014917E-2</v>
      </c>
      <c r="O54" s="4">
        <f t="shared" ref="O54:V54" si="116">O39/O38</f>
        <v>7.8663744334749278E-2</v>
      </c>
      <c r="P54" s="4">
        <f t="shared" si="116"/>
        <v>-8.9023114427271441E-2</v>
      </c>
      <c r="Q54" s="4">
        <f t="shared" si="116"/>
        <v>4.8670170089858834E-2</v>
      </c>
      <c r="R54" s="4">
        <f t="shared" si="116"/>
        <v>8.1361868161572176E-2</v>
      </c>
      <c r="S54" s="4">
        <f t="shared" si="116"/>
        <v>0.2035024645767923</v>
      </c>
      <c r="T54" s="4">
        <f t="shared" si="116"/>
        <v>0.36074338739942963</v>
      </c>
      <c r="U54" s="4">
        <f t="shared" si="116"/>
        <v>7.1609564405123616E-2</v>
      </c>
      <c r="V54" s="4">
        <f t="shared" si="116"/>
        <v>-7.7231673567459927E-2</v>
      </c>
      <c r="W54" s="4">
        <f t="shared" ref="W54" si="117">W39/W38</f>
        <v>0.17600574712643666</v>
      </c>
      <c r="X54" s="4">
        <f t="shared" ref="X54:Z54" si="118">X39/X38</f>
        <v>0.77777777777777535</v>
      </c>
      <c r="Y54" s="4">
        <f t="shared" si="118"/>
        <v>-0.14976958525345582</v>
      </c>
      <c r="Z54" s="4">
        <f t="shared" si="118"/>
        <v>7.1742313323572393E-2</v>
      </c>
      <c r="AA54" s="4"/>
      <c r="AB54" s="4"/>
      <c r="AC54" s="4"/>
      <c r="AD54" s="4"/>
      <c r="AE54" s="4"/>
      <c r="AF54" s="4"/>
      <c r="AG54" s="4">
        <f t="shared" si="115"/>
        <v>0.42953710036758336</v>
      </c>
      <c r="AH54" s="4">
        <f t="shared" si="115"/>
        <v>0.16440439133515355</v>
      </c>
      <c r="AI54" s="4">
        <f>AI39/AI38</f>
        <v>0.63040415425488994</v>
      </c>
      <c r="AJ54" s="4">
        <f>AJ39/AJ38</f>
        <v>4.2677770762234377E-2</v>
      </c>
      <c r="AK54" s="4">
        <f t="shared" ref="AK54:AN54" si="119">AK39/AK38</f>
        <v>0.12410684468985206</v>
      </c>
      <c r="AL54" s="4">
        <f t="shared" si="119"/>
        <v>4.4175576814856496E-2</v>
      </c>
      <c r="AM54" s="4">
        <f t="shared" si="119"/>
        <v>7.0320064088980991E-2</v>
      </c>
      <c r="AN54" s="4">
        <f t="shared" si="119"/>
        <v>7.0320064088980991E-2</v>
      </c>
      <c r="AO54" s="4">
        <f t="shared" ref="AO54:AQ54" si="120">AO39/AO38</f>
        <v>7.0320064088980991E-2</v>
      </c>
      <c r="AP54" s="4">
        <f t="shared" si="120"/>
        <v>7.0320064088980991E-2</v>
      </c>
      <c r="AQ54" s="4">
        <f t="shared" si="120"/>
        <v>7.0320064088980991E-2</v>
      </c>
    </row>
  </sheetData>
  <phoneticPr fontId="7" type="noConversion"/>
  <conditionalFormatting sqref="AV52">
    <cfRule type="cellIs" dxfId="2" priority="1" operator="lessThan">
      <formula>0</formula>
    </cfRule>
    <cfRule type="cellIs" dxfId="1" priority="2" operator="greaterThan">
      <formula>0</formula>
    </cfRule>
    <cfRule type="cellIs" dxfId="0" priority="3" operator="greaterThan">
      <formula>0.5996</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A9417-4560-409F-96AE-2E17B41680A1}">
  <dimension ref="B3:D18"/>
  <sheetViews>
    <sheetView workbookViewId="0">
      <selection activeCell="C19" sqref="C19"/>
    </sheetView>
  </sheetViews>
  <sheetFormatPr defaultColWidth="9.21875" defaultRowHeight="13.8" x14ac:dyDescent="0.25"/>
  <cols>
    <col min="1" max="1" width="9.21875" style="1"/>
    <col min="2" max="2" width="16.44140625" style="1" bestFit="1" customWidth="1"/>
    <col min="3" max="3" width="8" style="1" bestFit="1" customWidth="1"/>
    <col min="4" max="4" width="17.21875" style="1" bestFit="1" customWidth="1"/>
    <col min="5" max="16384" width="9.21875" style="1"/>
  </cols>
  <sheetData>
    <row r="3" spans="2:4" x14ac:dyDescent="0.25">
      <c r="B3" s="1" t="s">
        <v>7</v>
      </c>
      <c r="C3" s="2">
        <f>Main!C8</f>
        <v>2168</v>
      </c>
    </row>
    <row r="4" spans="2:4" x14ac:dyDescent="0.25">
      <c r="B4" s="1" t="s">
        <v>47</v>
      </c>
      <c r="C4" s="2">
        <f>Main!C6</f>
        <v>7298.776422975001</v>
      </c>
    </row>
    <row r="5" spans="2:4" x14ac:dyDescent="0.25">
      <c r="B5" s="1" t="s">
        <v>48</v>
      </c>
      <c r="C5" s="2">
        <f>+C3+C4</f>
        <v>9466.776422975001</v>
      </c>
    </row>
    <row r="6" spans="2:4" x14ac:dyDescent="0.25">
      <c r="B6" s="1" t="s">
        <v>49</v>
      </c>
      <c r="C6" s="3">
        <f>C3/C5</f>
        <v>0.22901142935397337</v>
      </c>
    </row>
    <row r="7" spans="2:4" x14ac:dyDescent="0.25">
      <c r="B7" s="1" t="s">
        <v>50</v>
      </c>
      <c r="C7" s="3">
        <f>C4/C5</f>
        <v>0.77098857064602666</v>
      </c>
    </row>
    <row r="9" spans="2:4" x14ac:dyDescent="0.25">
      <c r="B9" s="1" t="s">
        <v>51</v>
      </c>
      <c r="C9" s="4">
        <f>AVERAGE(Model!AJ54:AL54)</f>
        <v>7.0320064088980991E-2</v>
      </c>
      <c r="D9" s="28" t="s">
        <v>92</v>
      </c>
    </row>
    <row r="10" spans="2:4" x14ac:dyDescent="0.25">
      <c r="B10" s="1" t="s">
        <v>52</v>
      </c>
      <c r="C10" s="2">
        <f>Model!AL36</f>
        <v>-45.9</v>
      </c>
      <c r="D10" s="28" t="s">
        <v>93</v>
      </c>
    </row>
    <row r="11" spans="2:4" x14ac:dyDescent="0.25">
      <c r="B11" s="1" t="s">
        <v>53</v>
      </c>
      <c r="C11" s="3">
        <f>(C10*(1-C9))/C3</f>
        <v>-1.9682799381141963E-2</v>
      </c>
    </row>
    <row r="13" spans="2:4" x14ac:dyDescent="0.25">
      <c r="B13" s="1" t="s">
        <v>54</v>
      </c>
      <c r="C13" s="3">
        <f>'[1]T-Bond Yields'!$C$12</f>
        <v>4.2999999999999997E-2</v>
      </c>
      <c r="D13" s="28" t="s">
        <v>95</v>
      </c>
    </row>
    <row r="14" spans="2:4" x14ac:dyDescent="0.25">
      <c r="B14" s="1" t="s">
        <v>55</v>
      </c>
      <c r="C14" s="5">
        <v>1.19</v>
      </c>
      <c r="D14" s="28" t="s">
        <v>94</v>
      </c>
    </row>
    <row r="15" spans="2:4" x14ac:dyDescent="0.25">
      <c r="B15" s="1" t="s">
        <v>56</v>
      </c>
      <c r="C15" s="4">
        <v>0.08</v>
      </c>
      <c r="D15" s="1" t="s">
        <v>57</v>
      </c>
    </row>
    <row r="16" spans="2:4" x14ac:dyDescent="0.25">
      <c r="B16" s="1" t="s">
        <v>58</v>
      </c>
      <c r="C16" s="3">
        <f>(C13+C14*(C15-C13))</f>
        <v>8.7029999999999996E-2</v>
      </c>
    </row>
    <row r="18" spans="2:3" x14ac:dyDescent="0.25">
      <c r="B18" s="1" t="s">
        <v>59</v>
      </c>
      <c r="C18" s="3">
        <f>(C7*C16)+(C6*C11)*(1-C9)</f>
        <v>6.2908523021171267E-2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dcterms:created xsi:type="dcterms:W3CDTF">2020-12-10T16:57:49Z</dcterms:created>
  <dcterms:modified xsi:type="dcterms:W3CDTF">2024-02-25T18:54:56Z</dcterms:modified>
</cp:coreProperties>
</file>