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wlshe\Documents\Models\"/>
    </mc:Choice>
  </mc:AlternateContent>
  <xr:revisionPtr revIDLastSave="0" documentId="13_ncr:1_{7AF38169-B44D-4F1C-AB00-04BEB20DF68C}" xr6:coauthVersionLast="47" xr6:coauthVersionMax="47" xr10:uidLastSave="{00000000-0000-0000-0000-000000000000}"/>
  <bookViews>
    <workbookView xWindow="28680" yWindow="-120" windowWidth="29040" windowHeight="15720" activeTab="1" xr2:uid="{F8F0E135-B0EA-4157-A45D-5F4FA8BEF9ED}"/>
  </bookViews>
  <sheets>
    <sheet name="Main" sheetId="1" r:id="rId1"/>
    <sheet name="Model" sheetId="2" r:id="rId2"/>
    <sheet name="WACC" sheetId="3" r:id="rId3"/>
  </sheets>
  <externalReferences>
    <externalReference r:id="rId4"/>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S14" i="2" l="1"/>
  <c r="AT14" i="2"/>
  <c r="AU14" i="2"/>
  <c r="AV14" i="2"/>
  <c r="AR14" i="2"/>
  <c r="AT3" i="2"/>
  <c r="AU3" i="2" s="1"/>
  <c r="AV3" i="2" s="1"/>
  <c r="AS3" i="2"/>
  <c r="AR3" i="2"/>
  <c r="AR19" i="2"/>
  <c r="AS19" i="2"/>
  <c r="AR20" i="2"/>
  <c r="AR21" i="2"/>
  <c r="AS21" i="2"/>
  <c r="AT21" i="2"/>
  <c r="AU21" i="2"/>
  <c r="AV21" i="2"/>
  <c r="AR22" i="2"/>
  <c r="AR24" i="2"/>
  <c r="AS24" i="2"/>
  <c r="AT24" i="2"/>
  <c r="AU24" i="2"/>
  <c r="AV24" i="2"/>
  <c r="AR25" i="2"/>
  <c r="AR26" i="2"/>
  <c r="AR27" i="2"/>
  <c r="AZ23" i="2" l="1"/>
  <c r="AS16" i="2" l="1"/>
  <c r="AT16" i="2" s="1"/>
  <c r="AU16" i="2" s="1"/>
  <c r="AV16" i="2" s="1"/>
  <c r="AR16" i="2"/>
  <c r="AR12" i="2"/>
  <c r="AS12" i="2" s="1"/>
  <c r="AT12" i="2" s="1"/>
  <c r="AU12" i="2" s="1"/>
  <c r="AV12" i="2" s="1"/>
  <c r="AR11" i="2"/>
  <c r="AS11" i="2" s="1"/>
  <c r="AT11" i="2" s="1"/>
  <c r="AU11" i="2" s="1"/>
  <c r="AV11" i="2" s="1"/>
  <c r="AR10" i="2"/>
  <c r="AS10" i="2" s="1"/>
  <c r="AT10" i="2" s="1"/>
  <c r="AU10" i="2" s="1"/>
  <c r="AV10" i="2" s="1"/>
  <c r="AR7" i="2"/>
  <c r="AS7" i="2" s="1"/>
  <c r="AS6" i="2"/>
  <c r="AT6" i="2" s="1"/>
  <c r="AR6" i="2"/>
  <c r="AS4" i="2"/>
  <c r="AT4" i="2" s="1"/>
  <c r="AR4" i="2"/>
  <c r="AR5" i="2"/>
  <c r="AT19" i="2"/>
  <c r="AQ19" i="2"/>
  <c r="AQ3" i="2"/>
  <c r="C10" i="3"/>
  <c r="AM19" i="2"/>
  <c r="AN19" i="2"/>
  <c r="AO19" i="2"/>
  <c r="AM20" i="2"/>
  <c r="AN20" i="2"/>
  <c r="AO20" i="2"/>
  <c r="AM21" i="2"/>
  <c r="AN21" i="2"/>
  <c r="AO21" i="2"/>
  <c r="AM22" i="2"/>
  <c r="AN22" i="2"/>
  <c r="AO22" i="2"/>
  <c r="AM23" i="2"/>
  <c r="AN23" i="2"/>
  <c r="AO23" i="2"/>
  <c r="AM24" i="2"/>
  <c r="AN24" i="2"/>
  <c r="AO24" i="2"/>
  <c r="AM25" i="2"/>
  <c r="AN25" i="2"/>
  <c r="AO25" i="2"/>
  <c r="AM26" i="2"/>
  <c r="AN26" i="2"/>
  <c r="AO26" i="2"/>
  <c r="AM27" i="2"/>
  <c r="AN27" i="2"/>
  <c r="AO27" i="2"/>
  <c r="AQ21" i="2"/>
  <c r="AQ24" i="2"/>
  <c r="AQ25" i="2"/>
  <c r="AP27" i="2"/>
  <c r="AP26" i="2"/>
  <c r="AP25" i="2"/>
  <c r="AP24" i="2"/>
  <c r="AP23" i="2"/>
  <c r="AP22" i="2"/>
  <c r="AP21" i="2"/>
  <c r="AP20" i="2"/>
  <c r="AP19" i="2"/>
  <c r="AQ14" i="2"/>
  <c r="AQ12" i="2"/>
  <c r="AQ11" i="2"/>
  <c r="AQ10" i="2"/>
  <c r="AQ7" i="2"/>
  <c r="AQ6" i="2"/>
  <c r="AQ8" i="2" s="1"/>
  <c r="AQ4" i="2"/>
  <c r="AQ5" i="2"/>
  <c r="AQ20" i="2" s="1"/>
  <c r="AP14" i="2"/>
  <c r="AP12" i="2"/>
  <c r="AP11" i="2"/>
  <c r="AP10" i="2"/>
  <c r="AP7" i="2"/>
  <c r="AP6" i="2"/>
  <c r="AP4" i="2"/>
  <c r="AP5" i="2" s="1"/>
  <c r="AP3" i="2"/>
  <c r="AO14" i="2"/>
  <c r="AO12" i="2"/>
  <c r="AO11" i="2"/>
  <c r="AO10" i="2"/>
  <c r="AO7" i="2"/>
  <c r="AO6" i="2"/>
  <c r="AO4" i="2"/>
  <c r="AO3" i="2"/>
  <c r="AN14" i="2"/>
  <c r="AN12" i="2"/>
  <c r="AN11" i="2"/>
  <c r="AN10" i="2"/>
  <c r="AN7" i="2"/>
  <c r="AN6" i="2"/>
  <c r="AN4" i="2"/>
  <c r="AN3" i="2"/>
  <c r="AQ16" i="2"/>
  <c r="AP16" i="2"/>
  <c r="AO16" i="2"/>
  <c r="AN16" i="2"/>
  <c r="AM16" i="2"/>
  <c r="AM14" i="2"/>
  <c r="AM12" i="2"/>
  <c r="AM11" i="2"/>
  <c r="AM10" i="2"/>
  <c r="AM7" i="2"/>
  <c r="AM6" i="2"/>
  <c r="AM4" i="2"/>
  <c r="AM5" i="2"/>
  <c r="AL15" i="2"/>
  <c r="AL17" i="2" s="1"/>
  <c r="AL13" i="2"/>
  <c r="AL9" i="2"/>
  <c r="AR8" i="2"/>
  <c r="AO8" i="2"/>
  <c r="AN8" i="2"/>
  <c r="AM8" i="2"/>
  <c r="AL8" i="2"/>
  <c r="AS5" i="2"/>
  <c r="AO5" i="2"/>
  <c r="AL5" i="2"/>
  <c r="AL16" i="2"/>
  <c r="AL14" i="2"/>
  <c r="AL12" i="2"/>
  <c r="AL11" i="2"/>
  <c r="AL10" i="2"/>
  <c r="AL7" i="2"/>
  <c r="AL6" i="2"/>
  <c r="AL4" i="2"/>
  <c r="AM3" i="2"/>
  <c r="AL3" i="2"/>
  <c r="I25" i="2"/>
  <c r="H25" i="2"/>
  <c r="G25" i="2"/>
  <c r="F25" i="2"/>
  <c r="Y24" i="2"/>
  <c r="X24" i="2"/>
  <c r="W24" i="2"/>
  <c r="V24" i="2"/>
  <c r="U24" i="2"/>
  <c r="T24" i="2"/>
  <c r="S24" i="2"/>
  <c r="R24" i="2"/>
  <c r="Q24" i="2"/>
  <c r="P24" i="2"/>
  <c r="O24" i="2"/>
  <c r="N24" i="2"/>
  <c r="M24" i="2"/>
  <c r="L24" i="2"/>
  <c r="K24" i="2"/>
  <c r="J24" i="2"/>
  <c r="I24" i="2"/>
  <c r="H24" i="2"/>
  <c r="G24" i="2"/>
  <c r="Z24" i="2"/>
  <c r="J19" i="2"/>
  <c r="I19" i="2"/>
  <c r="H19" i="2"/>
  <c r="G19" i="2"/>
  <c r="F8" i="2"/>
  <c r="E8" i="2"/>
  <c r="D8" i="2"/>
  <c r="C8" i="2"/>
  <c r="F5" i="2"/>
  <c r="E5" i="2"/>
  <c r="E25" i="2" s="1"/>
  <c r="D5" i="2"/>
  <c r="D25" i="2" s="1"/>
  <c r="C5" i="2"/>
  <c r="C25" i="2" s="1"/>
  <c r="Y19" i="2"/>
  <c r="X19" i="2"/>
  <c r="W19" i="2"/>
  <c r="V19" i="2"/>
  <c r="U19" i="2"/>
  <c r="T19" i="2"/>
  <c r="S19" i="2"/>
  <c r="R19" i="2"/>
  <c r="Q19" i="2"/>
  <c r="P19" i="2"/>
  <c r="O19" i="2"/>
  <c r="N19" i="2"/>
  <c r="M19" i="2"/>
  <c r="L19" i="2"/>
  <c r="K19" i="2"/>
  <c r="Z19" i="2"/>
  <c r="Y5" i="2"/>
  <c r="Y25" i="2" s="1"/>
  <c r="X5" i="2"/>
  <c r="X25" i="2" s="1"/>
  <c r="W5" i="2"/>
  <c r="W25" i="2" s="1"/>
  <c r="V5" i="2"/>
  <c r="V25" i="2" s="1"/>
  <c r="U5" i="2"/>
  <c r="T5" i="2"/>
  <c r="T25" i="2" s="1"/>
  <c r="S5" i="2"/>
  <c r="S25" i="2" s="1"/>
  <c r="R5" i="2"/>
  <c r="R25" i="2" s="1"/>
  <c r="Q5" i="2"/>
  <c r="Q9" i="2" s="1"/>
  <c r="Q13" i="2" s="1"/>
  <c r="Q15" i="2" s="1"/>
  <c r="Q17" i="2" s="1"/>
  <c r="P5" i="2"/>
  <c r="P9" i="2" s="1"/>
  <c r="P13" i="2" s="1"/>
  <c r="P15" i="2" s="1"/>
  <c r="P17" i="2" s="1"/>
  <c r="O5" i="2"/>
  <c r="O9" i="2" s="1"/>
  <c r="O13" i="2" s="1"/>
  <c r="O15" i="2" s="1"/>
  <c r="O17" i="2" s="1"/>
  <c r="N5" i="2"/>
  <c r="N25" i="2" s="1"/>
  <c r="M5" i="2"/>
  <c r="M25" i="2" s="1"/>
  <c r="L5" i="2"/>
  <c r="L25" i="2" s="1"/>
  <c r="K5" i="2"/>
  <c r="K9" i="2" s="1"/>
  <c r="K13" i="2" s="1"/>
  <c r="K15" i="2" s="1"/>
  <c r="K17" i="2" s="1"/>
  <c r="J5" i="2"/>
  <c r="J20" i="2" s="1"/>
  <c r="I5" i="2"/>
  <c r="H5" i="2"/>
  <c r="H9" i="2" s="1"/>
  <c r="H13" i="2" s="1"/>
  <c r="H15" i="2" s="1"/>
  <c r="H17" i="2" s="1"/>
  <c r="G5" i="2"/>
  <c r="Y8" i="2"/>
  <c r="X8" i="2"/>
  <c r="W8" i="2"/>
  <c r="V8" i="2"/>
  <c r="U8" i="2"/>
  <c r="T8" i="2"/>
  <c r="S8" i="2"/>
  <c r="R8" i="2"/>
  <c r="R21" i="2" s="1"/>
  <c r="Q8" i="2"/>
  <c r="Q21" i="2" s="1"/>
  <c r="P8" i="2"/>
  <c r="P21" i="2" s="1"/>
  <c r="O8" i="2"/>
  <c r="O21" i="2" s="1"/>
  <c r="N8" i="2"/>
  <c r="N21" i="2" s="1"/>
  <c r="M8" i="2"/>
  <c r="M21" i="2" s="1"/>
  <c r="L8" i="2"/>
  <c r="L21" i="2" s="1"/>
  <c r="K8" i="2"/>
  <c r="K21" i="2" s="1"/>
  <c r="J8" i="2"/>
  <c r="J21" i="2" s="1"/>
  <c r="I8" i="2"/>
  <c r="I21" i="2" s="1"/>
  <c r="H8" i="2"/>
  <c r="G8" i="2"/>
  <c r="Z8" i="2"/>
  <c r="Z5" i="2"/>
  <c r="Z25" i="2" s="1"/>
  <c r="C9" i="1"/>
  <c r="C8" i="1"/>
  <c r="C13" i="3"/>
  <c r="AS20" i="2" l="1"/>
  <c r="AS25" i="2"/>
  <c r="AT7" i="2"/>
  <c r="AU7" i="2" s="1"/>
  <c r="AV7" i="2" s="1"/>
  <c r="AS8" i="2"/>
  <c r="AU6" i="2"/>
  <c r="AT8" i="2"/>
  <c r="AU4" i="2"/>
  <c r="AV4" i="2" s="1"/>
  <c r="AT5" i="2"/>
  <c r="AU5" i="2"/>
  <c r="AR9" i="2"/>
  <c r="AR13" i="2" s="1"/>
  <c r="AR15" i="2" s="1"/>
  <c r="AR23" i="2" s="1"/>
  <c r="AT9" i="2"/>
  <c r="AS9" i="2"/>
  <c r="AQ9" i="2"/>
  <c r="AP8" i="2"/>
  <c r="AP9" i="2" s="1"/>
  <c r="AP13" i="2" s="1"/>
  <c r="AP15" i="2" s="1"/>
  <c r="AO9" i="2"/>
  <c r="AO13" i="2" s="1"/>
  <c r="AO15" i="2" s="1"/>
  <c r="AN5" i="2"/>
  <c r="AN9" i="2"/>
  <c r="AN13" i="2" s="1"/>
  <c r="AN15" i="2" s="1"/>
  <c r="AM9" i="2"/>
  <c r="AM13" i="2" s="1"/>
  <c r="AM15" i="2" s="1"/>
  <c r="AM17" i="2" s="1"/>
  <c r="L20" i="2"/>
  <c r="M20" i="2"/>
  <c r="J25" i="2"/>
  <c r="N20" i="2"/>
  <c r="O20" i="2"/>
  <c r="P20" i="2"/>
  <c r="Q20" i="2"/>
  <c r="O25" i="2"/>
  <c r="S21" i="2"/>
  <c r="R20" i="2"/>
  <c r="P25" i="2"/>
  <c r="T21" i="2"/>
  <c r="U20" i="2"/>
  <c r="S20" i="2"/>
  <c r="Q25" i="2"/>
  <c r="U21" i="2"/>
  <c r="V21" i="2"/>
  <c r="W21" i="2"/>
  <c r="X21" i="2"/>
  <c r="Y21" i="2"/>
  <c r="K26" i="2"/>
  <c r="Z21" i="2"/>
  <c r="G20" i="2"/>
  <c r="O26" i="2"/>
  <c r="G21" i="2"/>
  <c r="P26" i="2"/>
  <c r="H21" i="2"/>
  <c r="I9" i="2"/>
  <c r="F9" i="2"/>
  <c r="O22" i="2"/>
  <c r="Q26" i="2"/>
  <c r="O23" i="2"/>
  <c r="H27" i="2"/>
  <c r="V20" i="2"/>
  <c r="W20" i="2"/>
  <c r="K27" i="2"/>
  <c r="X20" i="2"/>
  <c r="Y20" i="2"/>
  <c r="Z20" i="2"/>
  <c r="U25" i="2"/>
  <c r="O27" i="2"/>
  <c r="H20" i="2"/>
  <c r="P27" i="2"/>
  <c r="I20" i="2"/>
  <c r="T20" i="2"/>
  <c r="Q27" i="2"/>
  <c r="K20" i="2"/>
  <c r="K25" i="2"/>
  <c r="H26" i="2"/>
  <c r="C9" i="2"/>
  <c r="D9" i="2"/>
  <c r="H22" i="2" s="1"/>
  <c r="E9" i="2"/>
  <c r="X9" i="2"/>
  <c r="G9" i="2"/>
  <c r="K22" i="2" s="1"/>
  <c r="J9" i="2"/>
  <c r="L9" i="2"/>
  <c r="M9" i="2"/>
  <c r="N9" i="2"/>
  <c r="S9" i="2"/>
  <c r="W9" i="2"/>
  <c r="T9" i="2"/>
  <c r="U9" i="2"/>
  <c r="Y9" i="2"/>
  <c r="V9" i="2"/>
  <c r="R9" i="2"/>
  <c r="Z9" i="2"/>
  <c r="C3" i="3"/>
  <c r="C11" i="3" s="1"/>
  <c r="C16" i="3"/>
  <c r="AS13" i="2" l="1"/>
  <c r="AS22" i="2"/>
  <c r="AS26" i="2"/>
  <c r="AT13" i="2"/>
  <c r="AT22" i="2"/>
  <c r="AT26" i="2"/>
  <c r="AU20" i="2"/>
  <c r="AU25" i="2"/>
  <c r="AT25" i="2"/>
  <c r="AT20" i="2"/>
  <c r="AU19" i="2"/>
  <c r="AV6" i="2"/>
  <c r="AV8" i="2" s="1"/>
  <c r="AU8" i="2"/>
  <c r="AU9" i="2" s="1"/>
  <c r="AQ13" i="2"/>
  <c r="AQ26" i="2"/>
  <c r="AQ22" i="2"/>
  <c r="F13" i="2"/>
  <c r="F26" i="2"/>
  <c r="I13" i="2"/>
  <c r="I26" i="2"/>
  <c r="I22" i="2"/>
  <c r="R13" i="2"/>
  <c r="R22" i="2"/>
  <c r="R26" i="2"/>
  <c r="V13" i="2"/>
  <c r="V26" i="2"/>
  <c r="V22" i="2"/>
  <c r="U13" i="2"/>
  <c r="U26" i="2"/>
  <c r="U22" i="2"/>
  <c r="T13" i="2"/>
  <c r="T22" i="2"/>
  <c r="T26" i="2"/>
  <c r="W13" i="2"/>
  <c r="W26" i="2"/>
  <c r="W22" i="2"/>
  <c r="S13" i="2"/>
  <c r="S26" i="2"/>
  <c r="S22" i="2"/>
  <c r="M13" i="2"/>
  <c r="Q22" i="2"/>
  <c r="M22" i="2"/>
  <c r="M26" i="2"/>
  <c r="L13" i="2"/>
  <c r="P22" i="2"/>
  <c r="L22" i="2"/>
  <c r="L26" i="2"/>
  <c r="X13" i="2"/>
  <c r="X26" i="2"/>
  <c r="X22" i="2"/>
  <c r="Y13" i="2"/>
  <c r="Y26" i="2"/>
  <c r="Y22" i="2"/>
  <c r="N13" i="2"/>
  <c r="N22" i="2"/>
  <c r="N26" i="2"/>
  <c r="J13" i="2"/>
  <c r="J26" i="2"/>
  <c r="J22" i="2"/>
  <c r="G13" i="2"/>
  <c r="G26" i="2"/>
  <c r="G22" i="2"/>
  <c r="E13" i="2"/>
  <c r="E26" i="2"/>
  <c r="D13" i="2"/>
  <c r="D26" i="2"/>
  <c r="C13" i="2"/>
  <c r="C26" i="2"/>
  <c r="Z13" i="2"/>
  <c r="Z22" i="2"/>
  <c r="Z26" i="2"/>
  <c r="C5" i="1" a="1"/>
  <c r="C5" i="1" s="1"/>
  <c r="AZ26" i="2" s="1"/>
  <c r="AU13" i="2" l="1"/>
  <c r="AU22" i="2"/>
  <c r="AU26" i="2"/>
  <c r="AV19" i="2"/>
  <c r="AV5" i="2"/>
  <c r="AT27" i="2"/>
  <c r="AS27" i="2"/>
  <c r="AQ15" i="2"/>
  <c r="AQ23" i="2" s="1"/>
  <c r="AQ27" i="2"/>
  <c r="C9" i="3" s="1"/>
  <c r="I15" i="2"/>
  <c r="I17" i="2" s="1"/>
  <c r="I27" i="2"/>
  <c r="F15" i="2"/>
  <c r="F17" i="2" s="1"/>
  <c r="F27" i="2"/>
  <c r="M15" i="2"/>
  <c r="M27" i="2"/>
  <c r="J15" i="2"/>
  <c r="J27" i="2"/>
  <c r="N15" i="2"/>
  <c r="N27" i="2"/>
  <c r="Z15" i="2"/>
  <c r="Z27" i="2"/>
  <c r="R15" i="2"/>
  <c r="R27" i="2"/>
  <c r="G15" i="2"/>
  <c r="G27" i="2"/>
  <c r="S15" i="2"/>
  <c r="S27" i="2"/>
  <c r="W15" i="2"/>
  <c r="W27" i="2"/>
  <c r="Y15" i="2"/>
  <c r="Y27" i="2"/>
  <c r="T15" i="2"/>
  <c r="T27" i="2"/>
  <c r="X15" i="2"/>
  <c r="X27" i="2"/>
  <c r="U15" i="2"/>
  <c r="U27" i="2"/>
  <c r="C15" i="2"/>
  <c r="C17" i="2" s="1"/>
  <c r="C27" i="2"/>
  <c r="D15" i="2"/>
  <c r="D27" i="2"/>
  <c r="V15" i="2"/>
  <c r="V27" i="2"/>
  <c r="L15" i="2"/>
  <c r="L27" i="2"/>
  <c r="E15" i="2"/>
  <c r="E27" i="2"/>
  <c r="AQ17" i="2"/>
  <c r="AR17" i="2"/>
  <c r="C7" i="1"/>
  <c r="AS15" i="2" l="1"/>
  <c r="AT15" i="2"/>
  <c r="AV20" i="2"/>
  <c r="AV25" i="2"/>
  <c r="AV9" i="2"/>
  <c r="AU27" i="2"/>
  <c r="Y17" i="2"/>
  <c r="Y23" i="2"/>
  <c r="D17" i="2"/>
  <c r="H23" i="2"/>
  <c r="E17" i="2"/>
  <c r="I23" i="2"/>
  <c r="G17" i="2"/>
  <c r="G23" i="2"/>
  <c r="K23" i="2"/>
  <c r="Z17" i="2"/>
  <c r="Z23" i="2"/>
  <c r="N17" i="2"/>
  <c r="N23" i="2"/>
  <c r="U17" i="2"/>
  <c r="U23" i="2"/>
  <c r="J17" i="2"/>
  <c r="J23" i="2"/>
  <c r="T17" i="2"/>
  <c r="T23" i="2"/>
  <c r="W17" i="2"/>
  <c r="W23" i="2"/>
  <c r="S17" i="2"/>
  <c r="S23" i="2"/>
  <c r="L17" i="2"/>
  <c r="P23" i="2"/>
  <c r="L23" i="2"/>
  <c r="V17" i="2"/>
  <c r="V23" i="2"/>
  <c r="R17" i="2"/>
  <c r="R23" i="2"/>
  <c r="X17" i="2"/>
  <c r="X23" i="2"/>
  <c r="M17" i="2"/>
  <c r="Q23" i="2"/>
  <c r="M23" i="2"/>
  <c r="C10" i="1"/>
  <c r="C4" i="3"/>
  <c r="C5" i="3" s="1"/>
  <c r="AN17" i="2"/>
  <c r="AU15" i="2" l="1"/>
  <c r="AV13" i="2"/>
  <c r="AV22" i="2"/>
  <c r="AV26" i="2"/>
  <c r="AT23" i="2"/>
  <c r="AT17" i="2"/>
  <c r="AS23" i="2"/>
  <c r="AS17" i="2"/>
  <c r="AO17" i="2"/>
  <c r="C7" i="3"/>
  <c r="C6" i="3"/>
  <c r="AV27" i="2" l="1"/>
  <c r="AU23" i="2"/>
  <c r="AU17" i="2"/>
  <c r="AP17" i="2"/>
  <c r="C18" i="3"/>
  <c r="AZ21" i="2" s="1"/>
  <c r="AV15" i="2" l="1"/>
  <c r="AV23" i="2" l="1"/>
  <c r="AW15" i="2"/>
  <c r="AX15" i="2" s="1"/>
  <c r="AY15" i="2" s="1"/>
  <c r="AZ15" i="2" s="1"/>
  <c r="BA15" i="2" s="1"/>
  <c r="BB15" i="2" s="1"/>
  <c r="BC15" i="2" s="1"/>
  <c r="BD15" i="2" s="1"/>
  <c r="BE15" i="2" s="1"/>
  <c r="BF15" i="2" s="1"/>
  <c r="BG15" i="2" s="1"/>
  <c r="BH15" i="2" s="1"/>
  <c r="BI15" i="2" s="1"/>
  <c r="BJ15" i="2" s="1"/>
  <c r="BK15" i="2" s="1"/>
  <c r="BL15" i="2" s="1"/>
  <c r="BM15" i="2" s="1"/>
  <c r="BN15" i="2" s="1"/>
  <c r="BO15" i="2" s="1"/>
  <c r="BP15" i="2" s="1"/>
  <c r="BQ15" i="2" s="1"/>
  <c r="BR15" i="2" s="1"/>
  <c r="BS15" i="2" s="1"/>
  <c r="BT15" i="2" s="1"/>
  <c r="BU15" i="2" s="1"/>
  <c r="BV15" i="2" s="1"/>
  <c r="BW15" i="2" s="1"/>
  <c r="BX15" i="2" s="1"/>
  <c r="BY15" i="2" s="1"/>
  <c r="BZ15" i="2" s="1"/>
  <c r="CA15" i="2" s="1"/>
  <c r="CB15" i="2" s="1"/>
  <c r="CC15" i="2" s="1"/>
  <c r="CD15" i="2" s="1"/>
  <c r="CE15" i="2" s="1"/>
  <c r="CF15" i="2" s="1"/>
  <c r="CG15" i="2" s="1"/>
  <c r="CH15" i="2" s="1"/>
  <c r="CI15" i="2" s="1"/>
  <c r="CJ15" i="2" s="1"/>
  <c r="CK15" i="2" s="1"/>
  <c r="CL15" i="2" s="1"/>
  <c r="CM15" i="2" s="1"/>
  <c r="CN15" i="2" s="1"/>
  <c r="CO15" i="2" s="1"/>
  <c r="CP15" i="2" s="1"/>
  <c r="CQ15" i="2" s="1"/>
  <c r="CR15" i="2" s="1"/>
  <c r="CS15" i="2" s="1"/>
  <c r="CT15" i="2" s="1"/>
  <c r="CU15" i="2" s="1"/>
  <c r="CV15" i="2" s="1"/>
  <c r="CW15" i="2" s="1"/>
  <c r="CX15" i="2" s="1"/>
  <c r="CY15" i="2" s="1"/>
  <c r="CZ15" i="2" s="1"/>
  <c r="DA15" i="2" s="1"/>
  <c r="DB15" i="2" s="1"/>
  <c r="DC15" i="2" s="1"/>
  <c r="DD15" i="2" s="1"/>
  <c r="DE15" i="2" s="1"/>
  <c r="DF15" i="2" s="1"/>
  <c r="DG15" i="2" s="1"/>
  <c r="DH15" i="2" s="1"/>
  <c r="DI15" i="2" s="1"/>
  <c r="DJ15" i="2" s="1"/>
  <c r="DK15" i="2" s="1"/>
  <c r="DL15" i="2" s="1"/>
  <c r="DM15" i="2" s="1"/>
  <c r="DN15" i="2" s="1"/>
  <c r="DO15" i="2" s="1"/>
  <c r="DP15" i="2" s="1"/>
  <c r="DQ15" i="2" s="1"/>
  <c r="DR15" i="2" s="1"/>
  <c r="DS15" i="2" s="1"/>
  <c r="DT15" i="2" s="1"/>
  <c r="DU15" i="2" s="1"/>
  <c r="DV15" i="2" s="1"/>
  <c r="DW15" i="2" s="1"/>
  <c r="DX15" i="2" s="1"/>
  <c r="DY15" i="2" s="1"/>
  <c r="DZ15" i="2" s="1"/>
  <c r="EA15" i="2" s="1"/>
  <c r="EB15" i="2" s="1"/>
  <c r="EC15" i="2" s="1"/>
  <c r="ED15" i="2" s="1"/>
  <c r="EE15" i="2" s="1"/>
  <c r="EF15" i="2" s="1"/>
  <c r="EG15" i="2" s="1"/>
  <c r="EH15" i="2" s="1"/>
  <c r="EI15" i="2" s="1"/>
  <c r="EJ15" i="2" s="1"/>
  <c r="EK15" i="2" s="1"/>
  <c r="EL15" i="2" s="1"/>
  <c r="EM15" i="2" s="1"/>
  <c r="EN15" i="2" s="1"/>
  <c r="EO15" i="2" s="1"/>
  <c r="EP15" i="2" s="1"/>
  <c r="EQ15" i="2" s="1"/>
  <c r="ER15" i="2" s="1"/>
  <c r="ES15" i="2" s="1"/>
  <c r="ET15" i="2" s="1"/>
  <c r="EU15" i="2" s="1"/>
  <c r="EV15" i="2" s="1"/>
  <c r="EW15" i="2" s="1"/>
  <c r="EX15" i="2" s="1"/>
  <c r="EY15" i="2" s="1"/>
  <c r="EZ15" i="2" s="1"/>
  <c r="FA15" i="2" s="1"/>
  <c r="FB15" i="2" s="1"/>
  <c r="FC15" i="2" s="1"/>
  <c r="FD15" i="2" s="1"/>
  <c r="FE15" i="2" s="1"/>
  <c r="FF15" i="2" s="1"/>
  <c r="FG15" i="2" s="1"/>
  <c r="FH15" i="2" s="1"/>
  <c r="FI15" i="2" s="1"/>
  <c r="FJ15" i="2" s="1"/>
  <c r="FK15" i="2" s="1"/>
  <c r="FL15" i="2" s="1"/>
  <c r="FM15" i="2" s="1"/>
  <c r="FN15" i="2" s="1"/>
  <c r="FO15" i="2" s="1"/>
  <c r="FP15" i="2" s="1"/>
  <c r="FQ15" i="2" s="1"/>
  <c r="FR15" i="2" s="1"/>
  <c r="FS15" i="2" s="1"/>
  <c r="FT15" i="2" s="1"/>
  <c r="FU15" i="2" s="1"/>
  <c r="FV15" i="2" s="1"/>
  <c r="FW15" i="2" s="1"/>
  <c r="FX15" i="2" s="1"/>
  <c r="FY15" i="2" s="1"/>
  <c r="FZ15" i="2" s="1"/>
  <c r="GA15" i="2" s="1"/>
  <c r="GB15" i="2" s="1"/>
  <c r="GC15" i="2" s="1"/>
  <c r="GD15" i="2" s="1"/>
  <c r="GE15" i="2" s="1"/>
  <c r="GF15" i="2" s="1"/>
  <c r="GG15" i="2" s="1"/>
  <c r="GH15" i="2" s="1"/>
  <c r="GI15" i="2" s="1"/>
  <c r="GJ15" i="2" s="1"/>
  <c r="GK15" i="2" s="1"/>
  <c r="GL15" i="2" s="1"/>
  <c r="GM15" i="2" s="1"/>
  <c r="GN15" i="2" s="1"/>
  <c r="GO15" i="2" s="1"/>
  <c r="GP15" i="2" s="1"/>
  <c r="GQ15" i="2" s="1"/>
  <c r="GR15" i="2" s="1"/>
  <c r="GS15" i="2" s="1"/>
  <c r="GT15" i="2" s="1"/>
  <c r="GU15" i="2" s="1"/>
  <c r="GV15" i="2" s="1"/>
  <c r="GW15" i="2" s="1"/>
  <c r="GX15" i="2" s="1"/>
  <c r="GY15" i="2" s="1"/>
  <c r="GZ15" i="2" s="1"/>
  <c r="HA15" i="2" s="1"/>
  <c r="HB15" i="2" s="1"/>
  <c r="HC15" i="2" s="1"/>
  <c r="HD15" i="2" s="1"/>
  <c r="HE15" i="2" s="1"/>
  <c r="HF15" i="2" s="1"/>
  <c r="HG15" i="2" s="1"/>
  <c r="HH15" i="2" s="1"/>
  <c r="HI15" i="2" s="1"/>
  <c r="HJ15" i="2" s="1"/>
  <c r="HK15" i="2" s="1"/>
  <c r="HL15" i="2" s="1"/>
  <c r="HM15" i="2" s="1"/>
  <c r="HN15" i="2" s="1"/>
  <c r="HO15" i="2" s="1"/>
  <c r="HP15" i="2" s="1"/>
  <c r="HQ15" i="2" s="1"/>
  <c r="HR15" i="2" s="1"/>
  <c r="HS15" i="2" s="1"/>
  <c r="HT15" i="2" s="1"/>
  <c r="HU15" i="2" s="1"/>
  <c r="HV15" i="2" s="1"/>
  <c r="HW15" i="2" s="1"/>
  <c r="HX15" i="2" s="1"/>
  <c r="HY15" i="2" s="1"/>
  <c r="HZ15" i="2" s="1"/>
  <c r="IA15" i="2" s="1"/>
  <c r="IB15" i="2" s="1"/>
  <c r="IC15" i="2" s="1"/>
  <c r="ID15" i="2" s="1"/>
  <c r="IE15" i="2" s="1"/>
  <c r="IF15" i="2" s="1"/>
  <c r="IG15" i="2" s="1"/>
  <c r="IH15" i="2" s="1"/>
  <c r="II15" i="2" s="1"/>
  <c r="IJ15" i="2" s="1"/>
  <c r="IK15" i="2" s="1"/>
  <c r="IL15" i="2" s="1"/>
  <c r="IM15" i="2" s="1"/>
  <c r="IN15" i="2" s="1"/>
  <c r="IO15" i="2" s="1"/>
  <c r="IP15" i="2" s="1"/>
  <c r="IQ15" i="2" s="1"/>
  <c r="IR15" i="2" s="1"/>
  <c r="IS15" i="2" s="1"/>
  <c r="IT15" i="2" s="1"/>
  <c r="IU15" i="2" s="1"/>
  <c r="IV15" i="2" s="1"/>
  <c r="IW15" i="2" s="1"/>
  <c r="IX15" i="2" s="1"/>
  <c r="IY15" i="2" s="1"/>
  <c r="IZ15" i="2" s="1"/>
  <c r="JA15" i="2" s="1"/>
  <c r="JB15" i="2" s="1"/>
  <c r="JC15" i="2" s="1"/>
  <c r="JD15" i="2" s="1"/>
  <c r="JE15" i="2" s="1"/>
  <c r="JF15" i="2" s="1"/>
  <c r="JG15" i="2" s="1"/>
  <c r="JH15" i="2" s="1"/>
  <c r="JI15" i="2" s="1"/>
  <c r="JJ15" i="2" s="1"/>
  <c r="JK15" i="2" s="1"/>
  <c r="JL15" i="2" s="1"/>
  <c r="JM15" i="2" s="1"/>
  <c r="JN15" i="2" s="1"/>
  <c r="JO15" i="2" s="1"/>
  <c r="JP15" i="2" s="1"/>
  <c r="JQ15" i="2" s="1"/>
  <c r="JR15" i="2" s="1"/>
  <c r="JS15" i="2" s="1"/>
  <c r="JT15" i="2" s="1"/>
  <c r="JU15" i="2" s="1"/>
  <c r="JV15" i="2" s="1"/>
  <c r="JW15" i="2" s="1"/>
  <c r="JX15" i="2" s="1"/>
  <c r="JY15" i="2" s="1"/>
  <c r="JZ15" i="2" s="1"/>
  <c r="KA15" i="2" s="1"/>
  <c r="KB15" i="2" s="1"/>
  <c r="KC15" i="2" s="1"/>
  <c r="KD15" i="2" s="1"/>
  <c r="KE15" i="2" s="1"/>
  <c r="KF15" i="2" s="1"/>
  <c r="KG15" i="2" s="1"/>
  <c r="KH15" i="2" s="1"/>
  <c r="KI15" i="2" s="1"/>
  <c r="AV17" i="2"/>
  <c r="AZ22" i="2" l="1"/>
  <c r="AZ24" i="2" s="1"/>
  <c r="AZ25" i="2" s="1"/>
  <c r="AZ2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<sst xmlns="http://schemas.openxmlformats.org/spreadsheetml/2006/main" count="85" uniqueCount="81">
  <si>
    <t>Company</t>
  </si>
  <si>
    <t>Source</t>
  </si>
  <si>
    <t>Price</t>
  </si>
  <si>
    <t>Shares</t>
  </si>
  <si>
    <t>2Q22</t>
  </si>
  <si>
    <t>Market Cap</t>
  </si>
  <si>
    <t>Cash</t>
  </si>
  <si>
    <t>Debt</t>
  </si>
  <si>
    <t>EV</t>
  </si>
  <si>
    <t>3Q22</t>
  </si>
  <si>
    <t>Revenue</t>
  </si>
  <si>
    <t>R&amp;D</t>
  </si>
  <si>
    <t>G&amp;A</t>
  </si>
  <si>
    <t>Opex</t>
  </si>
  <si>
    <t>Pretax Income</t>
  </si>
  <si>
    <t>Taxes</t>
  </si>
  <si>
    <t>Net Income</t>
  </si>
  <si>
    <t>Shares Outstanding</t>
  </si>
  <si>
    <t>EPS</t>
  </si>
  <si>
    <t>Cost of Revenue</t>
  </si>
  <si>
    <t>Gross Profit</t>
  </si>
  <si>
    <t>Operating Income</t>
  </si>
  <si>
    <t>2Q20</t>
  </si>
  <si>
    <t>3Q20</t>
  </si>
  <si>
    <t>4Q20</t>
  </si>
  <si>
    <t>1Q21</t>
  </si>
  <si>
    <t>2Q21</t>
  </si>
  <si>
    <t>3Q21</t>
  </si>
  <si>
    <t>4Q21</t>
  </si>
  <si>
    <t>1Q22</t>
  </si>
  <si>
    <t>1Q20</t>
  </si>
  <si>
    <t>4Q22</t>
  </si>
  <si>
    <t>Equity</t>
  </si>
  <si>
    <t>D+E</t>
  </si>
  <si>
    <t>Wdebt</t>
  </si>
  <si>
    <t>Wequity</t>
  </si>
  <si>
    <t>Tax rate</t>
  </si>
  <si>
    <t>Interest expense</t>
  </si>
  <si>
    <t>Cost of debt</t>
  </si>
  <si>
    <t>Risk-free rate</t>
  </si>
  <si>
    <t>Beta</t>
  </si>
  <si>
    <t>Market return</t>
  </si>
  <si>
    <t>Cost of equity</t>
  </si>
  <si>
    <t>WACC</t>
  </si>
  <si>
    <t>Revenue Y/Y</t>
  </si>
  <si>
    <t>GP Y/Y</t>
  </si>
  <si>
    <t>Opex Y/Y</t>
  </si>
  <si>
    <t>OI Y/Y</t>
  </si>
  <si>
    <t>Net Income Y/Y</t>
  </si>
  <si>
    <t>Shares Y/Y</t>
  </si>
  <si>
    <t>Gross Margin</t>
  </si>
  <si>
    <t>Operating Margin</t>
  </si>
  <si>
    <t>Tax Rate</t>
  </si>
  <si>
    <t>1Q18</t>
  </si>
  <si>
    <t>2Q18</t>
  </si>
  <si>
    <t>3Q18</t>
  </si>
  <si>
    <t>4Q18</t>
  </si>
  <si>
    <t>1Q19</t>
  </si>
  <si>
    <t>2Q19</t>
  </si>
  <si>
    <t>3Q19</t>
  </si>
  <si>
    <t>4Q19</t>
  </si>
  <si>
    <t>1Q23</t>
  </si>
  <si>
    <t>2Q23</t>
  </si>
  <si>
    <t>3Q23</t>
  </si>
  <si>
    <t>4Q23</t>
  </si>
  <si>
    <t>Interest Income</t>
  </si>
  <si>
    <t>Interest Expense</t>
  </si>
  <si>
    <t>Other Income/(Expense)</t>
  </si>
  <si>
    <t>2Q24</t>
  </si>
  <si>
    <t>1Q24</t>
  </si>
  <si>
    <t>3Q24</t>
  </si>
  <si>
    <t>4Q24</t>
  </si>
  <si>
    <t>KOYFIN 3/19/23</t>
  </si>
  <si>
    <t>Maturity</t>
  </si>
  <si>
    <t>Discount</t>
  </si>
  <si>
    <t>NPV</t>
  </si>
  <si>
    <t>Net Cash</t>
  </si>
  <si>
    <t>Total Value</t>
  </si>
  <si>
    <t>Model Price</t>
  </si>
  <si>
    <t>Current Price</t>
  </si>
  <si>
    <t>Difference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</si>
</sst>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5" x14ac:knownFonts="1">
    <font>
      <sz val="11"/>
      <color theme="1"/>
      <name val="Calibri"/>
      <family val="2"/>
      <scheme val="minor"/>
    </font>
    <font>
      <sz val="11"/>
      <color theme="1"/>
      <name val="Arial"/>
      <family val="2"/>
    </font>
    <font>
      <b/>
      <sz val="11"/>
      <color theme="1"/>
      <name val="Arial"/>
      <family val="2"/>
    </font>
    <font>
      <sz val="11"/>
      <color theme="1"/>
      <name val="Calibri"/>
      <family val="2"/>
      <scheme val="minor"/>
    </font>
    <font>
      <sz val="8"/>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3" fillId="0" borderId="0" applyFont="0" applyFill="0" applyBorder="0" applyAlignment="0" applyProtection="0"/>
  </cellStyleXfs>
  <cellXfs count="30">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164" fontId="1" fillId="0" borderId="0" xfId="0" applyNumberFormat="1" applyFont="1" applyAlignment="1">
      <alignment horizontal="right"/>
    </xf>
    <xf numFmtId="0" fontId="1" fillId="0" borderId="1" xfId="0" applyFont="1" applyBorder="1" applyAlignment="1">
      <alignment horizontal="right"/>
    </xf>
    <xf numFmtId="3" fontId="1" fillId="0" borderId="0" xfId="0" applyNumberFormat="1" applyFont="1" applyAlignment="1">
      <alignment horizontal="right"/>
    </xf>
    <xf numFmtId="0" fontId="1" fillId="0" borderId="4" xfId="0" applyFont="1" applyBorder="1" applyAlignment="1">
      <alignment horizontal="right"/>
    </xf>
    <xf numFmtId="0" fontId="1" fillId="0" borderId="5" xfId="0" applyFont="1" applyBorder="1"/>
    <xf numFmtId="3" fontId="1" fillId="0" borderId="6" xfId="0" applyNumberFormat="1" applyFont="1" applyBorder="1" applyAlignment="1">
      <alignment horizontal="right"/>
    </xf>
    <xf numFmtId="0" fontId="1" fillId="0" borderId="5" xfId="0" applyFont="1" applyBorder="1" applyAlignment="1">
      <alignment horizontal="right"/>
    </xf>
    <xf numFmtId="38" fontId="1" fillId="0" borderId="0" xfId="0" applyNumberFormat="1" applyFont="1"/>
    <xf numFmtId="4" fontId="1" fillId="0" borderId="0" xfId="0" applyNumberFormat="1" applyFont="1" applyAlignment="1">
      <alignment horizontal="right"/>
    </xf>
    <xf numFmtId="38" fontId="2" fillId="0" borderId="0" xfId="0" applyNumberFormat="1" applyFont="1"/>
    <xf numFmtId="3" fontId="2" fillId="0" borderId="0" xfId="0" applyNumberFormat="1" applyFont="1" applyAlignment="1">
      <alignment horizontal="right"/>
    </xf>
    <xf numFmtId="3" fontId="2" fillId="0" borderId="0" xfId="0" applyNumberFormat="1" applyFont="1" applyAlignment="1">
      <alignment vertical="center"/>
    </xf>
    <xf numFmtId="1" fontId="1" fillId="0" borderId="0" xfId="0" applyNumberFormat="1" applyFont="1" applyAlignment="1">
      <alignment horizontal="right"/>
    </xf>
    <xf numFmtId="0" fontId="1" fillId="0" borderId="0" xfId="0" applyFont="1"/>
    <xf numFmtId="3" fontId="1" fillId="0" borderId="0" xfId="0" applyNumberFormat="1" applyFont="1"/>
    <xf numFmtId="0" fontId="2" fillId="0" borderId="0" xfId="0" applyFont="1"/>
    <xf numFmtId="10" fontId="2" fillId="0" borderId="0" xfId="0" applyNumberFormat="1" applyFont="1"/>
    <xf numFmtId="10" fontId="1" fillId="0" borderId="0" xfId="0" applyNumberFormat="1" applyFont="1"/>
    <xf numFmtId="10" fontId="2" fillId="0" borderId="0" xfId="1" applyNumberFormat="1" applyFont="1"/>
    <xf numFmtId="9" fontId="1" fillId="0" borderId="0" xfId="0" applyNumberFormat="1" applyFont="1"/>
    <xf numFmtId="9" fontId="1" fillId="0" borderId="0" xfId="0" applyNumberFormat="1" applyFont="1" applyAlignment="1">
      <alignment horizontal="right"/>
    </xf>
    <xf numFmtId="3" fontId="2" fillId="0" borderId="0" xfId="0" applyNumberFormat="1" applyFont="1"/>
    <xf numFmtId="9" fontId="1" fillId="0" borderId="0" xfId="1" applyFont="1"/>
    <xf numFmtId="4" fontId="1" fillId="0" borderId="0" xfId="0" applyNumberFormat="1" applyFont="1"/>
    <xf numFmtId="9" fontId="2" fillId="0" borderId="0" xfId="0" applyNumberFormat="1" applyFont="1"/>
  </cellXfs>
  <cellStyles count="2">
    <cellStyle name="Normal" xfId="0" builtinId="0"/>
    <cellStyle name="Percent" xfId="1" builtinId="5"/>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openxmlformats.org/officeDocument/2006/relationships/calcChain" Target="calcChain.xml"/><Relationship Id="rId10" Type="http://schemas.microsoft.com/office/2017/06/relationships/rdRichValueStructure" Target="richData/rdrichvaluestructure.xml"/><Relationship Id="rId4" Type="http://schemas.openxmlformats.org/officeDocument/2006/relationships/externalLink" Target="externalLinks/externalLink1.xml"/><Relationship Id="rId9" Type="http://schemas.microsoft.com/office/2017/06/relationships/rdRichValue" Target="richData/rdrichvalue.xml"/><Relationship Id="rId14" Type="http://schemas.microsoft.com/office/2017/06/relationships/rdRichValueTypes" Target="richData/rdRichValueTypes.xml"/></Relationships>
</file>

<file path=xl/drawings/drawing1.xml><?xml version="1.0" encoding="utf-8"?>
<xdr:wsDr xmlns:xdr="http://schemas.openxmlformats.org/drawingml/2006/spreadsheetDrawing" xmlns:a="http://schemas.openxmlformats.org/drawingml/2006/main">
  <xdr:twoCellAnchor>
    <xdr:from>
      <xdr:col>26</xdr:col>
      <xdr:colOff>34925</xdr:colOff>
      <xdr:row>0</xdr:row>
      <xdr:rowOff>111125</xdr:rowOff>
    </xdr:from>
    <xdr:to>
      <xdr:col>26</xdr:col>
      <xdr:colOff>34925</xdr:colOff>
      <xdr:row>30</xdr:row>
      <xdr:rowOff>95250</xdr:rowOff>
    </xdr:to>
    <xdr:cxnSp macro="">
      <xdr:nvCxnSpPr>
        <xdr:cNvPr id="3" name="Straight Connector 2">
          <a:extLst>
            <a:ext uri="{FF2B5EF4-FFF2-40B4-BE49-F238E27FC236}">
              <a16:creationId xmlns:a16="http://schemas.microsoft.com/office/drawing/2014/main" id="{5ED4063F-4B9B-79BA-EFB1-BB1C3EA11BD3}"/>
            </a:ext>
          </a:extLst>
        </xdr:cNvPr>
        <xdr:cNvCxnSpPr/>
      </xdr:nvCxnSpPr>
      <xdr:spPr>
        <a:xfrm>
          <a:off x="14131925" y="111125"/>
          <a:ext cx="0" cy="52324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53975</xdr:colOff>
      <xdr:row>0</xdr:row>
      <xdr:rowOff>101600</xdr:rowOff>
    </xdr:from>
    <xdr:to>
      <xdr:col>43</xdr:col>
      <xdr:colOff>76103</xdr:colOff>
      <xdr:row>31</xdr:row>
      <xdr:rowOff>101600</xdr:rowOff>
    </xdr:to>
    <xdr:cxnSp macro="">
      <xdr:nvCxnSpPr>
        <xdr:cNvPr id="4" name="Straight Connector 3">
          <a:extLst>
            <a:ext uri="{FF2B5EF4-FFF2-40B4-BE49-F238E27FC236}">
              <a16:creationId xmlns:a16="http://schemas.microsoft.com/office/drawing/2014/main" id="{38F742D3-C10B-4D1F-8546-24AD1FA9FB34}"/>
            </a:ext>
          </a:extLst>
        </xdr:cNvPr>
        <xdr:cNvCxnSpPr/>
      </xdr:nvCxnSpPr>
      <xdr:spPr>
        <a:xfrm>
          <a:off x="27200225" y="101600"/>
          <a:ext cx="22128" cy="56102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wlshe\Documents\Models%20Backup\00%20Dashboard.xlsx" TargetMode="External"/><Relationship Id="rId1" Type="http://schemas.openxmlformats.org/officeDocument/2006/relationships/externalLinkPath" Target="/Users/wlshe/Documents/Models%20Backup/00%20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Bond Yields"/>
      <sheetName val="Companies"/>
    </sheetNames>
    <sheetDataSet>
      <sheetData sheetId="0">
        <row r="7">
          <cell r="C7">
            <v>4.0300000000000002E-2</v>
          </cell>
        </row>
      </sheetData>
      <sheetData sheetId="1" refreshError="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https://www.bing.com/financeapi/forcetrigger?t=a1yv52&amp;q=XNAS%3aNVDA&amp;form=skydnc</v>
    <v>Learn more on Bing</v>
  </rv>
  <rv s="1">
    <v>en-US</v>
    <v>a1yv52</v>
    <v>268435456</v>
    <v>1</v>
    <v>Powered by Refinitiv</v>
    <v>0</v>
    <v>NVIDIA CORPORATION (XNAS:NVDA)</v>
    <v>2</v>
    <v>3</v>
    <v>Finance</v>
    <v>4</v>
    <v>289.45999999999998</v>
    <v>108.13</v>
    <v>1.74</v>
    <v>1.84</v>
    <v>-3.2260000000000001E-3</v>
    <v>7.2040000000000003E-3</v>
    <v>-0.83</v>
    <v>USD</v>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v>26196</v>
    <v>Nasdaq Stock Market</v>
    <v>XNAS</v>
    <v>XNAS</v>
    <v>2788 San Tomas Expressway, SANTA CLARA, CA, 95051 US</v>
    <v>263.99</v>
    <v>Semiconductors &amp; Semiconductor Equipment</v>
    <v>Stock</v>
    <v>45002.999990138283</v>
    <v>0</v>
    <v>256.68</v>
    <v>635407500000</v>
    <v>NVIDIA CORPORATION</v>
    <v>NVIDIA CORPORATION</v>
    <v>259.82</v>
    <v>146.6651</v>
    <v>255.41</v>
    <v>257.25</v>
    <v>256.42</v>
    <v>2470000000</v>
    <v>NVDA</v>
    <v>NVIDIA CORPORATION (XNAS:NVDA)</v>
    <v>84854656</v>
    <v>51099915</v>
    <v>1998</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0" formatCode="General"/>
    </x:dxf>
    <x:dxf>
      <x:numFmt numFmtId="4" formatCode="#,##0.00"/>
    </x:dxf>
    <x:dxf>
      <x:numFmt numFmtId="3" formatCode="#,##0"/>
    </x:dxf>
    <x:dxf>
      <x:numFmt numFmtId="14" formatCode="0.00%"/>
    </x:dxf>
    <x:dxf>
      <x:numFmt numFmtId="27" formatCode="m/d/yyyy\ h:mm"/>
    </x:dxf>
    <x:dxf>
      <x:numFmt numFmtId="1" formatCode="0"/>
    </x:dxf>
    <x:dxf>
      <x:numFmt numFmtId="2" formatCode="0.00"/>
    </x:dxf>
  </dxfs>
  <richProperties>
    <rPr n="NumberFormat" t="s"/>
    <rPr n="IsTitleField" t="b"/>
  </richProperties>
  <richStyles>
    <rSty dxfid="0">
      <rpv i="0">_([$$-en-US]* #,##0.00_);_([$$-en-US]* (#,##0.00);_([$$-en-US]* "-"??_);_(@_)</rpv>
    </rSty>
    <rSty dxfid="1">
      <rpv i="0">#,##0.00</rpv>
    </rSty>
    <rSty>
      <rpv i="1">1</rpv>
    </rSty>
    <rSty dxfid="2">
      <rpv i="0">#,##0</rpv>
    </rSty>
    <rSty dxfid="3"/>
    <rSty dxfid="0">
      <rpv i="0">_([$$-en-US]* #,##0_);_([$$-en-US]* (#,##0);_([$$-en-US]* "-"_);_(@_)</rpv>
    </rSty>
    <rSty dxfid="4"/>
    <rSty dxfid="5">
      <rpv i="0">0</rpv>
    </rSty>
    <rSty dxfid="6">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24738-4970-4D8A-8D89-44099B77F3EC}">
  <dimension ref="B4:D10"/>
  <sheetViews>
    <sheetView workbookViewId="0">
      <selection activeCell="C10" sqref="C10"/>
    </sheetView>
  </sheetViews>
  <sheetFormatPr defaultRowHeight="14.5" x14ac:dyDescent="0.35"/>
  <cols>
    <col min="2" max="2" width="11" bestFit="1" customWidth="1"/>
    <col min="3" max="3" width="41.453125" bestFit="1" customWidth="1"/>
    <col min="4" max="4" width="7.08984375" bestFit="1" customWidth="1"/>
  </cols>
  <sheetData>
    <row r="4" spans="2:4" x14ac:dyDescent="0.35">
      <c r="B4" s="1" t="s">
        <v>0</v>
      </c>
      <c r="C4" s="2" t="e" vm="1">
        <v>#VALUE!</v>
      </c>
      <c r="D4" s="3" t="s">
        <v>1</v>
      </c>
    </row>
    <row r="5" spans="2:4" x14ac:dyDescent="0.35">
      <c r="B5" s="4" t="s">
        <v>2</v>
      </c>
      <c r="C5" s="5" cm="1">
        <f t="array" ref="C5">_FV(C4,"Price")</f>
        <v>257.25</v>
      </c>
      <c r="D5" s="6"/>
    </row>
    <row r="6" spans="2:4" x14ac:dyDescent="0.35">
      <c r="B6" s="4" t="s">
        <v>3</v>
      </c>
      <c r="C6" s="7">
        <v>2477</v>
      </c>
      <c r="D6" s="8" t="s">
        <v>31</v>
      </c>
    </row>
    <row r="7" spans="2:4" x14ac:dyDescent="0.35">
      <c r="B7" s="4" t="s">
        <v>5</v>
      </c>
      <c r="C7" s="7">
        <f>C5*C6</f>
        <v>637208.25</v>
      </c>
      <c r="D7" s="8"/>
    </row>
    <row r="8" spans="2:4" x14ac:dyDescent="0.35">
      <c r="B8" s="4" t="s">
        <v>6</v>
      </c>
      <c r="C8" s="7">
        <f>13296</f>
        <v>13296</v>
      </c>
      <c r="D8" s="8" t="s">
        <v>31</v>
      </c>
    </row>
    <row r="9" spans="2:4" x14ac:dyDescent="0.35">
      <c r="B9" s="4" t="s">
        <v>7</v>
      </c>
      <c r="C9" s="7">
        <f>1250+9703</f>
        <v>10953</v>
      </c>
      <c r="D9" s="8" t="s">
        <v>31</v>
      </c>
    </row>
    <row r="10" spans="2:4" x14ac:dyDescent="0.35">
      <c r="B10" s="9" t="s">
        <v>8</v>
      </c>
      <c r="C10" s="10">
        <f>C7-C8+C9</f>
        <v>634865.25</v>
      </c>
      <c r="D10"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66471-B9AD-43C0-8A5A-94D417171582}">
  <dimension ref="A1:KI27"/>
  <sheetViews>
    <sheetView tabSelected="1" workbookViewId="0">
      <pane xSplit="2" ySplit="2" topLeftCell="AH3" activePane="bottomRight" state="frozen"/>
      <selection pane="topRight" activeCell="C1" sqref="C1"/>
      <selection pane="bottomLeft" activeCell="A3" sqref="A3"/>
      <selection pane="bottomRight" activeCell="AR14" sqref="AR14:AV14"/>
    </sheetView>
  </sheetViews>
  <sheetFormatPr defaultRowHeight="14" x14ac:dyDescent="0.3"/>
  <cols>
    <col min="1" max="1" width="8.7265625" style="12"/>
    <col min="2" max="2" width="23.1796875" style="12" bestFit="1" customWidth="1"/>
    <col min="3" max="6" width="8.6328125" style="19" customWidth="1"/>
    <col min="7" max="14" width="8.6328125" style="12" customWidth="1"/>
    <col min="15" max="22" width="8.7265625" style="13"/>
    <col min="23" max="23" width="9.26953125" style="13" bestFit="1" customWidth="1"/>
    <col min="24" max="25" width="8.7265625" style="13"/>
    <col min="26" max="50" width="8.7265625" style="7"/>
    <col min="51" max="51" width="12.90625" style="7" bestFit="1" customWidth="1"/>
    <col min="52" max="16384" width="8.7265625" style="7"/>
  </cols>
  <sheetData>
    <row r="1" spans="1:295" s="13" customFormat="1" x14ac:dyDescent="0.3">
      <c r="A1" s="12"/>
      <c r="B1" s="12"/>
      <c r="C1" s="12"/>
      <c r="D1" s="12"/>
      <c r="E1" s="12"/>
      <c r="F1" s="12"/>
      <c r="G1" s="12"/>
      <c r="H1" s="12"/>
      <c r="I1" s="12"/>
      <c r="J1" s="12"/>
      <c r="K1" s="12"/>
      <c r="L1" s="12"/>
      <c r="M1" s="12"/>
      <c r="N1" s="12"/>
    </row>
    <row r="2" spans="1:295" s="13" customFormat="1" x14ac:dyDescent="0.3">
      <c r="A2" s="12"/>
      <c r="B2" s="12"/>
      <c r="C2" s="12" t="s">
        <v>53</v>
      </c>
      <c r="D2" s="12" t="s">
        <v>54</v>
      </c>
      <c r="E2" s="12" t="s">
        <v>55</v>
      </c>
      <c r="F2" s="12" t="s">
        <v>56</v>
      </c>
      <c r="G2" s="13" t="s">
        <v>57</v>
      </c>
      <c r="H2" s="13" t="s">
        <v>58</v>
      </c>
      <c r="I2" s="13" t="s">
        <v>59</v>
      </c>
      <c r="J2" s="13" t="s">
        <v>60</v>
      </c>
      <c r="K2" s="13" t="s">
        <v>30</v>
      </c>
      <c r="L2" s="13" t="s">
        <v>22</v>
      </c>
      <c r="M2" s="13" t="s">
        <v>23</v>
      </c>
      <c r="N2" s="13" t="s">
        <v>24</v>
      </c>
      <c r="O2" s="13" t="s">
        <v>25</v>
      </c>
      <c r="P2" s="13" t="s">
        <v>26</v>
      </c>
      <c r="Q2" s="13" t="s">
        <v>27</v>
      </c>
      <c r="R2" s="13" t="s">
        <v>28</v>
      </c>
      <c r="S2" s="13" t="s">
        <v>29</v>
      </c>
      <c r="T2" s="13" t="s">
        <v>4</v>
      </c>
      <c r="U2" s="13" t="s">
        <v>9</v>
      </c>
      <c r="V2" s="13" t="s">
        <v>31</v>
      </c>
      <c r="W2" s="13" t="s">
        <v>61</v>
      </c>
      <c r="X2" s="13" t="s">
        <v>62</v>
      </c>
      <c r="Y2" s="13" t="s">
        <v>63</v>
      </c>
      <c r="Z2" s="13" t="s">
        <v>64</v>
      </c>
      <c r="AA2" s="13" t="s">
        <v>69</v>
      </c>
      <c r="AB2" s="13" t="s">
        <v>68</v>
      </c>
      <c r="AC2" s="13" t="s">
        <v>70</v>
      </c>
      <c r="AD2" s="13" t="s">
        <v>71</v>
      </c>
      <c r="AK2" s="7"/>
      <c r="AL2" s="17">
        <v>2018</v>
      </c>
      <c r="AM2" s="17">
        <v>2019</v>
      </c>
      <c r="AN2" s="17">
        <v>2020</v>
      </c>
      <c r="AO2" s="17">
        <v>2021</v>
      </c>
      <c r="AP2" s="17">
        <v>2022</v>
      </c>
      <c r="AQ2" s="17">
        <v>2023</v>
      </c>
      <c r="AR2" s="17">
        <v>2024</v>
      </c>
      <c r="AS2" s="17">
        <v>2025</v>
      </c>
      <c r="AT2" s="17">
        <v>2026</v>
      </c>
      <c r="AU2" s="17">
        <v>2027</v>
      </c>
      <c r="AV2" s="17">
        <v>2028</v>
      </c>
    </row>
    <row r="3" spans="1:295" s="15" customFormat="1" x14ac:dyDescent="0.3">
      <c r="A3" s="14"/>
      <c r="B3" s="14" t="s">
        <v>10</v>
      </c>
      <c r="C3" s="26">
        <v>1937</v>
      </c>
      <c r="D3" s="26">
        <v>2230</v>
      </c>
      <c r="E3" s="26">
        <v>2636</v>
      </c>
      <c r="F3" s="26">
        <v>2911</v>
      </c>
      <c r="G3" s="14">
        <v>3207</v>
      </c>
      <c r="H3" s="14">
        <v>3123</v>
      </c>
      <c r="I3" s="14">
        <v>3181</v>
      </c>
      <c r="J3" s="14">
        <v>2205</v>
      </c>
      <c r="K3" s="14">
        <v>2220</v>
      </c>
      <c r="L3" s="14">
        <v>2579</v>
      </c>
      <c r="M3" s="14">
        <v>3014</v>
      </c>
      <c r="N3" s="14">
        <v>3105</v>
      </c>
      <c r="O3" s="15">
        <v>3080</v>
      </c>
      <c r="P3" s="15">
        <v>3866</v>
      </c>
      <c r="Q3" s="15">
        <v>4726</v>
      </c>
      <c r="R3" s="15">
        <v>5003</v>
      </c>
      <c r="S3" s="15">
        <v>5661</v>
      </c>
      <c r="T3" s="15">
        <v>6507</v>
      </c>
      <c r="U3" s="15">
        <v>7103</v>
      </c>
      <c r="V3" s="15">
        <v>7643</v>
      </c>
      <c r="W3" s="15">
        <v>8288</v>
      </c>
      <c r="X3" s="15">
        <v>6704</v>
      </c>
      <c r="Y3" s="16">
        <v>5931</v>
      </c>
      <c r="Z3" s="15">
        <v>6051</v>
      </c>
      <c r="AL3" s="15">
        <f>SUM(C3:F3)</f>
        <v>9714</v>
      </c>
      <c r="AM3" s="15">
        <f>SUM(G3:J3)</f>
        <v>11716</v>
      </c>
      <c r="AN3" s="15">
        <f>SUM(K3:N3)</f>
        <v>10918</v>
      </c>
      <c r="AO3" s="15">
        <f>SUM(O3:R3)</f>
        <v>16675</v>
      </c>
      <c r="AP3" s="15">
        <f>SUM(S3:V3)</f>
        <v>26914</v>
      </c>
      <c r="AQ3" s="15">
        <f>SUM(W3:Z3)</f>
        <v>26974</v>
      </c>
      <c r="AR3" s="15">
        <f>AQ3*1.1</f>
        <v>29671.4</v>
      </c>
      <c r="AS3" s="15">
        <f>AR3*1.15</f>
        <v>34122.11</v>
      </c>
      <c r="AT3" s="15">
        <f t="shared" ref="AT3:AV3" si="0">AS3*1.15</f>
        <v>39240.426499999994</v>
      </c>
      <c r="AU3" s="15">
        <f t="shared" si="0"/>
        <v>45126.490474999991</v>
      </c>
      <c r="AV3" s="15">
        <f t="shared" si="0"/>
        <v>51895.464046249988</v>
      </c>
    </row>
    <row r="4" spans="1:295" x14ac:dyDescent="0.3">
      <c r="B4" s="12" t="s">
        <v>19</v>
      </c>
      <c r="C4" s="19">
        <v>787</v>
      </c>
      <c r="D4" s="19">
        <v>928</v>
      </c>
      <c r="E4" s="19">
        <v>1067</v>
      </c>
      <c r="F4" s="19">
        <v>1110</v>
      </c>
      <c r="G4" s="12">
        <v>1139</v>
      </c>
      <c r="H4" s="12">
        <v>1148</v>
      </c>
      <c r="I4" s="12">
        <v>1260</v>
      </c>
      <c r="J4" s="12">
        <v>998</v>
      </c>
      <c r="K4" s="12">
        <v>924</v>
      </c>
      <c r="L4" s="12">
        <v>1038</v>
      </c>
      <c r="M4" s="12">
        <v>1098</v>
      </c>
      <c r="N4" s="12">
        <v>1090</v>
      </c>
      <c r="O4" s="7">
        <v>1076</v>
      </c>
      <c r="P4" s="7">
        <v>1591</v>
      </c>
      <c r="Q4" s="7">
        <v>1766</v>
      </c>
      <c r="R4" s="7">
        <v>1846</v>
      </c>
      <c r="S4" s="7">
        <v>2032</v>
      </c>
      <c r="T4" s="7">
        <v>2292</v>
      </c>
      <c r="U4" s="7">
        <v>2472</v>
      </c>
      <c r="V4" s="7">
        <v>2644</v>
      </c>
      <c r="W4" s="7">
        <v>2857</v>
      </c>
      <c r="X4" s="7">
        <v>3789</v>
      </c>
      <c r="Y4" s="7">
        <v>2754</v>
      </c>
      <c r="Z4" s="7">
        <v>2218</v>
      </c>
      <c r="AL4" s="7">
        <f>SUM(C4:F4)</f>
        <v>3892</v>
      </c>
      <c r="AM4" s="7">
        <f>SUM(G4:J4)</f>
        <v>4545</v>
      </c>
      <c r="AN4" s="7">
        <f>SUM(K4:N4)</f>
        <v>4150</v>
      </c>
      <c r="AO4" s="7">
        <f>SUM(O4:R4)</f>
        <v>6279</v>
      </c>
      <c r="AP4" s="7">
        <f>SUM(S4:V4)</f>
        <v>9440</v>
      </c>
      <c r="AQ4" s="7">
        <f>SUM(W4:Z4)</f>
        <v>11618</v>
      </c>
      <c r="AR4" s="7">
        <f>AQ4*1.1</f>
        <v>12779.800000000001</v>
      </c>
      <c r="AS4" s="7">
        <f t="shared" ref="AS4:AV4" si="1">AR4*1.1</f>
        <v>14057.780000000002</v>
      </c>
      <c r="AT4" s="7">
        <f t="shared" si="1"/>
        <v>15463.558000000005</v>
      </c>
      <c r="AU4" s="7">
        <f t="shared" si="1"/>
        <v>17009.913800000006</v>
      </c>
      <c r="AV4" s="7">
        <f t="shared" si="1"/>
        <v>18710.905180000009</v>
      </c>
    </row>
    <row r="5" spans="1:295" s="15" customFormat="1" x14ac:dyDescent="0.3">
      <c r="A5" s="14"/>
      <c r="B5" s="14" t="s">
        <v>20</v>
      </c>
      <c r="C5" s="15">
        <f t="shared" ref="C5" si="2">C3-C4</f>
        <v>1150</v>
      </c>
      <c r="D5" s="15">
        <f t="shared" ref="D5" si="3">D3-D4</f>
        <v>1302</v>
      </c>
      <c r="E5" s="15">
        <f t="shared" ref="E5" si="4">E3-E4</f>
        <v>1569</v>
      </c>
      <c r="F5" s="15">
        <f t="shared" ref="F5" si="5">F3-F4</f>
        <v>1801</v>
      </c>
      <c r="G5" s="15">
        <f t="shared" ref="G5:Y5" si="6">G3-G4</f>
        <v>2068</v>
      </c>
      <c r="H5" s="15">
        <f t="shared" si="6"/>
        <v>1975</v>
      </c>
      <c r="I5" s="15">
        <f t="shared" si="6"/>
        <v>1921</v>
      </c>
      <c r="J5" s="15">
        <f t="shared" si="6"/>
        <v>1207</v>
      </c>
      <c r="K5" s="15">
        <f t="shared" si="6"/>
        <v>1296</v>
      </c>
      <c r="L5" s="15">
        <f t="shared" si="6"/>
        <v>1541</v>
      </c>
      <c r="M5" s="15">
        <f t="shared" si="6"/>
        <v>1916</v>
      </c>
      <c r="N5" s="15">
        <f t="shared" si="6"/>
        <v>2015</v>
      </c>
      <c r="O5" s="15">
        <f t="shared" si="6"/>
        <v>2004</v>
      </c>
      <c r="P5" s="15">
        <f t="shared" si="6"/>
        <v>2275</v>
      </c>
      <c r="Q5" s="15">
        <f t="shared" si="6"/>
        <v>2960</v>
      </c>
      <c r="R5" s="15">
        <f t="shared" si="6"/>
        <v>3157</v>
      </c>
      <c r="S5" s="15">
        <f t="shared" si="6"/>
        <v>3629</v>
      </c>
      <c r="T5" s="15">
        <f t="shared" si="6"/>
        <v>4215</v>
      </c>
      <c r="U5" s="15">
        <f t="shared" si="6"/>
        <v>4631</v>
      </c>
      <c r="V5" s="15">
        <f t="shared" si="6"/>
        <v>4999</v>
      </c>
      <c r="W5" s="15">
        <f t="shared" si="6"/>
        <v>5431</v>
      </c>
      <c r="X5" s="15">
        <f t="shared" si="6"/>
        <v>2915</v>
      </c>
      <c r="Y5" s="15">
        <f t="shared" si="6"/>
        <v>3177</v>
      </c>
      <c r="Z5" s="15">
        <f>Z3-Z4</f>
        <v>3833</v>
      </c>
      <c r="AL5" s="15">
        <f t="shared" ref="AL5:AV5" si="7">AL3-AL4</f>
        <v>5822</v>
      </c>
      <c r="AM5" s="15">
        <f t="shared" si="7"/>
        <v>7171</v>
      </c>
      <c r="AN5" s="15">
        <f t="shared" si="7"/>
        <v>6768</v>
      </c>
      <c r="AO5" s="15">
        <f t="shared" si="7"/>
        <v>10396</v>
      </c>
      <c r="AP5" s="15">
        <f t="shared" si="7"/>
        <v>17474</v>
      </c>
      <c r="AQ5" s="15">
        <f t="shared" si="7"/>
        <v>15356</v>
      </c>
      <c r="AR5" s="15">
        <f t="shared" si="7"/>
        <v>16891.599999999999</v>
      </c>
      <c r="AS5" s="15">
        <f t="shared" si="7"/>
        <v>20064.329999999998</v>
      </c>
      <c r="AT5" s="15">
        <f t="shared" si="7"/>
        <v>23776.86849999999</v>
      </c>
      <c r="AU5" s="15">
        <f t="shared" si="7"/>
        <v>28116.576674999986</v>
      </c>
      <c r="AV5" s="15">
        <f t="shared" si="7"/>
        <v>33184.558866249979</v>
      </c>
    </row>
    <row r="6" spans="1:295" x14ac:dyDescent="0.3">
      <c r="B6" s="12" t="s">
        <v>11</v>
      </c>
      <c r="C6" s="19">
        <v>411</v>
      </c>
      <c r="D6" s="19">
        <v>416</v>
      </c>
      <c r="E6" s="19">
        <v>462</v>
      </c>
      <c r="F6" s="19">
        <v>508</v>
      </c>
      <c r="G6" s="12">
        <v>542</v>
      </c>
      <c r="H6" s="12">
        <v>581</v>
      </c>
      <c r="I6" s="12">
        <v>605</v>
      </c>
      <c r="J6" s="12">
        <v>647</v>
      </c>
      <c r="K6" s="12">
        <v>674</v>
      </c>
      <c r="L6" s="12">
        <v>704</v>
      </c>
      <c r="M6" s="12">
        <v>712</v>
      </c>
      <c r="N6" s="12">
        <v>738</v>
      </c>
      <c r="O6" s="7">
        <v>735</v>
      </c>
      <c r="P6" s="7">
        <v>997</v>
      </c>
      <c r="Q6" s="7">
        <v>1047</v>
      </c>
      <c r="R6" s="7">
        <v>1147</v>
      </c>
      <c r="S6" s="7">
        <v>1153</v>
      </c>
      <c r="T6" s="7">
        <v>1245</v>
      </c>
      <c r="U6" s="7">
        <v>1403</v>
      </c>
      <c r="V6" s="7">
        <v>1466</v>
      </c>
      <c r="W6" s="7">
        <v>1618</v>
      </c>
      <c r="X6" s="7">
        <v>1824</v>
      </c>
      <c r="Y6" s="7">
        <v>1945</v>
      </c>
      <c r="Z6" s="7">
        <v>1951</v>
      </c>
      <c r="AL6" s="7">
        <f>SUM(C6:F6)</f>
        <v>1797</v>
      </c>
      <c r="AM6" s="7">
        <f t="shared" ref="AM6:AM7" si="8">SUM(G6:J6)</f>
        <v>2375</v>
      </c>
      <c r="AN6" s="7">
        <f>SUM(K6:N6)</f>
        <v>2828</v>
      </c>
      <c r="AO6" s="7">
        <f>SUM(O6:R6)</f>
        <v>3926</v>
      </c>
      <c r="AP6" s="7">
        <f>SUM(S6:V6)</f>
        <v>5267</v>
      </c>
      <c r="AQ6" s="7">
        <f>SUM(W6:Z6)</f>
        <v>7338</v>
      </c>
      <c r="AR6" s="7">
        <f>AQ6*1.05</f>
        <v>7704.9000000000005</v>
      </c>
      <c r="AS6" s="7">
        <f t="shared" ref="AS6:AV6" si="9">AR6*1.05</f>
        <v>8090.1450000000013</v>
      </c>
      <c r="AT6" s="7">
        <f t="shared" si="9"/>
        <v>8494.652250000001</v>
      </c>
      <c r="AU6" s="7">
        <f t="shared" si="9"/>
        <v>8919.384862500001</v>
      </c>
      <c r="AV6" s="7">
        <f t="shared" si="9"/>
        <v>9365.3541056250015</v>
      </c>
    </row>
    <row r="7" spans="1:295" x14ac:dyDescent="0.3">
      <c r="B7" s="12" t="s">
        <v>12</v>
      </c>
      <c r="C7" s="19">
        <v>185</v>
      </c>
      <c r="D7" s="19">
        <v>198</v>
      </c>
      <c r="E7" s="19">
        <v>212</v>
      </c>
      <c r="F7" s="19">
        <v>220</v>
      </c>
      <c r="G7" s="12">
        <v>231</v>
      </c>
      <c r="H7" s="12">
        <v>237</v>
      </c>
      <c r="I7" s="12">
        <v>258</v>
      </c>
      <c r="J7" s="12">
        <v>266</v>
      </c>
      <c r="K7" s="12">
        <v>264</v>
      </c>
      <c r="L7" s="12">
        <v>266</v>
      </c>
      <c r="M7" s="12">
        <v>277</v>
      </c>
      <c r="N7" s="12">
        <v>287</v>
      </c>
      <c r="O7" s="7">
        <v>293</v>
      </c>
      <c r="P7" s="7">
        <v>627</v>
      </c>
      <c r="Q7" s="7">
        <v>515</v>
      </c>
      <c r="R7" s="7">
        <v>503</v>
      </c>
      <c r="S7" s="7">
        <v>520</v>
      </c>
      <c r="T7" s="7">
        <v>526</v>
      </c>
      <c r="U7" s="7">
        <v>557</v>
      </c>
      <c r="V7" s="7">
        <v>563</v>
      </c>
      <c r="W7" s="7">
        <v>592</v>
      </c>
      <c r="X7" s="7">
        <v>592</v>
      </c>
      <c r="Y7" s="7">
        <v>631</v>
      </c>
      <c r="Z7" s="7">
        <v>625</v>
      </c>
      <c r="AL7" s="7">
        <f>SUM(C7:F7)</f>
        <v>815</v>
      </c>
      <c r="AM7" s="7">
        <f t="shared" si="8"/>
        <v>992</v>
      </c>
      <c r="AN7" s="7">
        <f>SUM(K7:N7)</f>
        <v>1094</v>
      </c>
      <c r="AO7" s="7">
        <f>SUM(O7:R7)</f>
        <v>1938</v>
      </c>
      <c r="AP7" s="7">
        <f>SUM(S7:V7)</f>
        <v>2166</v>
      </c>
      <c r="AQ7" s="7">
        <f>SUM(W7:Z7)</f>
        <v>2440</v>
      </c>
      <c r="AR7" s="7">
        <f t="shared" ref="AR7:AV7" si="10">AQ7*1.05</f>
        <v>2562</v>
      </c>
      <c r="AS7" s="7">
        <f t="shared" si="10"/>
        <v>2690.1</v>
      </c>
      <c r="AT7" s="7">
        <f t="shared" si="10"/>
        <v>2824.605</v>
      </c>
      <c r="AU7" s="7">
        <f t="shared" si="10"/>
        <v>2965.8352500000001</v>
      </c>
      <c r="AV7" s="7">
        <f t="shared" si="10"/>
        <v>3114.1270125000001</v>
      </c>
    </row>
    <row r="8" spans="1:295" s="15" customFormat="1" x14ac:dyDescent="0.3">
      <c r="A8" s="14"/>
      <c r="B8" s="14" t="s">
        <v>13</v>
      </c>
      <c r="C8" s="15">
        <f t="shared" ref="C8" si="11">C6+C7</f>
        <v>596</v>
      </c>
      <c r="D8" s="15">
        <f t="shared" ref="D8" si="12">D6+D7</f>
        <v>614</v>
      </c>
      <c r="E8" s="15">
        <f t="shared" ref="E8" si="13">E6+E7</f>
        <v>674</v>
      </c>
      <c r="F8" s="15">
        <f t="shared" ref="F8" si="14">F6+F7</f>
        <v>728</v>
      </c>
      <c r="G8" s="15">
        <f t="shared" ref="G8:Y8" si="15">G6+G7</f>
        <v>773</v>
      </c>
      <c r="H8" s="15">
        <f t="shared" si="15"/>
        <v>818</v>
      </c>
      <c r="I8" s="15">
        <f t="shared" si="15"/>
        <v>863</v>
      </c>
      <c r="J8" s="15">
        <f t="shared" si="15"/>
        <v>913</v>
      </c>
      <c r="K8" s="15">
        <f t="shared" si="15"/>
        <v>938</v>
      </c>
      <c r="L8" s="15">
        <f t="shared" si="15"/>
        <v>970</v>
      </c>
      <c r="M8" s="15">
        <f t="shared" si="15"/>
        <v>989</v>
      </c>
      <c r="N8" s="15">
        <f t="shared" si="15"/>
        <v>1025</v>
      </c>
      <c r="O8" s="15">
        <f t="shared" si="15"/>
        <v>1028</v>
      </c>
      <c r="P8" s="15">
        <f t="shared" si="15"/>
        <v>1624</v>
      </c>
      <c r="Q8" s="15">
        <f t="shared" si="15"/>
        <v>1562</v>
      </c>
      <c r="R8" s="15">
        <f t="shared" si="15"/>
        <v>1650</v>
      </c>
      <c r="S8" s="15">
        <f t="shared" si="15"/>
        <v>1673</v>
      </c>
      <c r="T8" s="15">
        <f t="shared" si="15"/>
        <v>1771</v>
      </c>
      <c r="U8" s="15">
        <f t="shared" si="15"/>
        <v>1960</v>
      </c>
      <c r="V8" s="15">
        <f t="shared" si="15"/>
        <v>2029</v>
      </c>
      <c r="W8" s="15">
        <f t="shared" si="15"/>
        <v>2210</v>
      </c>
      <c r="X8" s="15">
        <f t="shared" si="15"/>
        <v>2416</v>
      </c>
      <c r="Y8" s="15">
        <f t="shared" si="15"/>
        <v>2576</v>
      </c>
      <c r="Z8" s="15">
        <f>Z6+Z7</f>
        <v>2576</v>
      </c>
      <c r="AL8" s="15">
        <f t="shared" ref="AL8:AV8" si="16">AL6+AL7</f>
        <v>2612</v>
      </c>
      <c r="AM8" s="15">
        <f t="shared" si="16"/>
        <v>3367</v>
      </c>
      <c r="AN8" s="15">
        <f t="shared" si="16"/>
        <v>3922</v>
      </c>
      <c r="AO8" s="15">
        <f t="shared" si="16"/>
        <v>5864</v>
      </c>
      <c r="AP8" s="15">
        <f t="shared" si="16"/>
        <v>7433</v>
      </c>
      <c r="AQ8" s="15">
        <f t="shared" si="16"/>
        <v>9778</v>
      </c>
      <c r="AR8" s="15">
        <f t="shared" si="16"/>
        <v>10266.900000000001</v>
      </c>
      <c r="AS8" s="15">
        <f t="shared" si="16"/>
        <v>10780.245000000001</v>
      </c>
      <c r="AT8" s="15">
        <f t="shared" si="16"/>
        <v>11319.257250000001</v>
      </c>
      <c r="AU8" s="15">
        <f t="shared" si="16"/>
        <v>11885.220112500001</v>
      </c>
      <c r="AV8" s="15">
        <f t="shared" si="16"/>
        <v>12479.481118125001</v>
      </c>
    </row>
    <row r="9" spans="1:295" s="15" customFormat="1" x14ac:dyDescent="0.3">
      <c r="A9" s="14"/>
      <c r="B9" s="14" t="s">
        <v>21</v>
      </c>
      <c r="C9" s="15">
        <f t="shared" ref="C9" si="17">C5-C8</f>
        <v>554</v>
      </c>
      <c r="D9" s="15">
        <f t="shared" ref="D9" si="18">D5-D8</f>
        <v>688</v>
      </c>
      <c r="E9" s="15">
        <f t="shared" ref="E9" si="19">E5-E8</f>
        <v>895</v>
      </c>
      <c r="F9" s="15">
        <f t="shared" ref="F9" si="20">F5-F8</f>
        <v>1073</v>
      </c>
      <c r="G9" s="15">
        <f t="shared" ref="G9:Y9" si="21">G5-G8</f>
        <v>1295</v>
      </c>
      <c r="H9" s="15">
        <f t="shared" si="21"/>
        <v>1157</v>
      </c>
      <c r="I9" s="15">
        <f t="shared" si="21"/>
        <v>1058</v>
      </c>
      <c r="J9" s="15">
        <f t="shared" si="21"/>
        <v>294</v>
      </c>
      <c r="K9" s="15">
        <f t="shared" si="21"/>
        <v>358</v>
      </c>
      <c r="L9" s="15">
        <f t="shared" si="21"/>
        <v>571</v>
      </c>
      <c r="M9" s="15">
        <f t="shared" si="21"/>
        <v>927</v>
      </c>
      <c r="N9" s="15">
        <f t="shared" si="21"/>
        <v>990</v>
      </c>
      <c r="O9" s="15">
        <f t="shared" si="21"/>
        <v>976</v>
      </c>
      <c r="P9" s="15">
        <f t="shared" si="21"/>
        <v>651</v>
      </c>
      <c r="Q9" s="15">
        <f t="shared" si="21"/>
        <v>1398</v>
      </c>
      <c r="R9" s="15">
        <f t="shared" si="21"/>
        <v>1507</v>
      </c>
      <c r="S9" s="15">
        <f t="shared" si="21"/>
        <v>1956</v>
      </c>
      <c r="T9" s="15">
        <f t="shared" si="21"/>
        <v>2444</v>
      </c>
      <c r="U9" s="15">
        <f t="shared" si="21"/>
        <v>2671</v>
      </c>
      <c r="V9" s="15">
        <f t="shared" si="21"/>
        <v>2970</v>
      </c>
      <c r="W9" s="15">
        <f t="shared" si="21"/>
        <v>3221</v>
      </c>
      <c r="X9" s="15">
        <f t="shared" si="21"/>
        <v>499</v>
      </c>
      <c r="Y9" s="15">
        <f t="shared" si="21"/>
        <v>601</v>
      </c>
      <c r="Z9" s="15">
        <f>Z5-Z8</f>
        <v>1257</v>
      </c>
      <c r="AL9" s="15">
        <f t="shared" ref="AL9:AV9" si="22">AL5-AL8</f>
        <v>3210</v>
      </c>
      <c r="AM9" s="15">
        <f t="shared" si="22"/>
        <v>3804</v>
      </c>
      <c r="AN9" s="15">
        <f t="shared" si="22"/>
        <v>2846</v>
      </c>
      <c r="AO9" s="15">
        <f t="shared" si="22"/>
        <v>4532</v>
      </c>
      <c r="AP9" s="15">
        <f t="shared" si="22"/>
        <v>10041</v>
      </c>
      <c r="AQ9" s="15">
        <f t="shared" si="22"/>
        <v>5578</v>
      </c>
      <c r="AR9" s="15">
        <f t="shared" si="22"/>
        <v>6624.6999999999971</v>
      </c>
      <c r="AS9" s="15">
        <f t="shared" si="22"/>
        <v>9284.0849999999973</v>
      </c>
      <c r="AT9" s="15">
        <f t="shared" si="22"/>
        <v>12457.611249999989</v>
      </c>
      <c r="AU9" s="15">
        <f t="shared" si="22"/>
        <v>16231.356562499985</v>
      </c>
      <c r="AV9" s="15">
        <f t="shared" si="22"/>
        <v>20705.077748124979</v>
      </c>
    </row>
    <row r="10" spans="1:295" x14ac:dyDescent="0.3">
      <c r="B10" s="12" t="s">
        <v>65</v>
      </c>
      <c r="C10" s="19">
        <v>16</v>
      </c>
      <c r="D10" s="19">
        <v>15</v>
      </c>
      <c r="E10" s="19">
        <v>17</v>
      </c>
      <c r="F10" s="19">
        <v>20</v>
      </c>
      <c r="G10" s="19">
        <v>25</v>
      </c>
      <c r="H10" s="19">
        <v>32</v>
      </c>
      <c r="I10" s="19">
        <v>37</v>
      </c>
      <c r="J10" s="19">
        <v>42</v>
      </c>
      <c r="K10" s="19">
        <v>44</v>
      </c>
      <c r="L10" s="19">
        <v>47</v>
      </c>
      <c r="M10" s="19">
        <v>45</v>
      </c>
      <c r="N10" s="19">
        <v>41</v>
      </c>
      <c r="O10" s="7">
        <v>31</v>
      </c>
      <c r="P10" s="7">
        <v>13</v>
      </c>
      <c r="Q10" s="7">
        <v>7</v>
      </c>
      <c r="R10" s="7">
        <v>6</v>
      </c>
      <c r="S10" s="7">
        <v>6</v>
      </c>
      <c r="T10" s="7">
        <v>6</v>
      </c>
      <c r="U10" s="7">
        <v>7</v>
      </c>
      <c r="V10" s="7">
        <v>9</v>
      </c>
      <c r="W10" s="7">
        <v>18</v>
      </c>
      <c r="X10" s="7">
        <v>46</v>
      </c>
      <c r="Y10" s="7">
        <v>88</v>
      </c>
      <c r="Z10" s="7">
        <v>115</v>
      </c>
      <c r="AL10" s="7">
        <f>SUM(C10:F10)</f>
        <v>68</v>
      </c>
      <c r="AM10" s="7">
        <f t="shared" ref="AM10:AM12" si="23">SUM(G10:J10)</f>
        <v>136</v>
      </c>
      <c r="AN10" s="7">
        <f>SUM(K10:N10)</f>
        <v>177</v>
      </c>
      <c r="AO10" s="7">
        <f>SUM(O10:R10)</f>
        <v>57</v>
      </c>
      <c r="AP10" s="7">
        <f>SUM(S10:V10)</f>
        <v>28</v>
      </c>
      <c r="AQ10" s="7">
        <f>SUM(W10:Z10)</f>
        <v>267</v>
      </c>
      <c r="AR10" s="7">
        <f t="shared" ref="AR10:AV10" si="24">AQ10*1.05</f>
        <v>280.35000000000002</v>
      </c>
      <c r="AS10" s="7">
        <f t="shared" si="24"/>
        <v>294.36750000000006</v>
      </c>
      <c r="AT10" s="7">
        <f t="shared" si="24"/>
        <v>309.0858750000001</v>
      </c>
      <c r="AU10" s="7">
        <f t="shared" si="24"/>
        <v>324.54016875000013</v>
      </c>
      <c r="AV10" s="7">
        <f t="shared" si="24"/>
        <v>340.76717718750018</v>
      </c>
    </row>
    <row r="11" spans="1:295" x14ac:dyDescent="0.3">
      <c r="B11" s="12" t="s">
        <v>66</v>
      </c>
      <c r="C11" s="19">
        <v>-16</v>
      </c>
      <c r="D11" s="19">
        <v>-15</v>
      </c>
      <c r="E11" s="19">
        <v>-15</v>
      </c>
      <c r="F11" s="19">
        <v>-15</v>
      </c>
      <c r="G11" s="19">
        <v>-15</v>
      </c>
      <c r="H11" s="19">
        <v>-14</v>
      </c>
      <c r="I11" s="19">
        <v>-15</v>
      </c>
      <c r="J11" s="19">
        <v>-14</v>
      </c>
      <c r="K11" s="19">
        <v>-13</v>
      </c>
      <c r="L11" s="19">
        <v>-13</v>
      </c>
      <c r="M11" s="19">
        <v>-13</v>
      </c>
      <c r="N11" s="19">
        <v>-12</v>
      </c>
      <c r="O11" s="7">
        <v>-25</v>
      </c>
      <c r="P11" s="7">
        <v>-54</v>
      </c>
      <c r="Q11" s="7">
        <v>-53</v>
      </c>
      <c r="R11" s="7">
        <v>-53</v>
      </c>
      <c r="S11" s="7">
        <v>-53</v>
      </c>
      <c r="T11" s="7">
        <v>-60</v>
      </c>
      <c r="U11" s="7">
        <v>-62</v>
      </c>
      <c r="V11" s="7">
        <v>-61</v>
      </c>
      <c r="W11" s="7">
        <v>-68</v>
      </c>
      <c r="X11" s="7">
        <v>-65</v>
      </c>
      <c r="Y11" s="7">
        <v>-65</v>
      </c>
      <c r="Z11" s="7">
        <v>-65</v>
      </c>
      <c r="AL11" s="7">
        <f>SUM(C11:F11)</f>
        <v>-61</v>
      </c>
      <c r="AM11" s="7">
        <f t="shared" si="23"/>
        <v>-58</v>
      </c>
      <c r="AN11" s="7">
        <f>SUM(K11:N11)</f>
        <v>-51</v>
      </c>
      <c r="AO11" s="7">
        <f>SUM(O11:R11)</f>
        <v>-185</v>
      </c>
      <c r="AP11" s="7">
        <f>SUM(S11:V11)</f>
        <v>-236</v>
      </c>
      <c r="AQ11" s="7">
        <f>SUM(W11:Z11)</f>
        <v>-263</v>
      </c>
      <c r="AR11" s="7">
        <f t="shared" ref="AR11:AV11" si="25">AQ11*1.05</f>
        <v>-276.15000000000003</v>
      </c>
      <c r="AS11" s="7">
        <f t="shared" si="25"/>
        <v>-289.95750000000004</v>
      </c>
      <c r="AT11" s="7">
        <f t="shared" si="25"/>
        <v>-304.45537500000006</v>
      </c>
      <c r="AU11" s="7">
        <f t="shared" si="25"/>
        <v>-319.67814375000006</v>
      </c>
      <c r="AV11" s="7">
        <f t="shared" si="25"/>
        <v>-335.66205093750006</v>
      </c>
    </row>
    <row r="12" spans="1:295" x14ac:dyDescent="0.3">
      <c r="B12" s="12" t="s">
        <v>67</v>
      </c>
      <c r="C12" s="19">
        <v>-18</v>
      </c>
      <c r="D12" s="19">
        <v>-4</v>
      </c>
      <c r="E12" s="19">
        <v>-1</v>
      </c>
      <c r="F12" s="19">
        <v>0</v>
      </c>
      <c r="G12" s="19">
        <v>6</v>
      </c>
      <c r="H12" s="19">
        <v>5</v>
      </c>
      <c r="I12" s="19">
        <v>1</v>
      </c>
      <c r="J12" s="19">
        <v>2</v>
      </c>
      <c r="K12" s="19">
        <v>0</v>
      </c>
      <c r="L12" s="19">
        <v>1</v>
      </c>
      <c r="M12" s="19">
        <v>0</v>
      </c>
      <c r="N12" s="19">
        <v>-3</v>
      </c>
      <c r="O12" s="7">
        <v>-1</v>
      </c>
      <c r="P12" s="7">
        <v>-1</v>
      </c>
      <c r="Q12" s="7">
        <v>-4</v>
      </c>
      <c r="R12" s="7">
        <v>10</v>
      </c>
      <c r="S12" s="7">
        <v>135</v>
      </c>
      <c r="T12" s="7">
        <v>4</v>
      </c>
      <c r="U12" s="7">
        <v>22</v>
      </c>
      <c r="V12" s="7">
        <v>-53</v>
      </c>
      <c r="W12" s="7">
        <v>-13</v>
      </c>
      <c r="X12" s="7">
        <v>-5</v>
      </c>
      <c r="Y12" s="7">
        <v>-11</v>
      </c>
      <c r="Z12" s="7">
        <v>-18</v>
      </c>
      <c r="AL12" s="7">
        <f>SUM(C12:F12)</f>
        <v>-23</v>
      </c>
      <c r="AM12" s="7">
        <f t="shared" si="23"/>
        <v>14</v>
      </c>
      <c r="AN12" s="7">
        <f>SUM(K12:N12)</f>
        <v>-2</v>
      </c>
      <c r="AO12" s="7">
        <f>SUM(O12:R12)</f>
        <v>4</v>
      </c>
      <c r="AP12" s="7">
        <f>SUM(S12:V12)</f>
        <v>108</v>
      </c>
      <c r="AQ12" s="7">
        <f>SUM(W12:Z12)</f>
        <v>-47</v>
      </c>
      <c r="AR12" s="7">
        <f t="shared" ref="AR12:AV12" si="26">AQ12*1.05</f>
        <v>-49.35</v>
      </c>
      <c r="AS12" s="7">
        <f t="shared" si="26"/>
        <v>-51.817500000000003</v>
      </c>
      <c r="AT12" s="7">
        <f t="shared" si="26"/>
        <v>-54.408375000000007</v>
      </c>
      <c r="AU12" s="7">
        <f t="shared" si="26"/>
        <v>-57.128793750000007</v>
      </c>
      <c r="AV12" s="7">
        <f t="shared" si="26"/>
        <v>-59.985233437500007</v>
      </c>
    </row>
    <row r="13" spans="1:295" x14ac:dyDescent="0.3">
      <c r="B13" s="12" t="s">
        <v>14</v>
      </c>
      <c r="C13" s="7">
        <f t="shared" ref="C13" si="27">C9+C10+C11+C12</f>
        <v>536</v>
      </c>
      <c r="D13" s="7">
        <f t="shared" ref="D13" si="28">D9+D10+D11+D12</f>
        <v>684</v>
      </c>
      <c r="E13" s="7">
        <f t="shared" ref="E13" si="29">E9+E10+E11+E12</f>
        <v>896</v>
      </c>
      <c r="F13" s="7">
        <f t="shared" ref="F13" si="30">F9+F10+F11+F12</f>
        <v>1078</v>
      </c>
      <c r="G13" s="7">
        <f t="shared" ref="G13:Y13" si="31">G9+G10+G11+G12</f>
        <v>1311</v>
      </c>
      <c r="H13" s="7">
        <f t="shared" si="31"/>
        <v>1180</v>
      </c>
      <c r="I13" s="7">
        <f t="shared" si="31"/>
        <v>1081</v>
      </c>
      <c r="J13" s="7">
        <f t="shared" si="31"/>
        <v>324</v>
      </c>
      <c r="K13" s="7">
        <f t="shared" si="31"/>
        <v>389</v>
      </c>
      <c r="L13" s="7">
        <f t="shared" si="31"/>
        <v>606</v>
      </c>
      <c r="M13" s="7">
        <f t="shared" si="31"/>
        <v>959</v>
      </c>
      <c r="N13" s="7">
        <f t="shared" si="31"/>
        <v>1016</v>
      </c>
      <c r="O13" s="7">
        <f t="shared" si="31"/>
        <v>981</v>
      </c>
      <c r="P13" s="7">
        <f t="shared" si="31"/>
        <v>609</v>
      </c>
      <c r="Q13" s="7">
        <f t="shared" si="31"/>
        <v>1348</v>
      </c>
      <c r="R13" s="7">
        <f t="shared" si="31"/>
        <v>1470</v>
      </c>
      <c r="S13" s="7">
        <f t="shared" si="31"/>
        <v>2044</v>
      </c>
      <c r="T13" s="7">
        <f t="shared" si="31"/>
        <v>2394</v>
      </c>
      <c r="U13" s="7">
        <f t="shared" si="31"/>
        <v>2638</v>
      </c>
      <c r="V13" s="7">
        <f t="shared" si="31"/>
        <v>2865</v>
      </c>
      <c r="W13" s="7">
        <f t="shared" si="31"/>
        <v>3158</v>
      </c>
      <c r="X13" s="7">
        <f t="shared" si="31"/>
        <v>475</v>
      </c>
      <c r="Y13" s="7">
        <f t="shared" si="31"/>
        <v>613</v>
      </c>
      <c r="Z13" s="7">
        <f>Z9+Z10+Z11+Z12</f>
        <v>1289</v>
      </c>
      <c r="AL13" s="7">
        <f t="shared" ref="AL13:AV13" si="32">AL9+AL10+AL11+AL12</f>
        <v>3194</v>
      </c>
      <c r="AM13" s="7">
        <f t="shared" si="32"/>
        <v>3896</v>
      </c>
      <c r="AN13" s="7">
        <f t="shared" si="32"/>
        <v>2970</v>
      </c>
      <c r="AO13" s="7">
        <f t="shared" si="32"/>
        <v>4408</v>
      </c>
      <c r="AP13" s="7">
        <f t="shared" si="32"/>
        <v>9941</v>
      </c>
      <c r="AQ13" s="7">
        <f t="shared" si="32"/>
        <v>5535</v>
      </c>
      <c r="AR13" s="7">
        <f t="shared" si="32"/>
        <v>6579.5499999999975</v>
      </c>
      <c r="AS13" s="7">
        <f t="shared" si="32"/>
        <v>9236.677499999998</v>
      </c>
      <c r="AT13" s="7">
        <f t="shared" si="32"/>
        <v>12407.833374999989</v>
      </c>
      <c r="AU13" s="7">
        <f t="shared" si="32"/>
        <v>16179.089793749985</v>
      </c>
      <c r="AV13" s="7">
        <f t="shared" si="32"/>
        <v>20650.19764093748</v>
      </c>
    </row>
    <row r="14" spans="1:295" x14ac:dyDescent="0.3">
      <c r="B14" s="12" t="s">
        <v>15</v>
      </c>
      <c r="C14" s="19">
        <v>29</v>
      </c>
      <c r="D14" s="19">
        <v>101</v>
      </c>
      <c r="E14" s="19">
        <v>58</v>
      </c>
      <c r="F14" s="19">
        <v>-40</v>
      </c>
      <c r="G14" s="19">
        <v>67</v>
      </c>
      <c r="H14" s="19">
        <v>79</v>
      </c>
      <c r="I14" s="19">
        <v>-149</v>
      </c>
      <c r="J14" s="19">
        <v>-243</v>
      </c>
      <c r="K14" s="19">
        <v>-5</v>
      </c>
      <c r="L14" s="12">
        <v>54</v>
      </c>
      <c r="M14" s="12">
        <v>60</v>
      </c>
      <c r="N14" s="12">
        <v>66</v>
      </c>
      <c r="O14" s="7">
        <v>64</v>
      </c>
      <c r="P14" s="7">
        <v>-13</v>
      </c>
      <c r="Q14" s="7">
        <v>12</v>
      </c>
      <c r="R14" s="7">
        <v>13</v>
      </c>
      <c r="S14" s="7">
        <v>132</v>
      </c>
      <c r="T14" s="7">
        <v>20</v>
      </c>
      <c r="U14" s="7">
        <v>174</v>
      </c>
      <c r="V14" s="7">
        <v>-138</v>
      </c>
      <c r="W14" s="7">
        <v>187</v>
      </c>
      <c r="X14" s="7">
        <v>-181</v>
      </c>
      <c r="Y14" s="7">
        <v>-67</v>
      </c>
      <c r="Z14" s="7">
        <v>-125</v>
      </c>
      <c r="AL14" s="7">
        <f>SUM(C14:F14)</f>
        <v>148</v>
      </c>
      <c r="AM14" s="7">
        <f>SUM(G14:J14)</f>
        <v>-246</v>
      </c>
      <c r="AN14" s="7">
        <f>SUM(K14:N14)</f>
        <v>175</v>
      </c>
      <c r="AO14" s="7">
        <f>SUM(O14:R14)</f>
        <v>76</v>
      </c>
      <c r="AP14" s="7">
        <f>SUM(S14:V14)</f>
        <v>188</v>
      </c>
      <c r="AQ14" s="7">
        <f>SUM(W14:Z14)</f>
        <v>-186</v>
      </c>
      <c r="AR14" s="7">
        <f>AR13*0.05</f>
        <v>328.97749999999991</v>
      </c>
      <c r="AS14" s="7">
        <f t="shared" ref="AS14:AV14" si="33">AS13*0.05</f>
        <v>461.83387499999992</v>
      </c>
      <c r="AT14" s="7">
        <f t="shared" si="33"/>
        <v>620.39166874999955</v>
      </c>
      <c r="AU14" s="7">
        <f t="shared" si="33"/>
        <v>808.95448968749929</v>
      </c>
      <c r="AV14" s="7">
        <f t="shared" si="33"/>
        <v>1032.5098820468741</v>
      </c>
    </row>
    <row r="15" spans="1:295" s="15" customFormat="1" x14ac:dyDescent="0.3">
      <c r="A15" s="14"/>
      <c r="B15" s="14" t="s">
        <v>16</v>
      </c>
      <c r="C15" s="15">
        <f t="shared" ref="C15" si="34">C13-C14</f>
        <v>507</v>
      </c>
      <c r="D15" s="15">
        <f t="shared" ref="D15" si="35">D13-D14</f>
        <v>583</v>
      </c>
      <c r="E15" s="15">
        <f t="shared" ref="E15" si="36">E13-E14</f>
        <v>838</v>
      </c>
      <c r="F15" s="15">
        <f t="shared" ref="F15" si="37">F13-F14</f>
        <v>1118</v>
      </c>
      <c r="G15" s="15">
        <f t="shared" ref="G15:Y15" si="38">G13-G14</f>
        <v>1244</v>
      </c>
      <c r="H15" s="15">
        <f t="shared" si="38"/>
        <v>1101</v>
      </c>
      <c r="I15" s="15">
        <f t="shared" si="38"/>
        <v>1230</v>
      </c>
      <c r="J15" s="15">
        <f t="shared" si="38"/>
        <v>567</v>
      </c>
      <c r="K15" s="15">
        <f t="shared" si="38"/>
        <v>394</v>
      </c>
      <c r="L15" s="15">
        <f t="shared" si="38"/>
        <v>552</v>
      </c>
      <c r="M15" s="15">
        <f t="shared" si="38"/>
        <v>899</v>
      </c>
      <c r="N15" s="15">
        <f t="shared" si="38"/>
        <v>950</v>
      </c>
      <c r="O15" s="15">
        <f t="shared" si="38"/>
        <v>917</v>
      </c>
      <c r="P15" s="15">
        <f t="shared" si="38"/>
        <v>622</v>
      </c>
      <c r="Q15" s="15">
        <f t="shared" si="38"/>
        <v>1336</v>
      </c>
      <c r="R15" s="15">
        <f t="shared" si="38"/>
        <v>1457</v>
      </c>
      <c r="S15" s="15">
        <f t="shared" si="38"/>
        <v>1912</v>
      </c>
      <c r="T15" s="15">
        <f t="shared" si="38"/>
        <v>2374</v>
      </c>
      <c r="U15" s="15">
        <f t="shared" si="38"/>
        <v>2464</v>
      </c>
      <c r="V15" s="15">
        <f t="shared" si="38"/>
        <v>3003</v>
      </c>
      <c r="W15" s="15">
        <f t="shared" si="38"/>
        <v>2971</v>
      </c>
      <c r="X15" s="15">
        <f t="shared" si="38"/>
        <v>656</v>
      </c>
      <c r="Y15" s="15">
        <f t="shared" si="38"/>
        <v>680</v>
      </c>
      <c r="Z15" s="15">
        <f>Z13-Z14</f>
        <v>1414</v>
      </c>
      <c r="AL15" s="15">
        <f t="shared" ref="AL15:AV15" si="39">AL13-AL14</f>
        <v>3046</v>
      </c>
      <c r="AM15" s="15">
        <f t="shared" si="39"/>
        <v>4142</v>
      </c>
      <c r="AN15" s="15">
        <f t="shared" si="39"/>
        <v>2795</v>
      </c>
      <c r="AO15" s="15">
        <f t="shared" si="39"/>
        <v>4332</v>
      </c>
      <c r="AP15" s="15">
        <f t="shared" si="39"/>
        <v>9753</v>
      </c>
      <c r="AQ15" s="15">
        <f t="shared" si="39"/>
        <v>5721</v>
      </c>
      <c r="AR15" s="15">
        <f t="shared" si="39"/>
        <v>6250.5724999999975</v>
      </c>
      <c r="AS15" s="15">
        <f t="shared" si="39"/>
        <v>8774.8436249999977</v>
      </c>
      <c r="AT15" s="15">
        <f t="shared" si="39"/>
        <v>11787.441706249989</v>
      </c>
      <c r="AU15" s="15">
        <f t="shared" si="39"/>
        <v>15370.135304062485</v>
      </c>
      <c r="AV15" s="15">
        <f t="shared" si="39"/>
        <v>19617.687758890606</v>
      </c>
      <c r="AW15" s="15">
        <f>AV15*(1+$AZ$20)</f>
        <v>19421.5108813017</v>
      </c>
      <c r="AX15" s="15">
        <f t="shared" ref="AX15:DI15" si="40">AW15*(1+$AZ$20)</f>
        <v>19227.295772488684</v>
      </c>
      <c r="AY15" s="15">
        <f t="shared" si="40"/>
        <v>19035.022814763797</v>
      </c>
      <c r="AZ15" s="15">
        <f t="shared" si="40"/>
        <v>18844.672586616158</v>
      </c>
      <c r="BA15" s="15">
        <f t="shared" si="40"/>
        <v>18656.225860749997</v>
      </c>
      <c r="BB15" s="15">
        <f t="shared" si="40"/>
        <v>18469.663602142497</v>
      </c>
      <c r="BC15" s="15">
        <f t="shared" si="40"/>
        <v>18284.966966121072</v>
      </c>
      <c r="BD15" s="15">
        <f t="shared" si="40"/>
        <v>18102.117296459863</v>
      </c>
      <c r="BE15" s="15">
        <f t="shared" si="40"/>
        <v>17921.096123495263</v>
      </c>
      <c r="BF15" s="15">
        <f t="shared" si="40"/>
        <v>17741.885162260311</v>
      </c>
      <c r="BG15" s="15">
        <f t="shared" si="40"/>
        <v>17564.466310637708</v>
      </c>
      <c r="BH15" s="15">
        <f t="shared" si="40"/>
        <v>17388.821647531331</v>
      </c>
      <c r="BI15" s="15">
        <f t="shared" si="40"/>
        <v>17214.933431056019</v>
      </c>
      <c r="BJ15" s="15">
        <f t="shared" si="40"/>
        <v>17042.784096745458</v>
      </c>
      <c r="BK15" s="15">
        <f t="shared" si="40"/>
        <v>16872.356255778002</v>
      </c>
      <c r="BL15" s="15">
        <f t="shared" si="40"/>
        <v>16703.632693220221</v>
      </c>
      <c r="BM15" s="15">
        <f t="shared" si="40"/>
        <v>16536.59636628802</v>
      </c>
      <c r="BN15" s="15">
        <f t="shared" si="40"/>
        <v>16371.23040262514</v>
      </c>
      <c r="BO15" s="15">
        <f t="shared" si="40"/>
        <v>16207.518098598888</v>
      </c>
      <c r="BP15" s="15">
        <f t="shared" si="40"/>
        <v>16045.4429176129</v>
      </c>
      <c r="BQ15" s="15">
        <f t="shared" si="40"/>
        <v>15884.988488436771</v>
      </c>
      <c r="BR15" s="15">
        <f t="shared" si="40"/>
        <v>15726.138603552403</v>
      </c>
      <c r="BS15" s="15">
        <f t="shared" si="40"/>
        <v>15568.877217516878</v>
      </c>
      <c r="BT15" s="15">
        <f t="shared" si="40"/>
        <v>15413.18844534171</v>
      </c>
      <c r="BU15" s="15">
        <f t="shared" si="40"/>
        <v>15259.056560888292</v>
      </c>
      <c r="BV15" s="15">
        <f t="shared" si="40"/>
        <v>15106.465995279408</v>
      </c>
      <c r="BW15" s="15">
        <f t="shared" si="40"/>
        <v>14955.401335326615</v>
      </c>
      <c r="BX15" s="15">
        <f t="shared" si="40"/>
        <v>14805.847321973348</v>
      </c>
      <c r="BY15" s="15">
        <f t="shared" si="40"/>
        <v>14657.788848753615</v>
      </c>
      <c r="BZ15" s="15">
        <f t="shared" si="40"/>
        <v>14511.210960266078</v>
      </c>
      <c r="CA15" s="15">
        <f t="shared" si="40"/>
        <v>14366.098850663417</v>
      </c>
      <c r="CB15" s="15">
        <f t="shared" si="40"/>
        <v>14222.437862156783</v>
      </c>
      <c r="CC15" s="15">
        <f t="shared" si="40"/>
        <v>14080.213483535215</v>
      </c>
      <c r="CD15" s="15">
        <f t="shared" si="40"/>
        <v>13939.411348699863</v>
      </c>
      <c r="CE15" s="15">
        <f t="shared" si="40"/>
        <v>13800.017235212865</v>
      </c>
      <c r="CF15" s="15">
        <f t="shared" si="40"/>
        <v>13662.017062860736</v>
      </c>
      <c r="CG15" s="15">
        <f t="shared" si="40"/>
        <v>13525.396892232127</v>
      </c>
      <c r="CH15" s="15">
        <f t="shared" si="40"/>
        <v>13390.142923309806</v>
      </c>
      <c r="CI15" s="15">
        <f t="shared" si="40"/>
        <v>13256.241494076708</v>
      </c>
      <c r="CJ15" s="15">
        <f t="shared" si="40"/>
        <v>13123.679079135942</v>
      </c>
      <c r="CK15" s="15">
        <f t="shared" si="40"/>
        <v>12992.442288344582</v>
      </c>
      <c r="CL15" s="15">
        <f t="shared" si="40"/>
        <v>12862.517865461135</v>
      </c>
      <c r="CM15" s="15">
        <f t="shared" si="40"/>
        <v>12733.892686806525</v>
      </c>
      <c r="CN15" s="15">
        <f t="shared" si="40"/>
        <v>12606.553759938459</v>
      </c>
      <c r="CO15" s="15">
        <f t="shared" si="40"/>
        <v>12480.488222339074</v>
      </c>
      <c r="CP15" s="15">
        <f t="shared" si="40"/>
        <v>12355.683340115684</v>
      </c>
      <c r="CQ15" s="15">
        <f t="shared" si="40"/>
        <v>12232.126506714527</v>
      </c>
      <c r="CR15" s="15">
        <f t="shared" si="40"/>
        <v>12109.805241647382</v>
      </c>
      <c r="CS15" s="15">
        <f t="shared" si="40"/>
        <v>11988.707189230909</v>
      </c>
      <c r="CT15" s="15">
        <f t="shared" si="40"/>
        <v>11868.820117338599</v>
      </c>
      <c r="CU15" s="15">
        <f t="shared" si="40"/>
        <v>11750.131916165212</v>
      </c>
      <c r="CV15" s="15">
        <f t="shared" si="40"/>
        <v>11632.630597003559</v>
      </c>
      <c r="CW15" s="15">
        <f t="shared" si="40"/>
        <v>11516.304291033524</v>
      </c>
      <c r="CX15" s="15">
        <f t="shared" si="40"/>
        <v>11401.141248123189</v>
      </c>
      <c r="CY15" s="15">
        <f t="shared" si="40"/>
        <v>11287.129835641957</v>
      </c>
      <c r="CZ15" s="15">
        <f t="shared" si="40"/>
        <v>11174.258537285537</v>
      </c>
      <c r="DA15" s="15">
        <f t="shared" si="40"/>
        <v>11062.515951912683</v>
      </c>
      <c r="DB15" s="15">
        <f t="shared" si="40"/>
        <v>10951.890792393557</v>
      </c>
      <c r="DC15" s="15">
        <f t="shared" si="40"/>
        <v>10842.371884469621</v>
      </c>
      <c r="DD15" s="15">
        <f t="shared" si="40"/>
        <v>10733.948165624925</v>
      </c>
      <c r="DE15" s="15">
        <f t="shared" si="40"/>
        <v>10626.608683968676</v>
      </c>
      <c r="DF15" s="15">
        <f t="shared" si="40"/>
        <v>10520.342597128989</v>
      </c>
      <c r="DG15" s="15">
        <f t="shared" si="40"/>
        <v>10415.1391711577</v>
      </c>
      <c r="DH15" s="15">
        <f t="shared" si="40"/>
        <v>10310.987779446123</v>
      </c>
      <c r="DI15" s="15">
        <f t="shared" si="40"/>
        <v>10207.877901651662</v>
      </c>
      <c r="DJ15" s="15">
        <f t="shared" ref="DJ15:FU15" si="41">DI15*(1+$AZ$20)</f>
        <v>10105.799122635146</v>
      </c>
      <c r="DK15" s="15">
        <f t="shared" si="41"/>
        <v>10004.741131408795</v>
      </c>
      <c r="DL15" s="15">
        <f t="shared" si="41"/>
        <v>9904.6937200947068</v>
      </c>
      <c r="DM15" s="15">
        <f t="shared" si="41"/>
        <v>9805.6467828937602</v>
      </c>
      <c r="DN15" s="15">
        <f t="shared" si="41"/>
        <v>9707.5903150648228</v>
      </c>
      <c r="DO15" s="15">
        <f t="shared" si="41"/>
        <v>9610.5144119141751</v>
      </c>
      <c r="DP15" s="15">
        <f t="shared" si="41"/>
        <v>9514.4092677950339</v>
      </c>
      <c r="DQ15" s="15">
        <f t="shared" si="41"/>
        <v>9419.2651751170833</v>
      </c>
      <c r="DR15" s="15">
        <f t="shared" si="41"/>
        <v>9325.0725233659123</v>
      </c>
      <c r="DS15" s="15">
        <f t="shared" si="41"/>
        <v>9231.8217981322523</v>
      </c>
      <c r="DT15" s="15">
        <f t="shared" si="41"/>
        <v>9139.5035801509293</v>
      </c>
      <c r="DU15" s="15">
        <f t="shared" si="41"/>
        <v>9048.1085443494194</v>
      </c>
      <c r="DV15" s="15">
        <f t="shared" si="41"/>
        <v>8957.6274589059249</v>
      </c>
      <c r="DW15" s="15">
        <f t="shared" si="41"/>
        <v>8868.0511843168661</v>
      </c>
      <c r="DX15" s="15">
        <f t="shared" si="41"/>
        <v>8779.3706724736967</v>
      </c>
      <c r="DY15" s="15">
        <f t="shared" si="41"/>
        <v>8691.57696574896</v>
      </c>
      <c r="DZ15" s="15">
        <f t="shared" si="41"/>
        <v>8604.6611960914706</v>
      </c>
      <c r="EA15" s="15">
        <f t="shared" si="41"/>
        <v>8518.6145841305552</v>
      </c>
      <c r="EB15" s="15">
        <f t="shared" si="41"/>
        <v>8433.4284382892492</v>
      </c>
      <c r="EC15" s="15">
        <f t="shared" si="41"/>
        <v>8349.094153906357</v>
      </c>
      <c r="ED15" s="15">
        <f t="shared" si="41"/>
        <v>8265.603212367294</v>
      </c>
      <c r="EE15" s="15">
        <f t="shared" si="41"/>
        <v>8182.947180243621</v>
      </c>
      <c r="EF15" s="15">
        <f t="shared" si="41"/>
        <v>8101.1177084411847</v>
      </c>
      <c r="EG15" s="15">
        <f t="shared" si="41"/>
        <v>8020.1065313567724</v>
      </c>
      <c r="EH15" s="15">
        <f t="shared" si="41"/>
        <v>7939.9054660432048</v>
      </c>
      <c r="EI15" s="15">
        <f t="shared" si="41"/>
        <v>7860.506411382773</v>
      </c>
      <c r="EJ15" s="15">
        <f t="shared" si="41"/>
        <v>7781.9013472689448</v>
      </c>
      <c r="EK15" s="15">
        <f t="shared" si="41"/>
        <v>7704.0823337962556</v>
      </c>
      <c r="EL15" s="15">
        <f t="shared" si="41"/>
        <v>7627.0415104582926</v>
      </c>
      <c r="EM15" s="15">
        <f t="shared" si="41"/>
        <v>7550.7710953537098</v>
      </c>
      <c r="EN15" s="15">
        <f t="shared" si="41"/>
        <v>7475.263384400173</v>
      </c>
      <c r="EO15" s="15">
        <f t="shared" si="41"/>
        <v>7400.5107505561709</v>
      </c>
      <c r="EP15" s="15">
        <f t="shared" si="41"/>
        <v>7326.5056430506093</v>
      </c>
      <c r="EQ15" s="15">
        <f t="shared" si="41"/>
        <v>7253.2405866201034</v>
      </c>
      <c r="ER15" s="15">
        <f t="shared" si="41"/>
        <v>7180.7081807539025</v>
      </c>
      <c r="ES15" s="15">
        <f t="shared" si="41"/>
        <v>7108.9010989463632</v>
      </c>
      <c r="ET15" s="15">
        <f t="shared" si="41"/>
        <v>7037.8120879568996</v>
      </c>
      <c r="EU15" s="15">
        <f t="shared" si="41"/>
        <v>6967.4339670773306</v>
      </c>
      <c r="EV15" s="15">
        <f t="shared" si="41"/>
        <v>6897.7596274065572</v>
      </c>
      <c r="EW15" s="15">
        <f t="shared" si="41"/>
        <v>6828.7820311324913</v>
      </c>
      <c r="EX15" s="15">
        <f t="shared" si="41"/>
        <v>6760.4942108211662</v>
      </c>
      <c r="EY15" s="15">
        <f t="shared" si="41"/>
        <v>6692.8892687129546</v>
      </c>
      <c r="EZ15" s="15">
        <f t="shared" si="41"/>
        <v>6625.9603760258251</v>
      </c>
      <c r="FA15" s="15">
        <f t="shared" si="41"/>
        <v>6559.7007722655671</v>
      </c>
      <c r="FB15" s="15">
        <f t="shared" si="41"/>
        <v>6494.1037645429114</v>
      </c>
      <c r="FC15" s="15">
        <f t="shared" si="41"/>
        <v>6429.1627268974826</v>
      </c>
      <c r="FD15" s="15">
        <f t="shared" si="41"/>
        <v>6364.8710996285081</v>
      </c>
      <c r="FE15" s="15">
        <f t="shared" si="41"/>
        <v>6301.2223886322226</v>
      </c>
      <c r="FF15" s="15">
        <f t="shared" si="41"/>
        <v>6238.2101647459003</v>
      </c>
      <c r="FG15" s="15">
        <f t="shared" si="41"/>
        <v>6175.8280630984409</v>
      </c>
      <c r="FH15" s="15">
        <f t="shared" si="41"/>
        <v>6114.0697824674562</v>
      </c>
      <c r="FI15" s="15">
        <f t="shared" si="41"/>
        <v>6052.9290846427812</v>
      </c>
      <c r="FJ15" s="15">
        <f t="shared" si="41"/>
        <v>5992.3997937963532</v>
      </c>
      <c r="FK15" s="15">
        <f t="shared" si="41"/>
        <v>5932.4757958583896</v>
      </c>
      <c r="FL15" s="15">
        <f t="shared" si="41"/>
        <v>5873.1510378998055</v>
      </c>
      <c r="FM15" s="15">
        <f t="shared" si="41"/>
        <v>5814.4195275208076</v>
      </c>
      <c r="FN15" s="15">
        <f t="shared" si="41"/>
        <v>5756.2753322455992</v>
      </c>
      <c r="FO15" s="15">
        <f t="shared" si="41"/>
        <v>5698.7125789231432</v>
      </c>
      <c r="FP15" s="15">
        <f t="shared" si="41"/>
        <v>5641.7254531339113</v>
      </c>
      <c r="FQ15" s="15">
        <f t="shared" si="41"/>
        <v>5585.3081986025718</v>
      </c>
      <c r="FR15" s="15">
        <f t="shared" si="41"/>
        <v>5529.4551166165456</v>
      </c>
      <c r="FS15" s="15">
        <f t="shared" si="41"/>
        <v>5474.1605654503801</v>
      </c>
      <c r="FT15" s="15">
        <f t="shared" si="41"/>
        <v>5419.4189597958766</v>
      </c>
      <c r="FU15" s="15">
        <f t="shared" si="41"/>
        <v>5365.2247701979177</v>
      </c>
      <c r="FV15" s="15">
        <f t="shared" ref="FV15:IG15" si="42">FU15*(1+$AZ$20)</f>
        <v>5311.5725224959388</v>
      </c>
      <c r="FW15" s="15">
        <f t="shared" si="42"/>
        <v>5258.4567972709792</v>
      </c>
      <c r="FX15" s="15">
        <f t="shared" si="42"/>
        <v>5205.8722292982693</v>
      </c>
      <c r="FY15" s="15">
        <f t="shared" si="42"/>
        <v>5153.8135070052867</v>
      </c>
      <c r="FZ15" s="15">
        <f t="shared" si="42"/>
        <v>5102.275371935234</v>
      </c>
      <c r="GA15" s="15">
        <f t="shared" si="42"/>
        <v>5051.2526182158817</v>
      </c>
      <c r="GB15" s="15">
        <f t="shared" si="42"/>
        <v>5000.7400920337232</v>
      </c>
      <c r="GC15" s="15">
        <f t="shared" si="42"/>
        <v>4950.732691113386</v>
      </c>
      <c r="GD15" s="15">
        <f t="shared" si="42"/>
        <v>4901.2253642022524</v>
      </c>
      <c r="GE15" s="15">
        <f t="shared" si="42"/>
        <v>4852.2131105602302</v>
      </c>
      <c r="GF15" s="15">
        <f t="shared" si="42"/>
        <v>4803.6909794546282</v>
      </c>
      <c r="GG15" s="15">
        <f t="shared" si="42"/>
        <v>4755.6540696600814</v>
      </c>
      <c r="GH15" s="15">
        <f t="shared" si="42"/>
        <v>4708.0975289634807</v>
      </c>
      <c r="GI15" s="15">
        <f t="shared" si="42"/>
        <v>4661.0165536738459</v>
      </c>
      <c r="GJ15" s="15">
        <f t="shared" si="42"/>
        <v>4614.4063881371076</v>
      </c>
      <c r="GK15" s="15">
        <f t="shared" si="42"/>
        <v>4568.2623242557365</v>
      </c>
      <c r="GL15" s="15">
        <f t="shared" si="42"/>
        <v>4522.5797010131791</v>
      </c>
      <c r="GM15" s="15">
        <f t="shared" si="42"/>
        <v>4477.3539040030473</v>
      </c>
      <c r="GN15" s="15">
        <f t="shared" si="42"/>
        <v>4432.580364963017</v>
      </c>
      <c r="GO15" s="15">
        <f t="shared" si="42"/>
        <v>4388.2545613133871</v>
      </c>
      <c r="GP15" s="15">
        <f t="shared" si="42"/>
        <v>4344.3720157002535</v>
      </c>
      <c r="GQ15" s="15">
        <f t="shared" si="42"/>
        <v>4300.9282955432509</v>
      </c>
      <c r="GR15" s="15">
        <f t="shared" si="42"/>
        <v>4257.9190125878185</v>
      </c>
      <c r="GS15" s="15">
        <f t="shared" si="42"/>
        <v>4215.3398224619405</v>
      </c>
      <c r="GT15" s="15">
        <f t="shared" si="42"/>
        <v>4173.1864242373213</v>
      </c>
      <c r="GU15" s="15">
        <f t="shared" si="42"/>
        <v>4131.4545599949479</v>
      </c>
      <c r="GV15" s="15">
        <f t="shared" si="42"/>
        <v>4090.1400143949982</v>
      </c>
      <c r="GW15" s="15">
        <f t="shared" si="42"/>
        <v>4049.2386142510481</v>
      </c>
      <c r="GX15" s="15">
        <f t="shared" si="42"/>
        <v>4008.7462281085377</v>
      </c>
      <c r="GY15" s="15">
        <f t="shared" si="42"/>
        <v>3968.6587658274525</v>
      </c>
      <c r="GZ15" s="15">
        <f t="shared" si="42"/>
        <v>3928.9721781691778</v>
      </c>
      <c r="HA15" s="15">
        <f t="shared" si="42"/>
        <v>3889.6824563874861</v>
      </c>
      <c r="HB15" s="15">
        <f t="shared" si="42"/>
        <v>3850.7856318236113</v>
      </c>
      <c r="HC15" s="15">
        <f t="shared" si="42"/>
        <v>3812.2777755053753</v>
      </c>
      <c r="HD15" s="15">
        <f t="shared" si="42"/>
        <v>3774.1549977503214</v>
      </c>
      <c r="HE15" s="15">
        <f t="shared" si="42"/>
        <v>3736.413447772818</v>
      </c>
      <c r="HF15" s="15">
        <f t="shared" si="42"/>
        <v>3699.0493132950896</v>
      </c>
      <c r="HG15" s="15">
        <f t="shared" si="42"/>
        <v>3662.0588201621385</v>
      </c>
      <c r="HH15" s="15">
        <f t="shared" si="42"/>
        <v>3625.438231960517</v>
      </c>
      <c r="HI15" s="15">
        <f t="shared" si="42"/>
        <v>3589.1838496409118</v>
      </c>
      <c r="HJ15" s="15">
        <f t="shared" si="42"/>
        <v>3553.2920111445028</v>
      </c>
      <c r="HK15" s="15">
        <f t="shared" si="42"/>
        <v>3517.7590910330578</v>
      </c>
      <c r="HL15" s="15">
        <f t="shared" si="42"/>
        <v>3482.581500122727</v>
      </c>
      <c r="HM15" s="15">
        <f t="shared" si="42"/>
        <v>3447.7556851214995</v>
      </c>
      <c r="HN15" s="15">
        <f t="shared" si="42"/>
        <v>3413.2781282702845</v>
      </c>
      <c r="HO15" s="15">
        <f t="shared" si="42"/>
        <v>3379.1453469875814</v>
      </c>
      <c r="HP15" s="15">
        <f t="shared" si="42"/>
        <v>3345.3538935177057</v>
      </c>
      <c r="HQ15" s="15">
        <f t="shared" si="42"/>
        <v>3311.9003545825285</v>
      </c>
      <c r="HR15" s="15">
        <f t="shared" si="42"/>
        <v>3278.7813510367032</v>
      </c>
      <c r="HS15" s="15">
        <f t="shared" si="42"/>
        <v>3245.9935375263362</v>
      </c>
      <c r="HT15" s="15">
        <f t="shared" si="42"/>
        <v>3213.533602151073</v>
      </c>
      <c r="HU15" s="15">
        <f t="shared" si="42"/>
        <v>3181.3982661295622</v>
      </c>
      <c r="HV15" s="15">
        <f t="shared" si="42"/>
        <v>3149.5842834682667</v>
      </c>
      <c r="HW15" s="15">
        <f t="shared" si="42"/>
        <v>3118.088440633584</v>
      </c>
      <c r="HX15" s="15">
        <f t="shared" si="42"/>
        <v>3086.9075562272483</v>
      </c>
      <c r="HY15" s="15">
        <f t="shared" si="42"/>
        <v>3056.0384806649759</v>
      </c>
      <c r="HZ15" s="15">
        <f t="shared" si="42"/>
        <v>3025.478095858326</v>
      </c>
      <c r="IA15" s="15">
        <f t="shared" si="42"/>
        <v>2995.2233148997429</v>
      </c>
      <c r="IB15" s="15">
        <f t="shared" si="42"/>
        <v>2965.2710817507455</v>
      </c>
      <c r="IC15" s="15">
        <f t="shared" si="42"/>
        <v>2935.6183709332381</v>
      </c>
      <c r="ID15" s="15">
        <f t="shared" si="42"/>
        <v>2906.2621872239056</v>
      </c>
      <c r="IE15" s="15">
        <f t="shared" si="42"/>
        <v>2877.1995653516665</v>
      </c>
      <c r="IF15" s="15">
        <f t="shared" si="42"/>
        <v>2848.4275696981499</v>
      </c>
      <c r="IG15" s="15">
        <f t="shared" si="42"/>
        <v>2819.9432940011684</v>
      </c>
      <c r="IH15" s="15">
        <f t="shared" ref="IH15:KI15" si="43">IG15*(1+$AZ$20)</f>
        <v>2791.7438610611566</v>
      </c>
      <c r="II15" s="15">
        <f t="shared" si="43"/>
        <v>2763.8264224505451</v>
      </c>
      <c r="IJ15" s="15">
        <f t="shared" si="43"/>
        <v>2736.1881582260398</v>
      </c>
      <c r="IK15" s="15">
        <f t="shared" si="43"/>
        <v>2708.8262766437792</v>
      </c>
      <c r="IL15" s="15">
        <f t="shared" si="43"/>
        <v>2681.7380138773415</v>
      </c>
      <c r="IM15" s="15">
        <f t="shared" si="43"/>
        <v>2654.9206337385681</v>
      </c>
      <c r="IN15" s="15">
        <f t="shared" si="43"/>
        <v>2628.3714274011822</v>
      </c>
      <c r="IO15" s="15">
        <f t="shared" si="43"/>
        <v>2602.0877131271704</v>
      </c>
      <c r="IP15" s="15">
        <f t="shared" si="43"/>
        <v>2576.0668359958986</v>
      </c>
      <c r="IQ15" s="15">
        <f t="shared" si="43"/>
        <v>2550.3061676359398</v>
      </c>
      <c r="IR15" s="15">
        <f t="shared" si="43"/>
        <v>2524.8031059595805</v>
      </c>
      <c r="IS15" s="15">
        <f t="shared" si="43"/>
        <v>2499.5550748999849</v>
      </c>
      <c r="IT15" s="15">
        <f t="shared" si="43"/>
        <v>2474.559524150985</v>
      </c>
      <c r="IU15" s="15">
        <f t="shared" si="43"/>
        <v>2449.8139289094752</v>
      </c>
      <c r="IV15" s="15">
        <f t="shared" si="43"/>
        <v>2425.3157896203802</v>
      </c>
      <c r="IW15" s="15">
        <f t="shared" si="43"/>
        <v>2401.0626317241763</v>
      </c>
      <c r="IX15" s="15">
        <f t="shared" si="43"/>
        <v>2377.0520054069343</v>
      </c>
      <c r="IY15" s="15">
        <f t="shared" si="43"/>
        <v>2353.2814853528648</v>
      </c>
      <c r="IZ15" s="15">
        <f t="shared" si="43"/>
        <v>2329.7486704993362</v>
      </c>
      <c r="JA15" s="15">
        <f t="shared" si="43"/>
        <v>2306.4511837943428</v>
      </c>
      <c r="JB15" s="15">
        <f t="shared" si="43"/>
        <v>2283.3866719563994</v>
      </c>
      <c r="JC15" s="15">
        <f t="shared" si="43"/>
        <v>2260.5528052368354</v>
      </c>
      <c r="JD15" s="15">
        <f t="shared" si="43"/>
        <v>2237.9472771844671</v>
      </c>
      <c r="JE15" s="15">
        <f t="shared" si="43"/>
        <v>2215.5678044126225</v>
      </c>
      <c r="JF15" s="15">
        <f t="shared" si="43"/>
        <v>2193.4121263684965</v>
      </c>
      <c r="JG15" s="15">
        <f t="shared" si="43"/>
        <v>2171.4780051048115</v>
      </c>
      <c r="JH15" s="15">
        <f t="shared" si="43"/>
        <v>2149.7632250537636</v>
      </c>
      <c r="JI15" s="15">
        <f t="shared" si="43"/>
        <v>2128.2655928032259</v>
      </c>
      <c r="JJ15" s="15">
        <f t="shared" si="43"/>
        <v>2106.9829368751934</v>
      </c>
      <c r="JK15" s="15">
        <f t="shared" si="43"/>
        <v>2085.9131075064415</v>
      </c>
      <c r="JL15" s="15">
        <f t="shared" si="43"/>
        <v>2065.0539764313771</v>
      </c>
      <c r="JM15" s="15">
        <f t="shared" si="43"/>
        <v>2044.4034366670633</v>
      </c>
      <c r="JN15" s="15">
        <f t="shared" si="43"/>
        <v>2023.9594023003926</v>
      </c>
      <c r="JO15" s="15">
        <f t="shared" si="43"/>
        <v>2003.7198082773887</v>
      </c>
      <c r="JP15" s="15">
        <f t="shared" si="43"/>
        <v>1983.6826101946147</v>
      </c>
      <c r="JQ15" s="15">
        <f t="shared" si="43"/>
        <v>1963.8457840926685</v>
      </c>
      <c r="JR15" s="15">
        <f t="shared" si="43"/>
        <v>1944.2073262517417</v>
      </c>
      <c r="JS15" s="15">
        <f t="shared" si="43"/>
        <v>1924.7652529892243</v>
      </c>
      <c r="JT15" s="15">
        <f t="shared" si="43"/>
        <v>1905.517600459332</v>
      </c>
      <c r="JU15" s="15">
        <f t="shared" si="43"/>
        <v>1886.4624244547388</v>
      </c>
      <c r="JV15" s="15">
        <f t="shared" si="43"/>
        <v>1867.5978002101913</v>
      </c>
      <c r="JW15" s="15">
        <f t="shared" si="43"/>
        <v>1848.9218222080895</v>
      </c>
      <c r="JX15" s="15">
        <f t="shared" si="43"/>
        <v>1830.4326039860086</v>
      </c>
      <c r="JY15" s="15">
        <f t="shared" si="43"/>
        <v>1812.1282779461485</v>
      </c>
      <c r="JZ15" s="15">
        <f t="shared" si="43"/>
        <v>1794.0069951666869</v>
      </c>
      <c r="KA15" s="15">
        <f t="shared" si="43"/>
        <v>1776.0669252150201</v>
      </c>
      <c r="KB15" s="15">
        <f t="shared" si="43"/>
        <v>1758.30625596287</v>
      </c>
      <c r="KC15" s="15">
        <f t="shared" si="43"/>
        <v>1740.7231934032413</v>
      </c>
      <c r="KD15" s="15">
        <f t="shared" si="43"/>
        <v>1723.315961469209</v>
      </c>
      <c r="KE15" s="15">
        <f t="shared" si="43"/>
        <v>1706.0828018545169</v>
      </c>
      <c r="KF15" s="15">
        <f t="shared" si="43"/>
        <v>1689.0219738359717</v>
      </c>
      <c r="KG15" s="15">
        <f t="shared" si="43"/>
        <v>1672.131754097612</v>
      </c>
      <c r="KH15" s="15">
        <f t="shared" si="43"/>
        <v>1655.4104365566359</v>
      </c>
      <c r="KI15" s="15">
        <f t="shared" si="43"/>
        <v>1638.8563321910694</v>
      </c>
    </row>
    <row r="16" spans="1:295" x14ac:dyDescent="0.3">
      <c r="B16" s="12" t="s">
        <v>17</v>
      </c>
      <c r="C16" s="19">
        <v>641</v>
      </c>
      <c r="D16" s="19">
        <v>633</v>
      </c>
      <c r="E16" s="19">
        <v>628</v>
      </c>
      <c r="F16" s="19">
        <v>628</v>
      </c>
      <c r="G16" s="12">
        <v>627</v>
      </c>
      <c r="H16" s="12">
        <v>626</v>
      </c>
      <c r="I16" s="12">
        <v>625</v>
      </c>
      <c r="J16" s="12">
        <v>619</v>
      </c>
      <c r="K16" s="12">
        <v>616</v>
      </c>
      <c r="L16" s="12">
        <v>616</v>
      </c>
      <c r="M16" s="12">
        <v>618</v>
      </c>
      <c r="N16" s="12">
        <v>621</v>
      </c>
      <c r="O16" s="7">
        <v>622</v>
      </c>
      <c r="P16" s="7">
        <v>626</v>
      </c>
      <c r="Q16" s="7">
        <v>630</v>
      </c>
      <c r="R16" s="7">
        <v>2524</v>
      </c>
      <c r="S16" s="7">
        <v>2528</v>
      </c>
      <c r="T16" s="7">
        <v>2532</v>
      </c>
      <c r="U16" s="7">
        <v>2538</v>
      </c>
      <c r="V16" s="7">
        <v>2545</v>
      </c>
      <c r="W16" s="7">
        <v>2537</v>
      </c>
      <c r="X16" s="7">
        <v>2516</v>
      </c>
      <c r="Y16" s="7">
        <v>2499</v>
      </c>
      <c r="Z16" s="7">
        <v>2477</v>
      </c>
      <c r="AL16" s="7">
        <f>F16</f>
        <v>628</v>
      </c>
      <c r="AM16" s="7">
        <f>J16</f>
        <v>619</v>
      </c>
      <c r="AN16" s="7">
        <f>N16</f>
        <v>621</v>
      </c>
      <c r="AO16" s="7">
        <f>R16</f>
        <v>2524</v>
      </c>
      <c r="AP16" s="7">
        <f>V16</f>
        <v>2545</v>
      </c>
      <c r="AQ16" s="7">
        <f>Z16</f>
        <v>2477</v>
      </c>
      <c r="AR16" s="7">
        <f>AQ16*0.99</f>
        <v>2452.23</v>
      </c>
      <c r="AS16" s="7">
        <f t="shared" ref="AS16:AV16" si="44">AR16*0.99</f>
        <v>2427.7076999999999</v>
      </c>
      <c r="AT16" s="7">
        <f t="shared" si="44"/>
        <v>2403.4306229999997</v>
      </c>
      <c r="AU16" s="7">
        <f t="shared" si="44"/>
        <v>2379.3963167699999</v>
      </c>
      <c r="AV16" s="7">
        <f t="shared" si="44"/>
        <v>2355.6023536022999</v>
      </c>
    </row>
    <row r="17" spans="2:52" x14ac:dyDescent="0.3">
      <c r="B17" s="12" t="s">
        <v>18</v>
      </c>
      <c r="C17" s="13">
        <f t="shared" ref="C17" si="45">C15/C16</f>
        <v>0.7909516380655226</v>
      </c>
      <c r="D17" s="13">
        <f t="shared" ref="D17" si="46">D15/D16</f>
        <v>0.92101105845181674</v>
      </c>
      <c r="E17" s="13">
        <f t="shared" ref="E17" si="47">E15/E16</f>
        <v>1.3343949044585988</v>
      </c>
      <c r="F17" s="13">
        <f t="shared" ref="F17" si="48">F15/F16</f>
        <v>1.7802547770700636</v>
      </c>
      <c r="G17" s="13">
        <f t="shared" ref="G17:Y17" si="49">G15/G16</f>
        <v>1.9840510366826156</v>
      </c>
      <c r="H17" s="13">
        <f t="shared" si="49"/>
        <v>1.7587859424920127</v>
      </c>
      <c r="I17" s="13">
        <f t="shared" si="49"/>
        <v>1.968</v>
      </c>
      <c r="J17" s="13">
        <f t="shared" si="49"/>
        <v>0.91599353796445881</v>
      </c>
      <c r="K17" s="13">
        <f t="shared" si="49"/>
        <v>0.63961038961038963</v>
      </c>
      <c r="L17" s="13">
        <f t="shared" si="49"/>
        <v>0.89610389610389607</v>
      </c>
      <c r="M17" s="13">
        <f t="shared" si="49"/>
        <v>1.4546925566343043</v>
      </c>
      <c r="N17" s="13">
        <f t="shared" si="49"/>
        <v>1.5297906602254427</v>
      </c>
      <c r="O17" s="13">
        <f t="shared" si="49"/>
        <v>1.4742765273311897</v>
      </c>
      <c r="P17" s="13">
        <f t="shared" si="49"/>
        <v>0.99361022364217255</v>
      </c>
      <c r="Q17" s="13">
        <f t="shared" si="49"/>
        <v>2.1206349206349207</v>
      </c>
      <c r="R17" s="13">
        <f t="shared" si="49"/>
        <v>0.57725832012678291</v>
      </c>
      <c r="S17" s="13">
        <f t="shared" si="49"/>
        <v>0.75632911392405067</v>
      </c>
      <c r="T17" s="13">
        <f t="shared" si="49"/>
        <v>0.93759873617693523</v>
      </c>
      <c r="U17" s="13">
        <f t="shared" si="49"/>
        <v>0.97084318360914101</v>
      </c>
      <c r="V17" s="13">
        <f t="shared" si="49"/>
        <v>1.1799607072691551</v>
      </c>
      <c r="W17" s="13">
        <f t="shared" si="49"/>
        <v>1.1710681907765077</v>
      </c>
      <c r="X17" s="13">
        <f t="shared" si="49"/>
        <v>0.26073131955484896</v>
      </c>
      <c r="Y17" s="13">
        <f t="shared" si="49"/>
        <v>0.27210884353741499</v>
      </c>
      <c r="Z17" s="13">
        <f>Z15/Z16</f>
        <v>0.57085183689947516</v>
      </c>
      <c r="AA17" s="13"/>
      <c r="AB17" s="13"/>
      <c r="AC17" s="13"/>
      <c r="AD17" s="13"/>
      <c r="AL17" s="13">
        <f>AL15/AL16</f>
        <v>4.8503184713375793</v>
      </c>
      <c r="AM17" s="13">
        <f t="shared" ref="AM17:AV17" si="50">AM15/AM16</f>
        <v>6.6914378029079158</v>
      </c>
      <c r="AN17" s="13">
        <f t="shared" si="50"/>
        <v>4.5008051529790656</v>
      </c>
      <c r="AO17" s="13">
        <f t="shared" si="50"/>
        <v>1.7163232963549921</v>
      </c>
      <c r="AP17" s="13">
        <f t="shared" si="50"/>
        <v>3.8322200392927308</v>
      </c>
      <c r="AQ17" s="13">
        <f t="shared" si="50"/>
        <v>2.3096487686717806</v>
      </c>
      <c r="AR17" s="13">
        <f t="shared" si="50"/>
        <v>2.5489340314733924</v>
      </c>
      <c r="AS17" s="13">
        <f t="shared" si="50"/>
        <v>3.6144563964599188</v>
      </c>
      <c r="AT17" s="13">
        <f t="shared" si="50"/>
        <v>4.9044235325323093</v>
      </c>
      <c r="AU17" s="13">
        <f t="shared" si="50"/>
        <v>6.4596785309507618</v>
      </c>
      <c r="AV17" s="13">
        <f t="shared" si="50"/>
        <v>8.328098216106083</v>
      </c>
    </row>
    <row r="19" spans="2:52" x14ac:dyDescent="0.3">
      <c r="B19" s="12" t="s">
        <v>44</v>
      </c>
      <c r="G19" s="25">
        <f t="shared" ref="G19" si="51">G3/C3-1</f>
        <v>0.65565307176045429</v>
      </c>
      <c r="H19" s="25">
        <f t="shared" ref="H19" si="52">H3/D3-1</f>
        <v>0.40044843049327361</v>
      </c>
      <c r="I19" s="25">
        <f t="shared" ref="I19" si="53">I3/E3-1</f>
        <v>0.20675265553869493</v>
      </c>
      <c r="J19" s="25">
        <f t="shared" ref="J19" si="54">J3/F3-1</f>
        <v>-0.24252834077636554</v>
      </c>
      <c r="K19" s="25">
        <f t="shared" ref="K19:Y19" si="55">K3/G3-1</f>
        <v>-0.3077642656688494</v>
      </c>
      <c r="L19" s="25">
        <f t="shared" si="55"/>
        <v>-0.17419148254883121</v>
      </c>
      <c r="M19" s="25">
        <f t="shared" si="55"/>
        <v>-5.2499214083621459E-2</v>
      </c>
      <c r="N19" s="25">
        <f t="shared" si="55"/>
        <v>0.40816326530612246</v>
      </c>
      <c r="O19" s="25">
        <f t="shared" si="55"/>
        <v>0.38738738738738743</v>
      </c>
      <c r="P19" s="25">
        <f t="shared" si="55"/>
        <v>0.49903063202791786</v>
      </c>
      <c r="Q19" s="25">
        <f t="shared" si="55"/>
        <v>0.56801592568015935</v>
      </c>
      <c r="R19" s="25">
        <f t="shared" si="55"/>
        <v>0.61127214170692423</v>
      </c>
      <c r="S19" s="25">
        <f t="shared" si="55"/>
        <v>0.83798701298701306</v>
      </c>
      <c r="T19" s="25">
        <f t="shared" si="55"/>
        <v>0.68313502327987585</v>
      </c>
      <c r="U19" s="25">
        <f t="shared" si="55"/>
        <v>0.50296233601354201</v>
      </c>
      <c r="V19" s="25">
        <f t="shared" si="55"/>
        <v>0.52768338996602049</v>
      </c>
      <c r="W19" s="25">
        <f t="shared" si="55"/>
        <v>0.46405228758169925</v>
      </c>
      <c r="X19" s="25">
        <f t="shared" si="55"/>
        <v>3.0275088366374714E-2</v>
      </c>
      <c r="Y19" s="25">
        <f t="shared" si="55"/>
        <v>-0.16500070392791777</v>
      </c>
      <c r="Z19" s="25">
        <f>Z3/V3-1</f>
        <v>-0.20829517205285886</v>
      </c>
      <c r="AA19" s="25"/>
      <c r="AB19" s="25"/>
      <c r="AC19" s="25"/>
      <c r="AD19" s="25"/>
      <c r="AM19" s="25">
        <f>AM3/AL3-1</f>
        <v>0.20609429689108505</v>
      </c>
      <c r="AN19" s="25">
        <f t="shared" ref="AM19:AO19" si="56">AN3/AM3-1</f>
        <v>-6.8111983612154314E-2</v>
      </c>
      <c r="AO19" s="25">
        <f t="shared" si="56"/>
        <v>0.52729437625938824</v>
      </c>
      <c r="AP19" s="25">
        <f>AP3/AO3-1</f>
        <v>0.61403298350824587</v>
      </c>
      <c r="AQ19" s="25">
        <f>AQ3/AP3-1</f>
        <v>2.2293230289069932E-3</v>
      </c>
      <c r="AR19" s="25">
        <f t="shared" ref="AR19:AV19" si="57">AR3/AQ3-1</f>
        <v>0.10000000000000009</v>
      </c>
      <c r="AS19" s="25">
        <f t="shared" si="57"/>
        <v>0.14999999999999991</v>
      </c>
      <c r="AT19" s="25">
        <f t="shared" si="57"/>
        <v>0.14999999999999991</v>
      </c>
      <c r="AU19" s="25">
        <f t="shared" si="57"/>
        <v>0.14999999999999991</v>
      </c>
      <c r="AV19" s="25">
        <f t="shared" si="57"/>
        <v>0.14999999999999991</v>
      </c>
    </row>
    <row r="20" spans="2:52" x14ac:dyDescent="0.3">
      <c r="B20" s="12" t="s">
        <v>45</v>
      </c>
      <c r="G20" s="25">
        <f t="shared" ref="G20:Y20" si="58">G5/C5-1</f>
        <v>0.79826086956521736</v>
      </c>
      <c r="H20" s="25">
        <f t="shared" si="58"/>
        <v>0.51689708141321034</v>
      </c>
      <c r="I20" s="25">
        <f t="shared" si="58"/>
        <v>0.22434671765455705</v>
      </c>
      <c r="J20" s="25">
        <f t="shared" si="58"/>
        <v>-0.32981676846196561</v>
      </c>
      <c r="K20" s="25">
        <f t="shared" si="58"/>
        <v>-0.37330754352030948</v>
      </c>
      <c r="L20" s="25">
        <f t="shared" si="58"/>
        <v>-0.21974683544303797</v>
      </c>
      <c r="M20" s="25">
        <f t="shared" si="58"/>
        <v>-2.6028110359187506E-3</v>
      </c>
      <c r="N20" s="25">
        <f t="shared" si="58"/>
        <v>0.66942833471416741</v>
      </c>
      <c r="O20" s="25">
        <f t="shared" si="58"/>
        <v>0.54629629629629628</v>
      </c>
      <c r="P20" s="25">
        <f t="shared" si="58"/>
        <v>0.47631408176508772</v>
      </c>
      <c r="Q20" s="25">
        <f t="shared" si="58"/>
        <v>0.54488517745302723</v>
      </c>
      <c r="R20" s="25">
        <f t="shared" si="58"/>
        <v>0.56674937965260552</v>
      </c>
      <c r="S20" s="25">
        <f t="shared" si="58"/>
        <v>0.810878243512974</v>
      </c>
      <c r="T20" s="25">
        <f t="shared" si="58"/>
        <v>0.85274725274725283</v>
      </c>
      <c r="U20" s="25">
        <f t="shared" si="58"/>
        <v>0.56452702702702706</v>
      </c>
      <c r="V20" s="25">
        <f t="shared" si="58"/>
        <v>0.58346531517263234</v>
      </c>
      <c r="W20" s="25">
        <f t="shared" si="58"/>
        <v>0.49655552493799937</v>
      </c>
      <c r="X20" s="25">
        <f t="shared" si="58"/>
        <v>-0.30842230130486359</v>
      </c>
      <c r="Y20" s="25">
        <f t="shared" si="58"/>
        <v>-0.31397106456488877</v>
      </c>
      <c r="Z20" s="25">
        <f>Z5/V5-1</f>
        <v>-0.23324664932986594</v>
      </c>
      <c r="AA20" s="25"/>
      <c r="AB20" s="25"/>
      <c r="AC20" s="25"/>
      <c r="AD20" s="25"/>
      <c r="AM20" s="25">
        <f t="shared" ref="AM20:AO20" si="59">AM5/AL5-1</f>
        <v>0.23170731707317072</v>
      </c>
      <c r="AN20" s="25">
        <f t="shared" si="59"/>
        <v>-5.6198577604239297E-2</v>
      </c>
      <c r="AO20" s="25">
        <f t="shared" si="59"/>
        <v>0.53605200945626486</v>
      </c>
      <c r="AP20" s="25">
        <f>AP5/AO5-1</f>
        <v>0.68083878414774923</v>
      </c>
      <c r="AQ20" s="25">
        <f>AQ5/AP5-1</f>
        <v>-0.12120865285567128</v>
      </c>
      <c r="AR20" s="25">
        <f t="shared" ref="AR20:AV20" si="60">AR5/AQ5-1</f>
        <v>9.9999999999999867E-2</v>
      </c>
      <c r="AS20" s="25">
        <f t="shared" si="60"/>
        <v>0.18782886168272994</v>
      </c>
      <c r="AT20" s="25">
        <f t="shared" si="60"/>
        <v>0.18503177031079487</v>
      </c>
      <c r="AU20" s="25">
        <f t="shared" si="60"/>
        <v>0.18251807108240503</v>
      </c>
      <c r="AV20" s="25">
        <f t="shared" si="60"/>
        <v>0.18024890618196121</v>
      </c>
      <c r="AY20" s="18" t="s">
        <v>73</v>
      </c>
      <c r="AZ20" s="24">
        <v>-0.01</v>
      </c>
    </row>
    <row r="21" spans="2:52" x14ac:dyDescent="0.3">
      <c r="B21" s="12" t="s">
        <v>46</v>
      </c>
      <c r="G21" s="25">
        <f t="shared" ref="G21:Y21" si="61">G8/C8-1</f>
        <v>0.29697986577181212</v>
      </c>
      <c r="H21" s="25">
        <f>H8/D8-1</f>
        <v>0.33224755700325725</v>
      </c>
      <c r="I21" s="25">
        <f t="shared" si="61"/>
        <v>0.28041543026706228</v>
      </c>
      <c r="J21" s="25">
        <f t="shared" si="61"/>
        <v>0.25412087912087911</v>
      </c>
      <c r="K21" s="25">
        <f t="shared" si="61"/>
        <v>0.21345407503234148</v>
      </c>
      <c r="L21" s="25">
        <f t="shared" si="61"/>
        <v>0.18581907090464544</v>
      </c>
      <c r="M21" s="25">
        <f t="shared" si="61"/>
        <v>0.14600231749710302</v>
      </c>
      <c r="N21" s="25">
        <f t="shared" si="61"/>
        <v>0.1226725082146769</v>
      </c>
      <c r="O21" s="25">
        <f t="shared" si="61"/>
        <v>9.5948827292110961E-2</v>
      </c>
      <c r="P21" s="25">
        <f t="shared" si="61"/>
        <v>0.67422680412371139</v>
      </c>
      <c r="Q21" s="25">
        <f t="shared" si="61"/>
        <v>0.57937310414560161</v>
      </c>
      <c r="R21" s="25">
        <f t="shared" si="61"/>
        <v>0.60975609756097571</v>
      </c>
      <c r="S21" s="25">
        <f t="shared" si="61"/>
        <v>0.62743190661478598</v>
      </c>
      <c r="T21" s="25">
        <f t="shared" si="61"/>
        <v>9.0517241379310276E-2</v>
      </c>
      <c r="U21" s="25">
        <f t="shared" si="61"/>
        <v>0.25480153649167736</v>
      </c>
      <c r="V21" s="25">
        <f t="shared" si="61"/>
        <v>0.22969696969696973</v>
      </c>
      <c r="W21" s="25">
        <f t="shared" si="61"/>
        <v>0.32098027495517045</v>
      </c>
      <c r="X21" s="25">
        <f t="shared" si="61"/>
        <v>0.36420101637492941</v>
      </c>
      <c r="Y21" s="25">
        <f t="shared" si="61"/>
        <v>0.31428571428571428</v>
      </c>
      <c r="Z21" s="25">
        <f>Z8/V8-1</f>
        <v>0.26959093149334645</v>
      </c>
      <c r="AA21" s="25"/>
      <c r="AB21" s="25"/>
      <c r="AC21" s="25"/>
      <c r="AD21" s="25"/>
      <c r="AM21" s="25">
        <f t="shared" ref="AM21:AO21" si="62">AM8/AL8-1</f>
        <v>0.28905053598774888</v>
      </c>
      <c r="AN21" s="25">
        <f t="shared" si="62"/>
        <v>0.16483516483516492</v>
      </c>
      <c r="AO21" s="25">
        <f t="shared" si="62"/>
        <v>0.49515553289138192</v>
      </c>
      <c r="AP21" s="25">
        <f>AP8/AO8-1</f>
        <v>0.26756480218281031</v>
      </c>
      <c r="AQ21" s="25">
        <f>AQ8/AP8-1</f>
        <v>0.3154849993273241</v>
      </c>
      <c r="AR21" s="25">
        <f t="shared" ref="AR21:AV21" si="63">AR8/AQ8-1</f>
        <v>5.0000000000000044E-2</v>
      </c>
      <c r="AS21" s="25">
        <f t="shared" si="63"/>
        <v>4.9999999999999822E-2</v>
      </c>
      <c r="AT21" s="25">
        <f t="shared" si="63"/>
        <v>5.0000000000000044E-2</v>
      </c>
      <c r="AU21" s="25">
        <f t="shared" si="63"/>
        <v>5.0000000000000044E-2</v>
      </c>
      <c r="AV21" s="25">
        <f t="shared" si="63"/>
        <v>5.0000000000000044E-2</v>
      </c>
      <c r="AY21" s="18" t="s">
        <v>74</v>
      </c>
      <c r="AZ21" s="27">
        <f>WACC!C18</f>
        <v>7.4135468350006381E-2</v>
      </c>
    </row>
    <row r="22" spans="2:52" x14ac:dyDescent="0.3">
      <c r="B22" s="12" t="s">
        <v>47</v>
      </c>
      <c r="G22" s="25">
        <f t="shared" ref="G22:Y22" si="64">G9/C9-1</f>
        <v>1.3375451263537905</v>
      </c>
      <c r="H22" s="25">
        <f t="shared" si="64"/>
        <v>0.6816860465116279</v>
      </c>
      <c r="I22" s="25">
        <f t="shared" si="64"/>
        <v>0.18212290502793294</v>
      </c>
      <c r="J22" s="25">
        <f t="shared" si="64"/>
        <v>-0.72600186393289845</v>
      </c>
      <c r="K22" s="25">
        <f t="shared" si="64"/>
        <v>-0.72355212355212362</v>
      </c>
      <c r="L22" s="25">
        <f t="shared" si="64"/>
        <v>-0.50648228176318066</v>
      </c>
      <c r="M22" s="25">
        <f t="shared" si="64"/>
        <v>-0.12381852551984873</v>
      </c>
      <c r="N22" s="25">
        <f t="shared" si="64"/>
        <v>2.3673469387755102</v>
      </c>
      <c r="O22" s="25">
        <f t="shared" si="64"/>
        <v>1.7262569832402233</v>
      </c>
      <c r="P22" s="25">
        <f t="shared" si="64"/>
        <v>0.14010507880910672</v>
      </c>
      <c r="Q22" s="25">
        <f t="shared" si="64"/>
        <v>0.50809061488673146</v>
      </c>
      <c r="R22" s="25">
        <f t="shared" si="64"/>
        <v>0.52222222222222214</v>
      </c>
      <c r="S22" s="25">
        <f t="shared" si="64"/>
        <v>1.0040983606557377</v>
      </c>
      <c r="T22" s="25">
        <f t="shared" si="64"/>
        <v>2.7542242703533026</v>
      </c>
      <c r="U22" s="25">
        <f t="shared" si="64"/>
        <v>0.91058655221745344</v>
      </c>
      <c r="V22" s="25">
        <f t="shared" si="64"/>
        <v>0.97080291970802923</v>
      </c>
      <c r="W22" s="25">
        <f t="shared" si="64"/>
        <v>0.64672801635991828</v>
      </c>
      <c r="X22" s="25">
        <f t="shared" si="64"/>
        <v>-0.79582651391162029</v>
      </c>
      <c r="Y22" s="25">
        <f t="shared" si="64"/>
        <v>-0.77499064020965935</v>
      </c>
      <c r="Z22" s="25">
        <f>Z9/V9-1</f>
        <v>-0.57676767676767682</v>
      </c>
      <c r="AA22" s="25"/>
      <c r="AB22" s="25"/>
      <c r="AC22" s="25"/>
      <c r="AD22" s="25"/>
      <c r="AM22" s="25">
        <f t="shared" ref="AM22:AO22" si="65">AM9/AL9-1</f>
        <v>0.18504672897196262</v>
      </c>
      <c r="AN22" s="25">
        <f t="shared" si="65"/>
        <v>-0.25184016824395372</v>
      </c>
      <c r="AO22" s="25">
        <f t="shared" si="65"/>
        <v>0.59241040056219263</v>
      </c>
      <c r="AP22" s="25">
        <f>AP9/AO9-1</f>
        <v>1.215578111209179</v>
      </c>
      <c r="AQ22" s="25">
        <f>AQ9/AP9-1</f>
        <v>-0.44447764166915649</v>
      </c>
      <c r="AR22" s="25">
        <f t="shared" ref="AR22:AV22" si="66">AR9/AQ9-1</f>
        <v>0.18764790247400454</v>
      </c>
      <c r="AS22" s="25">
        <f t="shared" si="66"/>
        <v>0.40143478195239046</v>
      </c>
      <c r="AT22" s="25">
        <f t="shared" si="66"/>
        <v>0.34182434240961745</v>
      </c>
      <c r="AU22" s="25">
        <f t="shared" si="66"/>
        <v>0.30292688034393422</v>
      </c>
      <c r="AV22" s="25">
        <f t="shared" si="66"/>
        <v>0.27562213721315376</v>
      </c>
      <c r="AY22" s="18" t="s">
        <v>75</v>
      </c>
      <c r="AZ22" s="12">
        <f>NPV(AZ21,AQ15:KI15)</f>
        <v>200498.15161326015</v>
      </c>
    </row>
    <row r="23" spans="2:52" x14ac:dyDescent="0.3">
      <c r="B23" s="12" t="s">
        <v>48</v>
      </c>
      <c r="G23" s="25">
        <f t="shared" ref="G23:Y23" si="67">G15/C15-1</f>
        <v>1.4536489151873768</v>
      </c>
      <c r="H23" s="25">
        <f t="shared" si="67"/>
        <v>0.88850771869639789</v>
      </c>
      <c r="I23" s="25">
        <f t="shared" si="67"/>
        <v>0.46778042959427202</v>
      </c>
      <c r="J23" s="25">
        <f t="shared" si="67"/>
        <v>-0.49284436493738815</v>
      </c>
      <c r="K23" s="25">
        <f t="shared" si="67"/>
        <v>-0.68327974276527326</v>
      </c>
      <c r="L23" s="25">
        <f t="shared" si="67"/>
        <v>-0.49863760217983655</v>
      </c>
      <c r="M23" s="25">
        <f t="shared" si="67"/>
        <v>-0.26910569105691062</v>
      </c>
      <c r="N23" s="25">
        <f t="shared" si="67"/>
        <v>0.67548500881834217</v>
      </c>
      <c r="O23" s="25">
        <f t="shared" si="67"/>
        <v>1.3274111675126905</v>
      </c>
      <c r="P23" s="25">
        <f t="shared" si="67"/>
        <v>0.12681159420289845</v>
      </c>
      <c r="Q23" s="25">
        <f t="shared" si="67"/>
        <v>0.486095661846496</v>
      </c>
      <c r="R23" s="25">
        <f t="shared" si="67"/>
        <v>0.53368421052631576</v>
      </c>
      <c r="S23" s="25">
        <f t="shared" si="67"/>
        <v>1.085059978189749</v>
      </c>
      <c r="T23" s="25">
        <f t="shared" si="67"/>
        <v>2.8167202572347265</v>
      </c>
      <c r="U23" s="25">
        <f t="shared" si="67"/>
        <v>0.84431137724550909</v>
      </c>
      <c r="V23" s="25">
        <f t="shared" si="67"/>
        <v>1.0610844200411806</v>
      </c>
      <c r="W23" s="25">
        <f t="shared" si="67"/>
        <v>0.55387029288702938</v>
      </c>
      <c r="X23" s="25">
        <f t="shared" si="67"/>
        <v>-0.72367312552653751</v>
      </c>
      <c r="Y23" s="25">
        <f t="shared" si="67"/>
        <v>-0.72402597402597402</v>
      </c>
      <c r="Z23" s="25">
        <f>Z15/V15-1</f>
        <v>-0.52913752913752909</v>
      </c>
      <c r="AA23" s="25"/>
      <c r="AB23" s="25"/>
      <c r="AC23" s="25"/>
      <c r="AD23" s="25"/>
      <c r="AM23" s="25">
        <f t="shared" ref="AM23:AO23" si="68">AM15/AL15-1</f>
        <v>0.35981615233092579</v>
      </c>
      <c r="AN23" s="25">
        <f t="shared" si="68"/>
        <v>-0.32520521487204246</v>
      </c>
      <c r="AO23" s="25">
        <f t="shared" si="68"/>
        <v>0.54991055456171734</v>
      </c>
      <c r="AP23" s="25">
        <f>AP15/AO15-1</f>
        <v>1.2513850415512464</v>
      </c>
      <c r="AQ23" s="25">
        <f>AQ15/AP15-1</f>
        <v>-0.41341125807443868</v>
      </c>
      <c r="AR23" s="25">
        <f t="shared" ref="AR23:AV23" si="69">AR15/AQ15-1</f>
        <v>9.2566421954203282E-2</v>
      </c>
      <c r="AS23" s="25">
        <f t="shared" si="69"/>
        <v>0.40384638767088954</v>
      </c>
      <c r="AT23" s="25">
        <f t="shared" si="69"/>
        <v>0.34332213883184637</v>
      </c>
      <c r="AU23" s="25">
        <f t="shared" si="69"/>
        <v>0.30394157503344132</v>
      </c>
      <c r="AV23" s="25">
        <f t="shared" si="69"/>
        <v>0.27635101258382866</v>
      </c>
      <c r="AY23" s="18" t="s">
        <v>76</v>
      </c>
      <c r="AZ23" s="19">
        <f>Main!C8-Main!C9</f>
        <v>2343</v>
      </c>
    </row>
    <row r="24" spans="2:52" x14ac:dyDescent="0.3">
      <c r="B24" s="12" t="s">
        <v>49</v>
      </c>
      <c r="G24" s="25">
        <f t="shared" ref="G24:Y24" si="70">G16/C16-1</f>
        <v>-2.1840873634945357E-2</v>
      </c>
      <c r="H24" s="25">
        <f t="shared" si="70"/>
        <v>-1.1058451816745696E-2</v>
      </c>
      <c r="I24" s="25">
        <f t="shared" si="70"/>
        <v>-4.777070063694322E-3</v>
      </c>
      <c r="J24" s="25">
        <f t="shared" si="70"/>
        <v>-1.4331210191082855E-2</v>
      </c>
      <c r="K24" s="25">
        <f t="shared" si="70"/>
        <v>-1.7543859649122862E-2</v>
      </c>
      <c r="L24" s="25">
        <f t="shared" si="70"/>
        <v>-1.5974440894568676E-2</v>
      </c>
      <c r="M24" s="25">
        <f t="shared" si="70"/>
        <v>-1.1199999999999988E-2</v>
      </c>
      <c r="N24" s="25">
        <f t="shared" si="70"/>
        <v>3.2310177705976439E-3</v>
      </c>
      <c r="O24" s="25">
        <f t="shared" si="70"/>
        <v>9.7402597402598268E-3</v>
      </c>
      <c r="P24" s="25">
        <f t="shared" si="70"/>
        <v>1.6233766233766156E-2</v>
      </c>
      <c r="Q24" s="25">
        <f t="shared" si="70"/>
        <v>1.9417475728155331E-2</v>
      </c>
      <c r="R24" s="25">
        <f t="shared" si="70"/>
        <v>3.0644122383252821</v>
      </c>
      <c r="S24" s="25">
        <f t="shared" si="70"/>
        <v>3.064308681672026</v>
      </c>
      <c r="T24" s="25">
        <f t="shared" si="70"/>
        <v>3.0447284345047922</v>
      </c>
      <c r="U24" s="25">
        <f t="shared" si="70"/>
        <v>3.0285714285714285</v>
      </c>
      <c r="V24" s="25">
        <f t="shared" si="70"/>
        <v>8.3201267828842962E-3</v>
      </c>
      <c r="W24" s="25">
        <f t="shared" si="70"/>
        <v>3.5601265822784445E-3</v>
      </c>
      <c r="X24" s="25">
        <f t="shared" si="70"/>
        <v>-6.3191153238546516E-3</v>
      </c>
      <c r="Y24" s="25">
        <f t="shared" si="70"/>
        <v>-1.5366430260047248E-2</v>
      </c>
      <c r="Z24" s="25">
        <f>Z16/V16-1</f>
        <v>-2.6719056974459754E-2</v>
      </c>
      <c r="AA24" s="25"/>
      <c r="AB24" s="25"/>
      <c r="AC24" s="25"/>
      <c r="AD24" s="25"/>
      <c r="AM24" s="25">
        <f t="shared" ref="AM24:AO24" si="71">AM16/AL16-1</f>
        <v>-1.4331210191082855E-2</v>
      </c>
      <c r="AN24" s="25">
        <f t="shared" si="71"/>
        <v>3.2310177705976439E-3</v>
      </c>
      <c r="AO24" s="25">
        <f t="shared" si="71"/>
        <v>3.0644122383252821</v>
      </c>
      <c r="AP24" s="25">
        <f>AP16/AO16-1</f>
        <v>8.3201267828842962E-3</v>
      </c>
      <c r="AQ24" s="25">
        <f>AQ16/AP16-1</f>
        <v>-2.6719056974459754E-2</v>
      </c>
      <c r="AR24" s="25">
        <f t="shared" ref="AR24:AV24" si="72">AR16/AQ16-1</f>
        <v>-1.0000000000000009E-2</v>
      </c>
      <c r="AS24" s="25">
        <f t="shared" si="72"/>
        <v>-1.0000000000000009E-2</v>
      </c>
      <c r="AT24" s="25">
        <f t="shared" si="72"/>
        <v>-1.000000000000012E-2</v>
      </c>
      <c r="AU24" s="25">
        <f t="shared" si="72"/>
        <v>-9.9999999999998979E-3</v>
      </c>
      <c r="AV24" s="25">
        <f t="shared" si="72"/>
        <v>-1.0000000000000009E-2</v>
      </c>
      <c r="AY24" s="19" t="s">
        <v>77</v>
      </c>
      <c r="AZ24" s="19">
        <f>AZ22+AZ23</f>
        <v>202841.15161326015</v>
      </c>
    </row>
    <row r="25" spans="2:52" x14ac:dyDescent="0.3">
      <c r="B25" s="12" t="s">
        <v>50</v>
      </c>
      <c r="C25" s="25">
        <f t="shared" ref="C25:Y25" si="73">C5/C3</f>
        <v>0.59370160041300979</v>
      </c>
      <c r="D25" s="25">
        <f t="shared" si="73"/>
        <v>0.58385650224215246</v>
      </c>
      <c r="E25" s="25">
        <f t="shared" si="73"/>
        <v>0.59522003034901361</v>
      </c>
      <c r="F25" s="25">
        <f t="shared" si="73"/>
        <v>0.61868773617313633</v>
      </c>
      <c r="G25" s="25">
        <f t="shared" si="73"/>
        <v>0.6448394137823511</v>
      </c>
      <c r="H25" s="25">
        <f t="shared" si="73"/>
        <v>0.63240473903298111</v>
      </c>
      <c r="I25" s="25">
        <f t="shared" si="73"/>
        <v>0.60389814523734675</v>
      </c>
      <c r="J25" s="25">
        <f t="shared" si="73"/>
        <v>0.54739229024943314</v>
      </c>
      <c r="K25" s="25">
        <f t="shared" si="73"/>
        <v>0.58378378378378382</v>
      </c>
      <c r="L25" s="25">
        <f t="shared" si="73"/>
        <v>0.59751841799146954</v>
      </c>
      <c r="M25" s="25">
        <f t="shared" si="73"/>
        <v>0.63570006635700071</v>
      </c>
      <c r="N25" s="25">
        <f t="shared" si="73"/>
        <v>0.64895330112721417</v>
      </c>
      <c r="O25" s="25">
        <f t="shared" si="73"/>
        <v>0.6506493506493507</v>
      </c>
      <c r="P25" s="25">
        <f t="shared" si="73"/>
        <v>0.58846352819451631</v>
      </c>
      <c r="Q25" s="25">
        <f t="shared" si="73"/>
        <v>0.62632247143461706</v>
      </c>
      <c r="R25" s="25">
        <f t="shared" si="73"/>
        <v>0.6310213871676994</v>
      </c>
      <c r="S25" s="25">
        <f t="shared" si="73"/>
        <v>0.6410528175234057</v>
      </c>
      <c r="T25" s="25">
        <f t="shared" si="73"/>
        <v>0.64776394651913327</v>
      </c>
      <c r="U25" s="25">
        <f t="shared" si="73"/>
        <v>0.65197803744896521</v>
      </c>
      <c r="V25" s="25">
        <f t="shared" si="73"/>
        <v>0.65406254088708626</v>
      </c>
      <c r="W25" s="25">
        <f t="shared" si="73"/>
        <v>0.65528474903474898</v>
      </c>
      <c r="X25" s="25">
        <f t="shared" si="73"/>
        <v>0.43481503579952269</v>
      </c>
      <c r="Y25" s="25">
        <f t="shared" si="73"/>
        <v>0.53566009104704093</v>
      </c>
      <c r="Z25" s="25">
        <f>Z5/Z3</f>
        <v>0.63344901669145592</v>
      </c>
      <c r="AA25" s="25"/>
      <c r="AB25" s="25"/>
      <c r="AC25" s="25"/>
      <c r="AD25" s="25"/>
      <c r="AM25" s="25">
        <f t="shared" ref="AM25:AO25" si="74">AM5/AM3</f>
        <v>0.61206896551724133</v>
      </c>
      <c r="AN25" s="25">
        <f t="shared" si="74"/>
        <v>0.61989375343469499</v>
      </c>
      <c r="AO25" s="25">
        <f t="shared" si="74"/>
        <v>0.62344827586206897</v>
      </c>
      <c r="AP25" s="25">
        <f>AP5/AP3</f>
        <v>0.64925317678531624</v>
      </c>
      <c r="AQ25" s="25">
        <f>AQ5/AQ3</f>
        <v>0.56928894490991322</v>
      </c>
      <c r="AR25" s="25">
        <f t="shared" ref="AR25:AV25" si="75">AR5/AR3</f>
        <v>0.56928894490991322</v>
      </c>
      <c r="AS25" s="25">
        <f t="shared" si="75"/>
        <v>0.5880155125225256</v>
      </c>
      <c r="AT25" s="25">
        <f t="shared" si="75"/>
        <v>0.60592788154328525</v>
      </c>
      <c r="AU25" s="25">
        <f t="shared" si="75"/>
        <v>0.62306145191096851</v>
      </c>
      <c r="AV25" s="25">
        <f t="shared" si="75"/>
        <v>0.63945008443657847</v>
      </c>
      <c r="AY25" s="19" t="s">
        <v>78</v>
      </c>
      <c r="AZ25" s="28">
        <f>AZ24/Main!C6</f>
        <v>81.889847239911248</v>
      </c>
    </row>
    <row r="26" spans="2:52" x14ac:dyDescent="0.3">
      <c r="B26" s="12" t="s">
        <v>51</v>
      </c>
      <c r="C26" s="25">
        <f t="shared" ref="C26:Y26" si="76">C9/C3</f>
        <v>0.28600929272070214</v>
      </c>
      <c r="D26" s="25">
        <f t="shared" si="76"/>
        <v>0.30852017937219733</v>
      </c>
      <c r="E26" s="25">
        <f t="shared" si="76"/>
        <v>0.33952959028831564</v>
      </c>
      <c r="F26" s="25">
        <f t="shared" si="76"/>
        <v>0.36860185503263482</v>
      </c>
      <c r="G26" s="25">
        <f t="shared" si="76"/>
        <v>0.40380417835983784</v>
      </c>
      <c r="H26" s="25">
        <f t="shared" si="76"/>
        <v>0.37047710534742234</v>
      </c>
      <c r="I26" s="25">
        <f t="shared" si="76"/>
        <v>0.33259981138006917</v>
      </c>
      <c r="J26" s="25">
        <f t="shared" si="76"/>
        <v>0.13333333333333333</v>
      </c>
      <c r="K26" s="25">
        <f t="shared" si="76"/>
        <v>0.16126126126126125</v>
      </c>
      <c r="L26" s="25">
        <f t="shared" si="76"/>
        <v>0.22140364482357502</v>
      </c>
      <c r="M26" s="25">
        <f t="shared" si="76"/>
        <v>0.30756469807564696</v>
      </c>
      <c r="N26" s="25">
        <f t="shared" si="76"/>
        <v>0.3188405797101449</v>
      </c>
      <c r="O26" s="25">
        <f t="shared" si="76"/>
        <v>0.31688311688311688</v>
      </c>
      <c r="P26" s="25">
        <f t="shared" si="76"/>
        <v>0.16839110191412313</v>
      </c>
      <c r="Q26" s="25">
        <f t="shared" si="76"/>
        <v>0.29581041049513329</v>
      </c>
      <c r="R26" s="25">
        <f t="shared" si="76"/>
        <v>0.30121926843893665</v>
      </c>
      <c r="S26" s="25">
        <f t="shared" si="76"/>
        <v>0.34552199258081612</v>
      </c>
      <c r="T26" s="25">
        <f t="shared" si="76"/>
        <v>0.37559551252497309</v>
      </c>
      <c r="U26" s="25">
        <f t="shared" si="76"/>
        <v>0.37603829367872732</v>
      </c>
      <c r="V26" s="25">
        <f t="shared" si="76"/>
        <v>0.38859086746042132</v>
      </c>
      <c r="W26" s="25">
        <f t="shared" si="76"/>
        <v>0.38863416988416988</v>
      </c>
      <c r="X26" s="25">
        <f t="shared" si="76"/>
        <v>7.4433174224343673E-2</v>
      </c>
      <c r="Y26" s="25">
        <f t="shared" si="76"/>
        <v>0.10133198448828191</v>
      </c>
      <c r="Z26" s="25">
        <f>Z9/Z3</f>
        <v>0.2077342588001983</v>
      </c>
      <c r="AA26" s="25"/>
      <c r="AB26" s="25"/>
      <c r="AC26" s="25"/>
      <c r="AD26" s="25"/>
      <c r="AM26" s="25">
        <f t="shared" ref="AM26:AO26" si="77">AM9/AM3</f>
        <v>0.32468419255718678</v>
      </c>
      <c r="AN26" s="25">
        <f t="shared" si="77"/>
        <v>0.2606704524638212</v>
      </c>
      <c r="AO26" s="25">
        <f t="shared" si="77"/>
        <v>0.27178410794602698</v>
      </c>
      <c r="AP26" s="25">
        <f>AP9/AP3</f>
        <v>0.37307720888756779</v>
      </c>
      <c r="AQ26" s="25">
        <f>AQ9/AQ3</f>
        <v>0.20679172536516646</v>
      </c>
      <c r="AR26" s="25">
        <f t="shared" ref="AR26:AV26" si="78">AR9/AR3</f>
        <v>0.22326887170810938</v>
      </c>
      <c r="AS26" s="25">
        <f t="shared" si="78"/>
        <v>0.27208414133827002</v>
      </c>
      <c r="AT26" s="25">
        <f t="shared" si="78"/>
        <v>0.31746880350548662</v>
      </c>
      <c r="AU26" s="25">
        <f t="shared" si="78"/>
        <v>0.35968577196341323</v>
      </c>
      <c r="AV26" s="25">
        <f t="shared" si="78"/>
        <v>0.39897663752794105</v>
      </c>
      <c r="AY26" s="19" t="s">
        <v>79</v>
      </c>
      <c r="AZ26" s="28">
        <f>Main!C5</f>
        <v>257.25</v>
      </c>
    </row>
    <row r="27" spans="2:52" x14ac:dyDescent="0.3">
      <c r="B27" s="12" t="s">
        <v>52</v>
      </c>
      <c r="C27" s="25">
        <f t="shared" ref="C27:Y27" si="79">C14/C13</f>
        <v>5.4104477611940295E-2</v>
      </c>
      <c r="D27" s="25">
        <f t="shared" si="79"/>
        <v>0.1476608187134503</v>
      </c>
      <c r="E27" s="25">
        <f t="shared" si="79"/>
        <v>6.4732142857142863E-2</v>
      </c>
      <c r="F27" s="25">
        <f t="shared" si="79"/>
        <v>-3.7105751391465679E-2</v>
      </c>
      <c r="G27" s="25">
        <f t="shared" si="79"/>
        <v>5.1106025934401222E-2</v>
      </c>
      <c r="H27" s="25">
        <f t="shared" si="79"/>
        <v>6.6949152542372881E-2</v>
      </c>
      <c r="I27" s="25">
        <f t="shared" si="79"/>
        <v>-0.13783533765032377</v>
      </c>
      <c r="J27" s="25">
        <f t="shared" si="79"/>
        <v>-0.75</v>
      </c>
      <c r="K27" s="25">
        <f t="shared" si="79"/>
        <v>-1.2853470437017995E-2</v>
      </c>
      <c r="L27" s="25">
        <f t="shared" si="79"/>
        <v>8.9108910891089105E-2</v>
      </c>
      <c r="M27" s="25">
        <f t="shared" si="79"/>
        <v>6.2565172054223156E-2</v>
      </c>
      <c r="N27" s="25">
        <f t="shared" si="79"/>
        <v>6.4960629921259838E-2</v>
      </c>
      <c r="O27" s="25">
        <f t="shared" si="79"/>
        <v>6.5239551478083593E-2</v>
      </c>
      <c r="P27" s="25">
        <f t="shared" si="79"/>
        <v>-2.1346469622331693E-2</v>
      </c>
      <c r="Q27" s="25">
        <f t="shared" si="79"/>
        <v>8.9020771513353119E-3</v>
      </c>
      <c r="R27" s="25">
        <f t="shared" si="79"/>
        <v>8.8435374149659872E-3</v>
      </c>
      <c r="S27" s="25">
        <f t="shared" si="79"/>
        <v>6.4579256360078274E-2</v>
      </c>
      <c r="T27" s="25">
        <f t="shared" si="79"/>
        <v>8.3542188805346695E-3</v>
      </c>
      <c r="U27" s="25">
        <f t="shared" si="79"/>
        <v>6.5959059893858987E-2</v>
      </c>
      <c r="V27" s="25">
        <f t="shared" si="79"/>
        <v>-4.8167539267015703E-2</v>
      </c>
      <c r="W27" s="25">
        <f t="shared" si="79"/>
        <v>5.9214692843571878E-2</v>
      </c>
      <c r="X27" s="25">
        <f t="shared" si="79"/>
        <v>-0.38105263157894737</v>
      </c>
      <c r="Y27" s="25">
        <f t="shared" si="79"/>
        <v>-0.10929853181076672</v>
      </c>
      <c r="Z27" s="25">
        <f>Z14/Z13</f>
        <v>-9.6974398758727695E-2</v>
      </c>
      <c r="AA27" s="25"/>
      <c r="AB27" s="25"/>
      <c r="AC27" s="25"/>
      <c r="AD27" s="25"/>
      <c r="AM27" s="25">
        <f t="shared" ref="AM27:AO27" si="80">AM14/AM13</f>
        <v>-6.3141683778234092E-2</v>
      </c>
      <c r="AN27" s="25">
        <f t="shared" si="80"/>
        <v>5.8922558922558925E-2</v>
      </c>
      <c r="AO27" s="25">
        <f t="shared" si="80"/>
        <v>1.7241379310344827E-2</v>
      </c>
      <c r="AP27" s="25">
        <f>AP14/AP13</f>
        <v>1.8911578312041041E-2</v>
      </c>
      <c r="AQ27" s="25">
        <f>AQ14/AQ13</f>
        <v>-3.3604336043360432E-2</v>
      </c>
      <c r="AR27" s="25">
        <f t="shared" ref="AR27:AV27" si="81">AR14/AR13</f>
        <v>0.05</v>
      </c>
      <c r="AS27" s="25">
        <f t="shared" si="81"/>
        <v>0.05</v>
      </c>
      <c r="AT27" s="25">
        <f t="shared" si="81"/>
        <v>5.000000000000001E-2</v>
      </c>
      <c r="AU27" s="25">
        <f t="shared" si="81"/>
        <v>0.05</v>
      </c>
      <c r="AV27" s="25">
        <f t="shared" si="81"/>
        <v>0.05</v>
      </c>
      <c r="AY27" s="26" t="s">
        <v>80</v>
      </c>
      <c r="AZ27" s="29">
        <f>AZ25/AZ26-1</f>
        <v>-0.68167211957274532</v>
      </c>
    </row>
  </sheetData>
  <phoneticPr fontId="4" type="noConversion"/>
  <conditionalFormatting sqref="AZ27">
    <cfRule type="cellIs" dxfId="1" priority="1" operator="lessThan">
      <formula>0</formula>
    </cfRule>
    <cfRule type="cellIs" dxfId="0" priority="2" operator="greaterThan">
      <formula>0</formula>
    </cfRule>
  </conditionalFormatting>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86D2A-AAAE-4123-BB43-C858CF872FF3}">
  <dimension ref="B3:D18"/>
  <sheetViews>
    <sheetView workbookViewId="0">
      <selection activeCell="C15" sqref="C15"/>
    </sheetView>
  </sheetViews>
  <sheetFormatPr defaultRowHeight="14.5" x14ac:dyDescent="0.35"/>
  <cols>
    <col min="2" max="2" width="15.6328125" bestFit="1" customWidth="1"/>
  </cols>
  <sheetData>
    <row r="3" spans="2:4" x14ac:dyDescent="0.35">
      <c r="B3" s="18" t="s">
        <v>7</v>
      </c>
      <c r="C3" s="19">
        <f>Main!C9</f>
        <v>10953</v>
      </c>
      <c r="D3" s="18"/>
    </row>
    <row r="4" spans="2:4" x14ac:dyDescent="0.35">
      <c r="B4" s="18" t="s">
        <v>32</v>
      </c>
      <c r="C4" s="19">
        <f>Main!C7</f>
        <v>637208.25</v>
      </c>
      <c r="D4" s="18"/>
    </row>
    <row r="5" spans="2:4" x14ac:dyDescent="0.35">
      <c r="B5" s="18" t="s">
        <v>33</v>
      </c>
      <c r="C5" s="19">
        <f>C3+C4</f>
        <v>648161.25</v>
      </c>
      <c r="D5" s="18"/>
    </row>
    <row r="6" spans="2:4" x14ac:dyDescent="0.35">
      <c r="B6" s="20" t="s">
        <v>34</v>
      </c>
      <c r="C6" s="21">
        <f>C3/C5</f>
        <v>1.6898572693137704E-2</v>
      </c>
      <c r="D6" s="18"/>
    </row>
    <row r="7" spans="2:4" x14ac:dyDescent="0.35">
      <c r="B7" s="20" t="s">
        <v>35</v>
      </c>
      <c r="C7" s="21">
        <f>C4/C5</f>
        <v>0.98310142730686234</v>
      </c>
      <c r="D7" s="18"/>
    </row>
    <row r="8" spans="2:4" x14ac:dyDescent="0.35">
      <c r="B8" s="18"/>
      <c r="C8" s="18"/>
      <c r="D8" s="18"/>
    </row>
    <row r="9" spans="2:4" x14ac:dyDescent="0.35">
      <c r="B9" s="18" t="s">
        <v>36</v>
      </c>
      <c r="C9" s="22">
        <f>AVERAGE(Model!AM27:AQ27)</f>
        <v>-3.3410065532994552E-4</v>
      </c>
      <c r="D9" s="18"/>
    </row>
    <row r="10" spans="2:4" x14ac:dyDescent="0.35">
      <c r="B10" s="18" t="s">
        <v>37</v>
      </c>
      <c r="C10" s="19">
        <f>-Model!AQ11</f>
        <v>263</v>
      </c>
      <c r="D10" s="18"/>
    </row>
    <row r="11" spans="2:4" x14ac:dyDescent="0.35">
      <c r="B11" s="20" t="s">
        <v>38</v>
      </c>
      <c r="C11" s="23">
        <f>C10/C3</f>
        <v>2.4011686295991964E-2</v>
      </c>
      <c r="D11" s="18"/>
    </row>
    <row r="12" spans="2:4" x14ac:dyDescent="0.35">
      <c r="B12" s="18"/>
      <c r="C12" s="18"/>
      <c r="D12" s="18"/>
    </row>
    <row r="13" spans="2:4" x14ac:dyDescent="0.35">
      <c r="B13" s="18" t="s">
        <v>39</v>
      </c>
      <c r="C13" s="22">
        <f>'[1]T-Bond Yields'!$C$7</f>
        <v>4.0300000000000002E-2</v>
      </c>
      <c r="D13" s="18"/>
    </row>
    <row r="14" spans="2:4" x14ac:dyDescent="0.35">
      <c r="B14" s="18" t="s">
        <v>40</v>
      </c>
      <c r="C14" s="18">
        <v>1.76</v>
      </c>
      <c r="D14" s="18" t="s">
        <v>72</v>
      </c>
    </row>
    <row r="15" spans="2:4" x14ac:dyDescent="0.35">
      <c r="B15" s="18" t="s">
        <v>41</v>
      </c>
      <c r="C15" s="24">
        <v>0.06</v>
      </c>
      <c r="D15" s="18"/>
    </row>
    <row r="16" spans="2:4" x14ac:dyDescent="0.35">
      <c r="B16" s="20" t="s">
        <v>42</v>
      </c>
      <c r="C16" s="21">
        <f>C13+C14*(C15-C13)</f>
        <v>7.4971999999999997E-2</v>
      </c>
      <c r="D16" s="18"/>
    </row>
    <row r="17" spans="2:4" x14ac:dyDescent="0.35">
      <c r="B17" s="18"/>
      <c r="C17" s="18"/>
      <c r="D17" s="18"/>
    </row>
    <row r="18" spans="2:4" x14ac:dyDescent="0.35">
      <c r="B18" s="20" t="s">
        <v>43</v>
      </c>
      <c r="C18" s="21">
        <f>(C6*C11)+(C7*C16)*(1-C9)</f>
        <v>7.4135468350006381E-2</v>
      </c>
      <c r="D18"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Model</vt:lpstr>
      <vt:lpstr>WACC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Sheldon</dc:creator>
  <cp:lastModifiedBy>Bill Sheldon</cp:lastModifiedBy>
  <dcterms:created xsi:type="dcterms:W3CDTF">2023-02-26T20:58:42Z</dcterms:created>
  <dcterms:modified xsi:type="dcterms:W3CDTF">2023-03-19T20:45:11Z</dcterms:modified>
</cp:coreProperties>
</file>