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lshe\Documents\Models Backup\"/>
    </mc:Choice>
  </mc:AlternateContent>
  <xr:revisionPtr revIDLastSave="0" documentId="13_ncr:1_{7C449071-A0B3-4FB5-BD5A-45D6868F3542}" xr6:coauthVersionLast="47" xr6:coauthVersionMax="47" xr10:uidLastSave="{00000000-0000-0000-0000-000000000000}"/>
  <bookViews>
    <workbookView xWindow="-28905" yWindow="0" windowWidth="16725" windowHeight="15585" activeTab="2" xr2:uid="{9316C5F5-A7BE-4823-B400-1B80B9B1E3B6}"/>
  </bookViews>
  <sheets>
    <sheet name="Main" sheetId="4" r:id="rId1"/>
    <sheet name="WACC" sheetId="5" r:id="rId2"/>
    <sheet name="DCF" sheetId="1"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3" i="5" l="1"/>
  <c r="C8" i="4"/>
  <c r="C7" i="4"/>
  <c r="Z22" i="1"/>
  <c r="AO22" i="1" s="1"/>
  <c r="Z21" i="1"/>
  <c r="Y22" i="1"/>
  <c r="Y21" i="1"/>
  <c r="AO36" i="1"/>
  <c r="AO32" i="1"/>
  <c r="AO30" i="1"/>
  <c r="AO29" i="1"/>
  <c r="AO28" i="1"/>
  <c r="AO26" i="1"/>
  <c r="AO25" i="1"/>
  <c r="AO24" i="1"/>
  <c r="AN23" i="1"/>
  <c r="AM23" i="1"/>
  <c r="AL23" i="1"/>
  <c r="Z36" i="1"/>
  <c r="Y36" i="1"/>
  <c r="Y54" i="1" s="1"/>
  <c r="Z32" i="1"/>
  <c r="Y32" i="1"/>
  <c r="Z29" i="1"/>
  <c r="Z51" i="1" s="1"/>
  <c r="Y29" i="1"/>
  <c r="Y30" i="1" s="1"/>
  <c r="Z28" i="1"/>
  <c r="Z45" i="1" s="1"/>
  <c r="Y28" i="1"/>
  <c r="Z25" i="1"/>
  <c r="Y25" i="1"/>
  <c r="Z24" i="1"/>
  <c r="Z26" i="1" s="1"/>
  <c r="Y24" i="1"/>
  <c r="Y26" i="1" s="1"/>
  <c r="AM36" i="1"/>
  <c r="AN36" i="1"/>
  <c r="AN34" i="1"/>
  <c r="AN32" i="1"/>
  <c r="AN29" i="1"/>
  <c r="AN28" i="1"/>
  <c r="AN25" i="1"/>
  <c r="AN24" i="1"/>
  <c r="AN22" i="1"/>
  <c r="AN21" i="1"/>
  <c r="AM21" i="1"/>
  <c r="U73" i="1"/>
  <c r="U59" i="1"/>
  <c r="U58" i="1" s="1"/>
  <c r="R73" i="1"/>
  <c r="R59" i="1"/>
  <c r="R67" i="1" s="1"/>
  <c r="V73" i="1"/>
  <c r="V58" i="1" s="1"/>
  <c r="V59" i="1"/>
  <c r="W73" i="1"/>
  <c r="W59" i="1"/>
  <c r="X73" i="1"/>
  <c r="X75" i="1" s="1"/>
  <c r="X77" i="1" s="1"/>
  <c r="X59" i="1"/>
  <c r="X45" i="1"/>
  <c r="X23" i="1"/>
  <c r="W23" i="1"/>
  <c r="V23" i="1"/>
  <c r="U23" i="1"/>
  <c r="Z75" i="1"/>
  <c r="Z77" i="1" s="1"/>
  <c r="Y75" i="1"/>
  <c r="Y77" i="1" s="1"/>
  <c r="W75" i="1"/>
  <c r="W77" i="1" s="1"/>
  <c r="U75" i="1"/>
  <c r="U77" i="1" s="1"/>
  <c r="T75" i="1"/>
  <c r="T77" i="1" s="1"/>
  <c r="S75" i="1"/>
  <c r="S77" i="1" s="1"/>
  <c r="R75" i="1"/>
  <c r="R77" i="1" s="1"/>
  <c r="Q75" i="1"/>
  <c r="Q77" i="1" s="1"/>
  <c r="P75" i="1"/>
  <c r="P77" i="1" s="1"/>
  <c r="Z67" i="1"/>
  <c r="Y67" i="1"/>
  <c r="W67" i="1"/>
  <c r="V67" i="1"/>
  <c r="U67" i="1"/>
  <c r="T67" i="1"/>
  <c r="S67" i="1"/>
  <c r="Q67" i="1"/>
  <c r="P67" i="1"/>
  <c r="Z58" i="1"/>
  <c r="Y58" i="1"/>
  <c r="W58" i="1"/>
  <c r="T58" i="1"/>
  <c r="S58" i="1"/>
  <c r="Q58" i="1"/>
  <c r="P58" i="1"/>
  <c r="Z54" i="1"/>
  <c r="X54" i="1"/>
  <c r="W54" i="1"/>
  <c r="X51" i="1"/>
  <c r="W51" i="1"/>
  <c r="Y50" i="1"/>
  <c r="X50" i="1"/>
  <c r="W50" i="1"/>
  <c r="Z46" i="1"/>
  <c r="Y46" i="1"/>
  <c r="X46" i="1"/>
  <c r="W46" i="1"/>
  <c r="Y45" i="1"/>
  <c r="W45" i="1"/>
  <c r="X30" i="1"/>
  <c r="W30" i="1"/>
  <c r="X26" i="1"/>
  <c r="W26" i="1"/>
  <c r="AW44" i="1"/>
  <c r="U51" i="1"/>
  <c r="U45" i="1"/>
  <c r="V26" i="1"/>
  <c r="U26" i="1"/>
  <c r="V54" i="1"/>
  <c r="U54" i="1"/>
  <c r="V51" i="1"/>
  <c r="U50" i="1"/>
  <c r="AL34" i="1"/>
  <c r="AL32" i="1"/>
  <c r="AL29" i="1"/>
  <c r="AL28" i="1"/>
  <c r="AL25" i="1"/>
  <c r="AL24" i="1"/>
  <c r="AL26" i="1" s="1"/>
  <c r="AL22" i="1"/>
  <c r="AL21" i="1"/>
  <c r="AM34" i="1"/>
  <c r="AM32" i="1"/>
  <c r="AM29" i="1"/>
  <c r="AM28" i="1"/>
  <c r="AM30" i="1" s="1"/>
  <c r="AM25" i="1"/>
  <c r="AM24" i="1"/>
  <c r="AM22" i="1"/>
  <c r="AL36" i="1"/>
  <c r="AK36" i="1"/>
  <c r="AK34" i="1"/>
  <c r="AK32" i="1"/>
  <c r="AK29" i="1"/>
  <c r="AK28" i="1"/>
  <c r="AK25" i="1"/>
  <c r="AK24" i="1"/>
  <c r="AK26" i="1" s="1"/>
  <c r="AK22" i="1"/>
  <c r="AK21" i="1"/>
  <c r="AJ34" i="1"/>
  <c r="AJ32" i="1"/>
  <c r="AJ29" i="1"/>
  <c r="AJ28" i="1"/>
  <c r="AJ25" i="1"/>
  <c r="AJ24" i="1"/>
  <c r="AJ22" i="1"/>
  <c r="AJ21" i="1"/>
  <c r="C36" i="1"/>
  <c r="D36" i="1"/>
  <c r="E36" i="1"/>
  <c r="F36" i="1"/>
  <c r="AJ36" i="1" s="1"/>
  <c r="G36" i="1"/>
  <c r="H36" i="1"/>
  <c r="I36" i="1"/>
  <c r="L23" i="1"/>
  <c r="S45" i="1"/>
  <c r="T45" i="1"/>
  <c r="S46" i="1"/>
  <c r="T46" i="1"/>
  <c r="S50" i="1"/>
  <c r="T50" i="1"/>
  <c r="S51" i="1"/>
  <c r="T51" i="1"/>
  <c r="S54" i="1"/>
  <c r="T54" i="1"/>
  <c r="S30" i="1"/>
  <c r="R30" i="1"/>
  <c r="Q30" i="1"/>
  <c r="P30" i="1"/>
  <c r="O30" i="1"/>
  <c r="N30" i="1"/>
  <c r="M30" i="1"/>
  <c r="L30" i="1"/>
  <c r="K30" i="1"/>
  <c r="J30" i="1"/>
  <c r="I30" i="1"/>
  <c r="H30" i="1"/>
  <c r="G30" i="1"/>
  <c r="F30" i="1"/>
  <c r="E30" i="1"/>
  <c r="D30" i="1"/>
  <c r="C30" i="1"/>
  <c r="S23" i="1"/>
  <c r="R23" i="1"/>
  <c r="Q23" i="1"/>
  <c r="P23" i="1"/>
  <c r="O23" i="1"/>
  <c r="N23" i="1"/>
  <c r="M23" i="1"/>
  <c r="K23" i="1"/>
  <c r="J23" i="1"/>
  <c r="I23" i="1"/>
  <c r="H23" i="1"/>
  <c r="G23" i="1"/>
  <c r="F23" i="1"/>
  <c r="E23" i="1"/>
  <c r="D23" i="1"/>
  <c r="C23" i="1"/>
  <c r="S26" i="1"/>
  <c r="R26" i="1"/>
  <c r="Q26" i="1"/>
  <c r="P26" i="1"/>
  <c r="O26" i="1"/>
  <c r="N26" i="1"/>
  <c r="M26" i="1"/>
  <c r="L26" i="1"/>
  <c r="K26" i="1"/>
  <c r="J26" i="1"/>
  <c r="I26" i="1"/>
  <c r="H26" i="1"/>
  <c r="G26" i="1"/>
  <c r="F26" i="1"/>
  <c r="E26" i="1"/>
  <c r="D26" i="1"/>
  <c r="C26" i="1"/>
  <c r="T30" i="1"/>
  <c r="T26" i="1"/>
  <c r="T23" i="1"/>
  <c r="O73" i="1"/>
  <c r="O75" i="1" s="1"/>
  <c r="O77" i="1" s="1"/>
  <c r="O59" i="1"/>
  <c r="O67" i="1" s="1"/>
  <c r="Z23" i="1" l="1"/>
  <c r="Z48" i="1" s="1"/>
  <c r="AO21" i="1"/>
  <c r="AO23" i="1" s="1"/>
  <c r="AO27" i="1" s="1"/>
  <c r="AO31" i="1" s="1"/>
  <c r="AO33" i="1" s="1"/>
  <c r="Y51" i="1"/>
  <c r="Z50" i="1"/>
  <c r="Z30" i="1"/>
  <c r="AP25" i="1"/>
  <c r="AQ25" i="1" s="1"/>
  <c r="AR25" i="1" s="1"/>
  <c r="AS25" i="1" s="1"/>
  <c r="Y23" i="1"/>
  <c r="Y48" i="1" s="1"/>
  <c r="R58" i="1"/>
  <c r="V75" i="1"/>
  <c r="V77" i="1" s="1"/>
  <c r="AK23" i="1"/>
  <c r="AK27" i="1" s="1"/>
  <c r="W49" i="1"/>
  <c r="AL30" i="1"/>
  <c r="X52" i="1"/>
  <c r="T48" i="1"/>
  <c r="Y49" i="1"/>
  <c r="Z49" i="1"/>
  <c r="O58" i="1"/>
  <c r="AJ26" i="1"/>
  <c r="AJ30" i="1"/>
  <c r="X48" i="1"/>
  <c r="S27" i="1"/>
  <c r="S41" i="1" s="1"/>
  <c r="X49" i="1"/>
  <c r="L27" i="1"/>
  <c r="L31" i="1" s="1"/>
  <c r="L33" i="1" s="1"/>
  <c r="L35" i="1" s="1"/>
  <c r="L37" i="1" s="1"/>
  <c r="T27" i="1"/>
  <c r="T31" i="1" s="1"/>
  <c r="T33" i="1" s="1"/>
  <c r="T35" i="1" s="1"/>
  <c r="T37" i="1" s="1"/>
  <c r="W52" i="1"/>
  <c r="W27" i="1"/>
  <c r="W41" i="1" s="1"/>
  <c r="X58" i="1"/>
  <c r="X67" i="1"/>
  <c r="W48" i="1"/>
  <c r="X27" i="1"/>
  <c r="N27" i="1"/>
  <c r="N31" i="1" s="1"/>
  <c r="N33" i="1" s="1"/>
  <c r="N35" i="1" s="1"/>
  <c r="S49" i="1"/>
  <c r="T52" i="1"/>
  <c r="S52" i="1"/>
  <c r="U49" i="1"/>
  <c r="V49" i="1"/>
  <c r="T49" i="1"/>
  <c r="V45" i="1"/>
  <c r="AM26" i="1"/>
  <c r="AK30" i="1"/>
  <c r="O27" i="1"/>
  <c r="O31" i="1" s="1"/>
  <c r="O33" i="1" s="1"/>
  <c r="O35" i="1" s="1"/>
  <c r="AJ23" i="1"/>
  <c r="AM27" i="1"/>
  <c r="AM31" i="1" s="1"/>
  <c r="AM33" i="1" s="1"/>
  <c r="AM35" i="1" s="1"/>
  <c r="V48" i="1"/>
  <c r="V27" i="1"/>
  <c r="V41" i="1" s="1"/>
  <c r="U27" i="1"/>
  <c r="U41" i="1" s="1"/>
  <c r="U46" i="1"/>
  <c r="V46" i="1"/>
  <c r="S48" i="1"/>
  <c r="R27" i="1"/>
  <c r="R31" i="1" s="1"/>
  <c r="R33" i="1" s="1"/>
  <c r="R35" i="1" s="1"/>
  <c r="R37" i="1" s="1"/>
  <c r="P27" i="1"/>
  <c r="P31" i="1" s="1"/>
  <c r="P33" i="1" s="1"/>
  <c r="P35" i="1" s="1"/>
  <c r="U30" i="1"/>
  <c r="Y52" i="1" s="1"/>
  <c r="V50" i="1"/>
  <c r="V30" i="1"/>
  <c r="Z52" i="1" s="1"/>
  <c r="J27" i="1"/>
  <c r="J31" i="1" s="1"/>
  <c r="J33" i="1" s="1"/>
  <c r="J35" i="1" s="1"/>
  <c r="J37" i="1" s="1"/>
  <c r="U48" i="1"/>
  <c r="AL27" i="1"/>
  <c r="C27" i="1"/>
  <c r="C31" i="1" s="1"/>
  <c r="C33" i="1" s="1"/>
  <c r="C35" i="1" s="1"/>
  <c r="C37" i="1" s="1"/>
  <c r="D27" i="1"/>
  <c r="D31" i="1" s="1"/>
  <c r="D33" i="1" s="1"/>
  <c r="D35" i="1" s="1"/>
  <c r="D37" i="1" s="1"/>
  <c r="E27" i="1"/>
  <c r="E31" i="1" s="1"/>
  <c r="E33" i="1" s="1"/>
  <c r="E35" i="1" s="1"/>
  <c r="E37" i="1" s="1"/>
  <c r="F27" i="1"/>
  <c r="F31" i="1" s="1"/>
  <c r="F33" i="1" s="1"/>
  <c r="F35" i="1" s="1"/>
  <c r="F37" i="1" s="1"/>
  <c r="G27" i="1"/>
  <c r="G31" i="1" s="1"/>
  <c r="G33" i="1" s="1"/>
  <c r="G35" i="1" s="1"/>
  <c r="G37" i="1" s="1"/>
  <c r="H27" i="1"/>
  <c r="H31" i="1" s="1"/>
  <c r="H33" i="1" s="1"/>
  <c r="H35" i="1" s="1"/>
  <c r="H37" i="1" s="1"/>
  <c r="I27" i="1"/>
  <c r="I31" i="1" s="1"/>
  <c r="I33" i="1" s="1"/>
  <c r="I35" i="1" s="1"/>
  <c r="I37" i="1" s="1"/>
  <c r="K27" i="1"/>
  <c r="K31" i="1" s="1"/>
  <c r="K33" i="1" s="1"/>
  <c r="K35" i="1" s="1"/>
  <c r="K37" i="1" s="1"/>
  <c r="M27" i="1"/>
  <c r="M31" i="1" s="1"/>
  <c r="M33" i="1" s="1"/>
  <c r="M35" i="1" s="1"/>
  <c r="Q27" i="1"/>
  <c r="Q31" i="1" s="1"/>
  <c r="Q33" i="1" s="1"/>
  <c r="R49" i="1"/>
  <c r="O46" i="1"/>
  <c r="O45" i="1"/>
  <c r="O54" i="1"/>
  <c r="R51" i="1"/>
  <c r="Q51" i="1"/>
  <c r="P46" i="1"/>
  <c r="R50" i="1"/>
  <c r="Q45" i="1"/>
  <c r="O51" i="1"/>
  <c r="N51" i="1"/>
  <c r="M51" i="1"/>
  <c r="L51" i="1"/>
  <c r="K51" i="1"/>
  <c r="J51" i="1"/>
  <c r="I51" i="1"/>
  <c r="H51" i="1"/>
  <c r="G51" i="1"/>
  <c r="P50" i="1"/>
  <c r="O50" i="1"/>
  <c r="N50" i="1"/>
  <c r="M50" i="1"/>
  <c r="L50" i="1"/>
  <c r="K50" i="1"/>
  <c r="J50" i="1"/>
  <c r="I50" i="1"/>
  <c r="H50" i="1"/>
  <c r="G50" i="1"/>
  <c r="P49" i="1"/>
  <c r="Q49" i="1"/>
  <c r="O49" i="1"/>
  <c r="N54" i="1"/>
  <c r="M54" i="1"/>
  <c r="L54" i="1"/>
  <c r="K54" i="1"/>
  <c r="J54" i="1"/>
  <c r="I54" i="1"/>
  <c r="H54" i="1"/>
  <c r="G54" i="1"/>
  <c r="O48" i="1"/>
  <c r="N49" i="1"/>
  <c r="M49" i="1"/>
  <c r="L49" i="1"/>
  <c r="K49" i="1"/>
  <c r="J49" i="1"/>
  <c r="I49" i="1"/>
  <c r="H49" i="1"/>
  <c r="G49" i="1"/>
  <c r="Q48" i="1"/>
  <c r="AL60" i="1"/>
  <c r="AL61" i="1"/>
  <c r="AL62" i="1"/>
  <c r="AL63" i="1"/>
  <c r="AL64" i="1"/>
  <c r="AL65" i="1"/>
  <c r="AL66" i="1"/>
  <c r="AL69" i="1"/>
  <c r="AL70" i="1"/>
  <c r="AL71" i="1"/>
  <c r="AL72" i="1"/>
  <c r="AL74" i="1"/>
  <c r="AL76" i="1"/>
  <c r="AK60" i="1"/>
  <c r="AK61" i="1"/>
  <c r="AK62" i="1"/>
  <c r="AK63" i="1"/>
  <c r="AK64" i="1"/>
  <c r="AK65" i="1"/>
  <c r="AK66" i="1"/>
  <c r="AK69" i="1"/>
  <c r="AK70" i="1"/>
  <c r="AK71" i="1"/>
  <c r="AK72" i="1"/>
  <c r="AK74" i="1"/>
  <c r="AK76" i="1"/>
  <c r="AJ76" i="1"/>
  <c r="AJ74" i="1"/>
  <c r="AJ72" i="1"/>
  <c r="AJ70" i="1"/>
  <c r="AJ66" i="1"/>
  <c r="AJ65" i="1"/>
  <c r="AJ64" i="1"/>
  <c r="AJ63" i="1"/>
  <c r="AJ62" i="1"/>
  <c r="AJ61" i="1"/>
  <c r="AJ60" i="1"/>
  <c r="AJ69" i="1"/>
  <c r="C73" i="1"/>
  <c r="C71" i="1"/>
  <c r="C65" i="1"/>
  <c r="C59" i="1"/>
  <c r="D73" i="1"/>
  <c r="D71" i="1"/>
  <c r="D59" i="1"/>
  <c r="E71" i="1"/>
  <c r="E73" i="1"/>
  <c r="E59" i="1"/>
  <c r="F71" i="1"/>
  <c r="AJ71" i="1" s="1"/>
  <c r="F73" i="1"/>
  <c r="AJ73" i="1" s="1"/>
  <c r="F59" i="1"/>
  <c r="G73" i="1"/>
  <c r="G59" i="1"/>
  <c r="G67" i="1" s="1"/>
  <c r="H73" i="1"/>
  <c r="H75" i="1" s="1"/>
  <c r="H77" i="1" s="1"/>
  <c r="H59" i="1"/>
  <c r="I73" i="1"/>
  <c r="I75" i="1" s="1"/>
  <c r="I77" i="1" s="1"/>
  <c r="I59" i="1"/>
  <c r="I67" i="1" s="1"/>
  <c r="J73" i="1"/>
  <c r="AK73" i="1" s="1"/>
  <c r="J59" i="1"/>
  <c r="AK59" i="1" s="1"/>
  <c r="K73" i="1"/>
  <c r="K75" i="1" s="1"/>
  <c r="K77" i="1" s="1"/>
  <c r="K59" i="1"/>
  <c r="K67" i="1" s="1"/>
  <c r="M73" i="1"/>
  <c r="M75" i="1" s="1"/>
  <c r="M77" i="1" s="1"/>
  <c r="M59" i="1"/>
  <c r="M67" i="1" s="1"/>
  <c r="N73" i="1"/>
  <c r="AL73" i="1" s="1"/>
  <c r="N59" i="1"/>
  <c r="N67" i="1" s="1"/>
  <c r="AL67" i="1" s="1"/>
  <c r="Z27" i="1" l="1"/>
  <c r="Z41" i="1" s="1"/>
  <c r="AP23" i="1"/>
  <c r="AQ23" i="1" s="1"/>
  <c r="Y27" i="1"/>
  <c r="Y41" i="1" s="1"/>
  <c r="F58" i="1"/>
  <c r="AJ58" i="1" s="1"/>
  <c r="AL31" i="1"/>
  <c r="AL33" i="1" s="1"/>
  <c r="AL35" i="1" s="1"/>
  <c r="AK31" i="1"/>
  <c r="AK33" i="1" s="1"/>
  <c r="AK35" i="1" s="1"/>
  <c r="E75" i="1"/>
  <c r="E77" i="1" s="1"/>
  <c r="T43" i="1"/>
  <c r="AJ27" i="1"/>
  <c r="AJ31" i="1" s="1"/>
  <c r="AJ33" i="1" s="1"/>
  <c r="AJ35" i="1" s="1"/>
  <c r="D58" i="1"/>
  <c r="T42" i="1"/>
  <c r="T41" i="1"/>
  <c r="T44" i="1"/>
  <c r="S31" i="1"/>
  <c r="S33" i="1" s="1"/>
  <c r="O37" i="1"/>
  <c r="M37" i="1"/>
  <c r="P80" i="1"/>
  <c r="P37" i="1"/>
  <c r="T55" i="1" s="1"/>
  <c r="N37" i="1"/>
  <c r="V52" i="1"/>
  <c r="W31" i="1"/>
  <c r="X41" i="1"/>
  <c r="X31" i="1"/>
  <c r="O41" i="1"/>
  <c r="U31" i="1"/>
  <c r="U33" i="1" s="1"/>
  <c r="AN26" i="1"/>
  <c r="AN27" i="1" s="1"/>
  <c r="U52" i="1"/>
  <c r="AP28" i="1"/>
  <c r="AQ28" i="1" s="1"/>
  <c r="AR28" i="1" s="1"/>
  <c r="AS28" i="1" s="1"/>
  <c r="AN30" i="1"/>
  <c r="R41" i="1"/>
  <c r="V31" i="1"/>
  <c r="O80" i="1"/>
  <c r="O81" i="1" s="1"/>
  <c r="J75" i="1"/>
  <c r="J77" i="1" s="1"/>
  <c r="AK77" i="1" s="1"/>
  <c r="T53" i="1"/>
  <c r="D67" i="1"/>
  <c r="Q50" i="1"/>
  <c r="E58" i="1"/>
  <c r="C75" i="1"/>
  <c r="C77" i="1" s="1"/>
  <c r="N75" i="1"/>
  <c r="N77" i="1" s="1"/>
  <c r="AL77" i="1" s="1"/>
  <c r="H58" i="1"/>
  <c r="R45" i="1"/>
  <c r="G58" i="1"/>
  <c r="J58" i="1"/>
  <c r="AK58" i="1" s="1"/>
  <c r="AN50" i="1"/>
  <c r="P48" i="1"/>
  <c r="Q46" i="1"/>
  <c r="Q41" i="1"/>
  <c r="R46" i="1"/>
  <c r="G75" i="1"/>
  <c r="G77" i="1" s="1"/>
  <c r="F67" i="1"/>
  <c r="AJ67" i="1" s="1"/>
  <c r="R48" i="1"/>
  <c r="P51" i="1"/>
  <c r="P45" i="1"/>
  <c r="R54" i="1"/>
  <c r="P54" i="1"/>
  <c r="Q54" i="1"/>
  <c r="F75" i="1"/>
  <c r="E67" i="1"/>
  <c r="C58" i="1"/>
  <c r="AJ59" i="1"/>
  <c r="AL59" i="1"/>
  <c r="N58" i="1"/>
  <c r="AL58" i="1" s="1"/>
  <c r="M58" i="1"/>
  <c r="C67" i="1"/>
  <c r="D75" i="1"/>
  <c r="D77" i="1" s="1"/>
  <c r="H67" i="1"/>
  <c r="I58" i="1"/>
  <c r="J67" i="1"/>
  <c r="AK67" i="1" s="1"/>
  <c r="K58" i="1"/>
  <c r="L73" i="1"/>
  <c r="L75" i="1" s="1"/>
  <c r="L77" i="1" s="1"/>
  <c r="L59" i="1"/>
  <c r="N48" i="1"/>
  <c r="M48" i="1"/>
  <c r="L48" i="1"/>
  <c r="K48" i="1"/>
  <c r="J48" i="1"/>
  <c r="I48" i="1"/>
  <c r="H48" i="1"/>
  <c r="G48" i="1"/>
  <c r="N46" i="1"/>
  <c r="M46" i="1"/>
  <c r="L46" i="1"/>
  <c r="K46" i="1"/>
  <c r="J46" i="1"/>
  <c r="I46" i="1"/>
  <c r="H46" i="1"/>
  <c r="G46" i="1"/>
  <c r="F46" i="1"/>
  <c r="E46" i="1"/>
  <c r="D46" i="1"/>
  <c r="N45" i="1"/>
  <c r="M45" i="1"/>
  <c r="L45" i="1"/>
  <c r="K45" i="1"/>
  <c r="J45" i="1"/>
  <c r="I45" i="1"/>
  <c r="H45" i="1"/>
  <c r="G45" i="1"/>
  <c r="F45" i="1"/>
  <c r="E45" i="1"/>
  <c r="D45" i="1"/>
  <c r="AP32" i="1"/>
  <c r="AQ32" i="1" s="1"/>
  <c r="AR32" i="1" s="1"/>
  <c r="AS32" i="1" s="1"/>
  <c r="O52" i="1"/>
  <c r="M41" i="1"/>
  <c r="L41" i="1"/>
  <c r="J41" i="1"/>
  <c r="I41" i="1"/>
  <c r="H41" i="1"/>
  <c r="E41" i="1"/>
  <c r="D41" i="1"/>
  <c r="M3" i="1"/>
  <c r="AL2" i="1"/>
  <c r="AM2" i="1" s="1"/>
  <c r="AN2" i="1" s="1"/>
  <c r="AO2" i="1" s="1"/>
  <c r="AP2" i="1" s="1"/>
  <c r="AQ2" i="1" s="1"/>
  <c r="AR2" i="1" s="1"/>
  <c r="AS2" i="1" s="1"/>
  <c r="C16" i="5"/>
  <c r="C3" i="5"/>
  <c r="C4" i="4" a="1"/>
  <c r="C4" i="4" s="1"/>
  <c r="AW47" i="1" s="1"/>
  <c r="Z31" i="1" l="1"/>
  <c r="Z33" i="1" s="1"/>
  <c r="Z34" i="1"/>
  <c r="Z44" i="1" s="1"/>
  <c r="Y31" i="1"/>
  <c r="S42" i="1"/>
  <c r="U42" i="1"/>
  <c r="P82" i="1"/>
  <c r="P81" i="1"/>
  <c r="P84" i="1"/>
  <c r="P83" i="1"/>
  <c r="W42" i="1"/>
  <c r="W33" i="1"/>
  <c r="X42" i="1"/>
  <c r="X33" i="1"/>
  <c r="S44" i="1"/>
  <c r="S35" i="1"/>
  <c r="V42" i="1"/>
  <c r="V33" i="1"/>
  <c r="AR23" i="1"/>
  <c r="AS23" i="1" s="1"/>
  <c r="AK75" i="1"/>
  <c r="U44" i="1"/>
  <c r="U35" i="1"/>
  <c r="AN31" i="1"/>
  <c r="AN33" i="1" s="1"/>
  <c r="AP24" i="1"/>
  <c r="AN49" i="1"/>
  <c r="Q52" i="1"/>
  <c r="AL75" i="1"/>
  <c r="AK50" i="1"/>
  <c r="AL51" i="1"/>
  <c r="AK54" i="1"/>
  <c r="J52" i="1"/>
  <c r="N52" i="1"/>
  <c r="P41" i="1"/>
  <c r="AK49" i="1"/>
  <c r="AL50" i="1"/>
  <c r="G52" i="1"/>
  <c r="K52" i="1"/>
  <c r="AL54" i="1"/>
  <c r="AM50" i="1"/>
  <c r="AL49" i="1"/>
  <c r="H52" i="1"/>
  <c r="L52" i="1"/>
  <c r="AM49" i="1"/>
  <c r="P52" i="1"/>
  <c r="AM51" i="1"/>
  <c r="AK46" i="1"/>
  <c r="AK51" i="1"/>
  <c r="I52" i="1"/>
  <c r="M52" i="1"/>
  <c r="AM54" i="1"/>
  <c r="R52" i="1"/>
  <c r="R42" i="1"/>
  <c r="Q42" i="1"/>
  <c r="O42" i="1"/>
  <c r="G42" i="1"/>
  <c r="L67" i="1"/>
  <c r="L58" i="1"/>
  <c r="F77" i="1"/>
  <c r="AJ77" i="1" s="1"/>
  <c r="AJ75" i="1"/>
  <c r="C6" i="4"/>
  <c r="C4" i="5" s="1"/>
  <c r="AK45" i="1"/>
  <c r="AJ41" i="1"/>
  <c r="F42" i="1"/>
  <c r="AL45" i="1"/>
  <c r="AL46" i="1"/>
  <c r="F41" i="1"/>
  <c r="AM45" i="1"/>
  <c r="C41" i="1"/>
  <c r="G41" i="1"/>
  <c r="K41" i="1"/>
  <c r="N42" i="1"/>
  <c r="AL48" i="1"/>
  <c r="AK48" i="1"/>
  <c r="N41" i="1"/>
  <c r="Z42" i="1" l="1"/>
  <c r="Z35" i="1"/>
  <c r="Z43" i="1" s="1"/>
  <c r="Y33" i="1"/>
  <c r="Y34" i="1" s="1"/>
  <c r="AO34" i="1" s="1"/>
  <c r="AO35" i="1" s="1"/>
  <c r="AO37" i="1" s="1"/>
  <c r="Y42" i="1"/>
  <c r="W44" i="1"/>
  <c r="W35" i="1"/>
  <c r="X44" i="1"/>
  <c r="X35" i="1"/>
  <c r="U80" i="1"/>
  <c r="AQ24" i="1"/>
  <c r="AP26" i="1"/>
  <c r="AP27" i="1" s="1"/>
  <c r="U37" i="1"/>
  <c r="U43" i="1"/>
  <c r="V35" i="1"/>
  <c r="AO49" i="1"/>
  <c r="S43" i="1"/>
  <c r="S37" i="1"/>
  <c r="S55" i="1" s="1"/>
  <c r="S53" i="1"/>
  <c r="AL52" i="1"/>
  <c r="K42" i="1"/>
  <c r="AN54" i="1"/>
  <c r="G44" i="1"/>
  <c r="P42" i="1"/>
  <c r="P44" i="1"/>
  <c r="AJ42" i="1"/>
  <c r="AN51" i="1"/>
  <c r="C42" i="1"/>
  <c r="AK52" i="1"/>
  <c r="AP50" i="1"/>
  <c r="AP36" i="1"/>
  <c r="AO54" i="1"/>
  <c r="C9" i="4"/>
  <c r="R44" i="1"/>
  <c r="L42" i="1"/>
  <c r="AK42" i="1"/>
  <c r="F44" i="1"/>
  <c r="AN45" i="1"/>
  <c r="E42" i="1"/>
  <c r="M42" i="1"/>
  <c r="AM52" i="1"/>
  <c r="AM46" i="1"/>
  <c r="N44" i="1"/>
  <c r="H42" i="1"/>
  <c r="AK41" i="1"/>
  <c r="D42" i="1"/>
  <c r="L44" i="1"/>
  <c r="K44" i="1"/>
  <c r="I42" i="1"/>
  <c r="C44" i="1"/>
  <c r="J42" i="1"/>
  <c r="AM48" i="1"/>
  <c r="AL41" i="1"/>
  <c r="C5" i="5"/>
  <c r="C6" i="5" s="1"/>
  <c r="Z37" i="1" l="1"/>
  <c r="Y35" i="1"/>
  <c r="Y44" i="1"/>
  <c r="X80" i="1"/>
  <c r="W43" i="1"/>
  <c r="W37" i="1"/>
  <c r="W55" i="1" s="1"/>
  <c r="W53" i="1"/>
  <c r="X37" i="1"/>
  <c r="X55" i="1" s="1"/>
  <c r="X53" i="1"/>
  <c r="X43" i="1"/>
  <c r="Z53" i="1"/>
  <c r="U83" i="1"/>
  <c r="U82" i="1"/>
  <c r="U81" i="1"/>
  <c r="U84" i="1"/>
  <c r="V80" i="1"/>
  <c r="W80" i="1"/>
  <c r="W81" i="1" s="1"/>
  <c r="V37" i="1"/>
  <c r="V53" i="1"/>
  <c r="V43" i="1"/>
  <c r="V44" i="1"/>
  <c r="AP29" i="1"/>
  <c r="AQ29" i="1" s="1"/>
  <c r="AR29" i="1" s="1"/>
  <c r="AS29" i="1" s="1"/>
  <c r="AQ26" i="1"/>
  <c r="AQ27" i="1" s="1"/>
  <c r="AR24" i="1"/>
  <c r="Q44" i="1"/>
  <c r="Q35" i="1"/>
  <c r="G43" i="1"/>
  <c r="F43" i="1"/>
  <c r="AK44" i="1"/>
  <c r="P43" i="1"/>
  <c r="K53" i="1"/>
  <c r="G53" i="1"/>
  <c r="AO51" i="1"/>
  <c r="AQ36" i="1"/>
  <c r="AP54" i="1"/>
  <c r="O44" i="1"/>
  <c r="AO50" i="1"/>
  <c r="N43" i="1"/>
  <c r="I44" i="1"/>
  <c r="H44" i="1"/>
  <c r="M44" i="1"/>
  <c r="E44" i="1"/>
  <c r="AO45" i="1"/>
  <c r="AN52" i="1"/>
  <c r="AN46" i="1"/>
  <c r="L43" i="1"/>
  <c r="C43" i="1"/>
  <c r="K43" i="1"/>
  <c r="K55" i="1"/>
  <c r="D44" i="1"/>
  <c r="J44" i="1"/>
  <c r="AN48" i="1"/>
  <c r="AM41" i="1"/>
  <c r="AL42" i="1"/>
  <c r="C7" i="5"/>
  <c r="Y37" i="1" l="1"/>
  <c r="Y55" i="1" s="1"/>
  <c r="Y43" i="1"/>
  <c r="Y53" i="1"/>
  <c r="Y80" i="1"/>
  <c r="Y81" i="1" s="1"/>
  <c r="Z80" i="1"/>
  <c r="Z84" i="1" s="1"/>
  <c r="T80" i="1"/>
  <c r="S80" i="1"/>
  <c r="Q80" i="1"/>
  <c r="R80" i="1"/>
  <c r="V55" i="1"/>
  <c r="Z55" i="1"/>
  <c r="X82" i="1"/>
  <c r="X81" i="1"/>
  <c r="X84" i="1"/>
  <c r="X83" i="1"/>
  <c r="W82" i="1"/>
  <c r="W84" i="1"/>
  <c r="W83" i="1"/>
  <c r="V83" i="1"/>
  <c r="V82" i="1"/>
  <c r="V81" i="1"/>
  <c r="V84" i="1"/>
  <c r="AP30" i="1"/>
  <c r="AP31" i="1" s="1"/>
  <c r="AP33" i="1" s="1"/>
  <c r="AQ30" i="1"/>
  <c r="AQ31" i="1" s="1"/>
  <c r="AQ33" i="1" s="1"/>
  <c r="Q37" i="1"/>
  <c r="U55" i="1" s="1"/>
  <c r="U53" i="1"/>
  <c r="AS24" i="1"/>
  <c r="AS26" i="1" s="1"/>
  <c r="AS27" i="1" s="1"/>
  <c r="AR26" i="1"/>
  <c r="AR27" i="1" s="1"/>
  <c r="AR30" i="1"/>
  <c r="AJ44" i="1"/>
  <c r="AK53" i="1"/>
  <c r="N80" i="1"/>
  <c r="N84" i="1" s="1"/>
  <c r="P53" i="1"/>
  <c r="G55" i="1"/>
  <c r="I53" i="1"/>
  <c r="H53" i="1"/>
  <c r="L53" i="1"/>
  <c r="P55" i="1"/>
  <c r="M80" i="1"/>
  <c r="J53" i="1"/>
  <c r="AJ81" i="1"/>
  <c r="AJ83" i="1"/>
  <c r="AJ84" i="1"/>
  <c r="AJ82" i="1"/>
  <c r="M53" i="1"/>
  <c r="N53" i="1"/>
  <c r="AR36" i="1"/>
  <c r="AQ54" i="1"/>
  <c r="R43" i="1"/>
  <c r="R53" i="1"/>
  <c r="Q53" i="1"/>
  <c r="Q43" i="1"/>
  <c r="O53" i="1"/>
  <c r="O55" i="1"/>
  <c r="O43" i="1"/>
  <c r="L80" i="1"/>
  <c r="J80" i="1"/>
  <c r="K80" i="1"/>
  <c r="I80" i="1"/>
  <c r="G80" i="1"/>
  <c r="F80" i="1"/>
  <c r="H80" i="1"/>
  <c r="M43" i="1"/>
  <c r="D43" i="1"/>
  <c r="AQ50" i="1"/>
  <c r="AP45" i="1"/>
  <c r="I43" i="1"/>
  <c r="AJ37" i="1"/>
  <c r="AJ43" i="1"/>
  <c r="AO46" i="1"/>
  <c r="AP51" i="1"/>
  <c r="AO52" i="1"/>
  <c r="H43" i="1"/>
  <c r="E43" i="1"/>
  <c r="J43" i="1"/>
  <c r="AN41" i="1"/>
  <c r="AM42" i="1"/>
  <c r="AL44" i="1"/>
  <c r="AO48" i="1"/>
  <c r="Y83" i="1" l="1"/>
  <c r="Y84" i="1"/>
  <c r="Y82" i="1"/>
  <c r="Z82" i="1"/>
  <c r="Z81" i="1"/>
  <c r="Z83" i="1"/>
  <c r="AR31" i="1"/>
  <c r="AR33" i="1" s="1"/>
  <c r="T81" i="1"/>
  <c r="T84" i="1"/>
  <c r="T82" i="1"/>
  <c r="T83" i="1"/>
  <c r="S81" i="1"/>
  <c r="S82" i="1"/>
  <c r="S84" i="1"/>
  <c r="S83" i="1"/>
  <c r="R81" i="1"/>
  <c r="R84" i="1"/>
  <c r="R83" i="1"/>
  <c r="R82" i="1"/>
  <c r="Q82" i="1"/>
  <c r="Q81" i="1"/>
  <c r="Q83" i="1"/>
  <c r="Q84" i="1"/>
  <c r="AS30" i="1"/>
  <c r="AS31" i="1" s="1"/>
  <c r="AS33" i="1" s="1"/>
  <c r="AK81" i="1"/>
  <c r="AK43" i="1"/>
  <c r="AK82" i="1"/>
  <c r="AK83" i="1"/>
  <c r="AK37" i="1"/>
  <c r="AK55" i="1" s="1"/>
  <c r="AK84" i="1"/>
  <c r="N82" i="1"/>
  <c r="N83" i="1"/>
  <c r="R55" i="1"/>
  <c r="N81" i="1"/>
  <c r="J55" i="1"/>
  <c r="M55" i="1"/>
  <c r="H55" i="1"/>
  <c r="N55" i="1"/>
  <c r="L55" i="1"/>
  <c r="O84" i="1"/>
  <c r="O83" i="1"/>
  <c r="O82" i="1"/>
  <c r="AL53" i="1"/>
  <c r="AL82" i="1"/>
  <c r="AL84" i="1"/>
  <c r="AL81" i="1"/>
  <c r="AL83" i="1"/>
  <c r="I55" i="1"/>
  <c r="Q55" i="1"/>
  <c r="AS36" i="1"/>
  <c r="AR54" i="1"/>
  <c r="H82" i="1"/>
  <c r="H84" i="1"/>
  <c r="H83" i="1"/>
  <c r="H81" i="1"/>
  <c r="K83" i="1"/>
  <c r="K84" i="1"/>
  <c r="K81" i="1"/>
  <c r="K82" i="1"/>
  <c r="F82" i="1"/>
  <c r="F81" i="1"/>
  <c r="F84" i="1"/>
  <c r="F83" i="1"/>
  <c r="J84" i="1"/>
  <c r="J83" i="1"/>
  <c r="J81" i="1"/>
  <c r="J82" i="1"/>
  <c r="G83" i="1"/>
  <c r="G81" i="1"/>
  <c r="G84" i="1"/>
  <c r="G82" i="1"/>
  <c r="L81" i="1"/>
  <c r="L82" i="1"/>
  <c r="L84" i="1"/>
  <c r="L83" i="1"/>
  <c r="I84" i="1"/>
  <c r="I82" i="1"/>
  <c r="I83" i="1"/>
  <c r="I81" i="1"/>
  <c r="M84" i="1"/>
  <c r="M81" i="1"/>
  <c r="M82" i="1"/>
  <c r="M83" i="1"/>
  <c r="AP52" i="1"/>
  <c r="AQ51" i="1"/>
  <c r="AP46" i="1"/>
  <c r="AQ45" i="1"/>
  <c r="AR50" i="1"/>
  <c r="AP48" i="1"/>
  <c r="AN35" i="1"/>
  <c r="AN42" i="1"/>
  <c r="AL43" i="1"/>
  <c r="AL37" i="1"/>
  <c r="AO41" i="1"/>
  <c r="AM44" i="1"/>
  <c r="C9" i="5" s="1"/>
  <c r="C11" i="5" s="1"/>
  <c r="C18" i="5" s="1"/>
  <c r="AW42" i="1" s="1"/>
  <c r="AL55" i="1" l="1"/>
  <c r="AL39" i="1"/>
  <c r="AS54" i="1"/>
  <c r="AQ52" i="1"/>
  <c r="AR51" i="1"/>
  <c r="AQ46" i="1"/>
  <c r="AR45" i="1"/>
  <c r="AS50" i="1"/>
  <c r="AP41" i="1"/>
  <c r="AP49" i="1"/>
  <c r="AQ48" i="1"/>
  <c r="AQ49" i="1"/>
  <c r="AM53" i="1"/>
  <c r="AO42" i="1"/>
  <c r="AN44" i="1"/>
  <c r="AR52" i="1" l="1"/>
  <c r="AS51" i="1"/>
  <c r="AR46" i="1"/>
  <c r="AS45" i="1"/>
  <c r="AM37" i="1"/>
  <c r="AM43" i="1"/>
  <c r="AQ41" i="1"/>
  <c r="AR49" i="1" s="1"/>
  <c r="AO44" i="1"/>
  <c r="AR48" i="1"/>
  <c r="AP34" i="1"/>
  <c r="AP35" i="1" s="1"/>
  <c r="AP42" i="1"/>
  <c r="AO53" i="1" l="1"/>
  <c r="AM55" i="1"/>
  <c r="AM39" i="1"/>
  <c r="AN37" i="1"/>
  <c r="AN53" i="1"/>
  <c r="AN43" i="1"/>
  <c r="AS46" i="1"/>
  <c r="AS52" i="1"/>
  <c r="AR41" i="1"/>
  <c r="AO43" i="1"/>
  <c r="AP44" i="1"/>
  <c r="AS48" i="1"/>
  <c r="AQ42" i="1"/>
  <c r="AQ34" i="1"/>
  <c r="AQ35" i="1" s="1"/>
  <c r="AN55" i="1" l="1"/>
  <c r="AN39" i="1"/>
  <c r="AO55" i="1"/>
  <c r="AO39" i="1"/>
  <c r="AQ44" i="1"/>
  <c r="AS41" i="1"/>
  <c r="AS49" i="1"/>
  <c r="AR34" i="1"/>
  <c r="AR35" i="1" s="1"/>
  <c r="AR42" i="1"/>
  <c r="AP43" i="1" l="1"/>
  <c r="AP53" i="1"/>
  <c r="AP37" i="1"/>
  <c r="AS34" i="1"/>
  <c r="AS35" i="1" s="1"/>
  <c r="AT35" i="1" s="1"/>
  <c r="AU35" i="1" s="1"/>
  <c r="AV35" i="1" s="1"/>
  <c r="AW35" i="1" s="1"/>
  <c r="AX35" i="1" s="1"/>
  <c r="AY35" i="1" s="1"/>
  <c r="AZ35" i="1" s="1"/>
  <c r="BA35" i="1" s="1"/>
  <c r="BB35" i="1" s="1"/>
  <c r="BC35" i="1" s="1"/>
  <c r="BD35" i="1" s="1"/>
  <c r="BE35" i="1" s="1"/>
  <c r="BF35" i="1" s="1"/>
  <c r="BG35" i="1" s="1"/>
  <c r="BH35" i="1" s="1"/>
  <c r="BI35" i="1" s="1"/>
  <c r="BJ35" i="1" s="1"/>
  <c r="BK35" i="1" s="1"/>
  <c r="BL35" i="1" s="1"/>
  <c r="BM35" i="1" s="1"/>
  <c r="BN35" i="1" s="1"/>
  <c r="BO35" i="1" s="1"/>
  <c r="BP35" i="1" s="1"/>
  <c r="BQ35" i="1" s="1"/>
  <c r="BR35" i="1" s="1"/>
  <c r="BS35" i="1" s="1"/>
  <c r="BT35" i="1" s="1"/>
  <c r="BU35" i="1" s="1"/>
  <c r="BV35" i="1" s="1"/>
  <c r="BW35" i="1" s="1"/>
  <c r="BX35" i="1" s="1"/>
  <c r="BY35" i="1" s="1"/>
  <c r="BZ35" i="1" s="1"/>
  <c r="CA35" i="1" s="1"/>
  <c r="CB35" i="1" s="1"/>
  <c r="CC35" i="1" s="1"/>
  <c r="CD35" i="1" s="1"/>
  <c r="CE35" i="1" s="1"/>
  <c r="CF35" i="1" s="1"/>
  <c r="CG35" i="1" s="1"/>
  <c r="CH35" i="1" s="1"/>
  <c r="CI35" i="1" s="1"/>
  <c r="CJ35" i="1" s="1"/>
  <c r="CK35" i="1" s="1"/>
  <c r="CL35" i="1" s="1"/>
  <c r="CM35" i="1" s="1"/>
  <c r="CN35" i="1" s="1"/>
  <c r="CO35" i="1" s="1"/>
  <c r="CP35" i="1" s="1"/>
  <c r="CQ35" i="1" s="1"/>
  <c r="CR35" i="1" s="1"/>
  <c r="CS35" i="1" s="1"/>
  <c r="CT35" i="1" s="1"/>
  <c r="CU35" i="1" s="1"/>
  <c r="CV35" i="1" s="1"/>
  <c r="CW35" i="1" s="1"/>
  <c r="CX35" i="1" s="1"/>
  <c r="CY35" i="1" s="1"/>
  <c r="CZ35" i="1" s="1"/>
  <c r="DA35" i="1" s="1"/>
  <c r="DB35" i="1" s="1"/>
  <c r="DC35" i="1" s="1"/>
  <c r="DD35" i="1" s="1"/>
  <c r="DE35" i="1" s="1"/>
  <c r="DF35" i="1" s="1"/>
  <c r="DG35" i="1" s="1"/>
  <c r="DH35" i="1" s="1"/>
  <c r="DI35" i="1" s="1"/>
  <c r="DJ35" i="1" s="1"/>
  <c r="DK35" i="1" s="1"/>
  <c r="DL35" i="1" s="1"/>
  <c r="DM35" i="1" s="1"/>
  <c r="DN35" i="1" s="1"/>
  <c r="DO35" i="1" s="1"/>
  <c r="DP35" i="1" s="1"/>
  <c r="DQ35" i="1" s="1"/>
  <c r="DR35" i="1" s="1"/>
  <c r="DS35" i="1" s="1"/>
  <c r="DT35" i="1" s="1"/>
  <c r="DU35" i="1" s="1"/>
  <c r="DV35" i="1" s="1"/>
  <c r="DW35" i="1" s="1"/>
  <c r="DX35" i="1" s="1"/>
  <c r="DY35" i="1" s="1"/>
  <c r="DZ35" i="1" s="1"/>
  <c r="EA35" i="1" s="1"/>
  <c r="EB35" i="1" s="1"/>
  <c r="EC35" i="1" s="1"/>
  <c r="ED35" i="1" s="1"/>
  <c r="EE35" i="1" s="1"/>
  <c r="EF35" i="1" s="1"/>
  <c r="EG35" i="1" s="1"/>
  <c r="EH35" i="1" s="1"/>
  <c r="EI35" i="1" s="1"/>
  <c r="EJ35" i="1" s="1"/>
  <c r="EK35" i="1" s="1"/>
  <c r="EL35" i="1" s="1"/>
  <c r="EM35" i="1" s="1"/>
  <c r="EN35" i="1" s="1"/>
  <c r="EO35" i="1" s="1"/>
  <c r="EP35" i="1" s="1"/>
  <c r="EQ35" i="1" s="1"/>
  <c r="ER35" i="1" s="1"/>
  <c r="ES35" i="1" s="1"/>
  <c r="ET35" i="1" s="1"/>
  <c r="EU35" i="1" s="1"/>
  <c r="EV35" i="1" s="1"/>
  <c r="EW35" i="1" s="1"/>
  <c r="EX35" i="1" s="1"/>
  <c r="EY35" i="1" s="1"/>
  <c r="EZ35" i="1" s="1"/>
  <c r="FA35" i="1" s="1"/>
  <c r="FB35" i="1" s="1"/>
  <c r="FC35" i="1" s="1"/>
  <c r="FD35" i="1" s="1"/>
  <c r="FE35" i="1" s="1"/>
  <c r="FF35" i="1" s="1"/>
  <c r="FG35" i="1" s="1"/>
  <c r="FH35" i="1" s="1"/>
  <c r="FI35" i="1" s="1"/>
  <c r="FJ35" i="1" s="1"/>
  <c r="FK35" i="1" s="1"/>
  <c r="FL35" i="1" s="1"/>
  <c r="FM35" i="1" s="1"/>
  <c r="FN35" i="1" s="1"/>
  <c r="FO35" i="1" s="1"/>
  <c r="FP35" i="1" s="1"/>
  <c r="FQ35" i="1" s="1"/>
  <c r="FR35" i="1" s="1"/>
  <c r="FS35" i="1" s="1"/>
  <c r="FT35" i="1" s="1"/>
  <c r="FU35" i="1" s="1"/>
  <c r="FV35" i="1" s="1"/>
  <c r="FW35" i="1" s="1"/>
  <c r="FX35" i="1" s="1"/>
  <c r="FY35" i="1" s="1"/>
  <c r="FZ35" i="1" s="1"/>
  <c r="GA35" i="1" s="1"/>
  <c r="GB35" i="1" s="1"/>
  <c r="GC35" i="1" s="1"/>
  <c r="GD35" i="1" s="1"/>
  <c r="GE35" i="1" s="1"/>
  <c r="GF35" i="1" s="1"/>
  <c r="GG35" i="1" s="1"/>
  <c r="GH35" i="1" s="1"/>
  <c r="GI35" i="1" s="1"/>
  <c r="GJ35" i="1" s="1"/>
  <c r="GK35" i="1" s="1"/>
  <c r="GL35" i="1" s="1"/>
  <c r="GM35" i="1" s="1"/>
  <c r="GN35" i="1" s="1"/>
  <c r="GO35" i="1" s="1"/>
  <c r="GP35" i="1" s="1"/>
  <c r="GQ35" i="1" s="1"/>
  <c r="GR35" i="1" s="1"/>
  <c r="GS35" i="1" s="1"/>
  <c r="GT35" i="1" s="1"/>
  <c r="GU35" i="1" s="1"/>
  <c r="GV35" i="1" s="1"/>
  <c r="GW35" i="1" s="1"/>
  <c r="GX35" i="1" s="1"/>
  <c r="GY35" i="1" s="1"/>
  <c r="GZ35" i="1" s="1"/>
  <c r="HA35" i="1" s="1"/>
  <c r="HB35" i="1" s="1"/>
  <c r="HC35" i="1" s="1"/>
  <c r="HD35" i="1" s="1"/>
  <c r="HE35" i="1" s="1"/>
  <c r="HF35" i="1" s="1"/>
  <c r="HG35" i="1" s="1"/>
  <c r="HH35" i="1" s="1"/>
  <c r="HI35" i="1" s="1"/>
  <c r="HJ35" i="1" s="1"/>
  <c r="HK35" i="1" s="1"/>
  <c r="HL35" i="1" s="1"/>
  <c r="HM35" i="1" s="1"/>
  <c r="HN35" i="1" s="1"/>
  <c r="HO35" i="1" s="1"/>
  <c r="HP35" i="1" s="1"/>
  <c r="HQ35" i="1" s="1"/>
  <c r="HR35" i="1" s="1"/>
  <c r="HS35" i="1" s="1"/>
  <c r="HT35" i="1" s="1"/>
  <c r="HU35" i="1" s="1"/>
  <c r="HV35" i="1" s="1"/>
  <c r="HW35" i="1" s="1"/>
  <c r="HX35" i="1" s="1"/>
  <c r="HY35" i="1" s="1"/>
  <c r="HZ35" i="1" s="1"/>
  <c r="IA35" i="1" s="1"/>
  <c r="IB35" i="1" s="1"/>
  <c r="IC35" i="1" s="1"/>
  <c r="ID35" i="1" s="1"/>
  <c r="IE35" i="1" s="1"/>
  <c r="IF35" i="1" s="1"/>
  <c r="IG35" i="1" s="1"/>
  <c r="IH35" i="1" s="1"/>
  <c r="II35" i="1" s="1"/>
  <c r="IJ35" i="1" s="1"/>
  <c r="IK35" i="1" s="1"/>
  <c r="IL35" i="1" s="1"/>
  <c r="IM35" i="1" s="1"/>
  <c r="IN35" i="1" s="1"/>
  <c r="IO35" i="1" s="1"/>
  <c r="IP35" i="1" s="1"/>
  <c r="IQ35" i="1" s="1"/>
  <c r="IR35" i="1" s="1"/>
  <c r="IS35" i="1" s="1"/>
  <c r="IT35" i="1" s="1"/>
  <c r="IU35" i="1" s="1"/>
  <c r="IV35" i="1" s="1"/>
  <c r="IW35" i="1" s="1"/>
  <c r="IX35" i="1" s="1"/>
  <c r="IY35" i="1" s="1"/>
  <c r="IZ35" i="1" s="1"/>
  <c r="JA35" i="1" s="1"/>
  <c r="JB35" i="1" s="1"/>
  <c r="JC35" i="1" s="1"/>
  <c r="JD35" i="1" s="1"/>
  <c r="JE35" i="1" s="1"/>
  <c r="JF35" i="1" s="1"/>
  <c r="JG35" i="1" s="1"/>
  <c r="JH35" i="1" s="1"/>
  <c r="JI35" i="1" s="1"/>
  <c r="JJ35" i="1" s="1"/>
  <c r="JK35" i="1" s="1"/>
  <c r="JL35" i="1" s="1"/>
  <c r="JM35" i="1" s="1"/>
  <c r="JN35" i="1" s="1"/>
  <c r="JO35" i="1" s="1"/>
  <c r="JP35" i="1" s="1"/>
  <c r="JQ35" i="1" s="1"/>
  <c r="JR35" i="1" s="1"/>
  <c r="JS35" i="1" s="1"/>
  <c r="JT35" i="1" s="1"/>
  <c r="JU35" i="1" s="1"/>
  <c r="JV35" i="1" s="1"/>
  <c r="JW35" i="1" s="1"/>
  <c r="JX35" i="1" s="1"/>
  <c r="JY35" i="1" s="1"/>
  <c r="JZ35" i="1" s="1"/>
  <c r="KA35" i="1" s="1"/>
  <c r="KB35" i="1" s="1"/>
  <c r="KC35" i="1" s="1"/>
  <c r="KD35" i="1" s="1"/>
  <c r="KE35" i="1" s="1"/>
  <c r="KF35" i="1" s="1"/>
  <c r="KG35" i="1" s="1"/>
  <c r="KH35" i="1" s="1"/>
  <c r="KI35" i="1" s="1"/>
  <c r="KJ35" i="1" s="1"/>
  <c r="KK35" i="1" s="1"/>
  <c r="KL35" i="1" s="1"/>
  <c r="KM35" i="1" s="1"/>
  <c r="KN35" i="1" s="1"/>
  <c r="KO35" i="1" s="1"/>
  <c r="KP35" i="1" s="1"/>
  <c r="KQ35" i="1" s="1"/>
  <c r="KR35" i="1" s="1"/>
  <c r="KS35" i="1" s="1"/>
  <c r="KT35" i="1" s="1"/>
  <c r="KU35" i="1" s="1"/>
  <c r="KV35" i="1" s="1"/>
  <c r="KW35" i="1" s="1"/>
  <c r="KX35" i="1" s="1"/>
  <c r="KY35" i="1" s="1"/>
  <c r="KZ35" i="1" s="1"/>
  <c r="LA35" i="1" s="1"/>
  <c r="LB35" i="1" s="1"/>
  <c r="LC35" i="1" s="1"/>
  <c r="LD35" i="1" s="1"/>
  <c r="LE35" i="1" s="1"/>
  <c r="LF35" i="1" s="1"/>
  <c r="LG35" i="1" s="1"/>
  <c r="LH35" i="1" s="1"/>
  <c r="LI35" i="1" s="1"/>
  <c r="LJ35" i="1" s="1"/>
  <c r="LK35" i="1" s="1"/>
  <c r="LL35" i="1" s="1"/>
  <c r="LM35" i="1" s="1"/>
  <c r="LN35" i="1" s="1"/>
  <c r="LO35" i="1" s="1"/>
  <c r="LP35" i="1" s="1"/>
  <c r="LQ35" i="1" s="1"/>
  <c r="LR35" i="1" s="1"/>
  <c r="LS35" i="1" s="1"/>
  <c r="LT35" i="1" s="1"/>
  <c r="LU35" i="1" s="1"/>
  <c r="LV35" i="1" s="1"/>
  <c r="LW35" i="1" s="1"/>
  <c r="LX35" i="1" s="1"/>
  <c r="LY35" i="1" s="1"/>
  <c r="LZ35" i="1" s="1"/>
  <c r="MA35" i="1" s="1"/>
  <c r="MB35" i="1" s="1"/>
  <c r="MC35" i="1" s="1"/>
  <c r="MD35" i="1" s="1"/>
  <c r="ME35" i="1" s="1"/>
  <c r="MF35" i="1" s="1"/>
  <c r="MG35" i="1" s="1"/>
  <c r="MH35" i="1" s="1"/>
  <c r="MI35" i="1" s="1"/>
  <c r="MJ35" i="1" s="1"/>
  <c r="MK35" i="1" s="1"/>
  <c r="ML35" i="1" s="1"/>
  <c r="MM35" i="1" s="1"/>
  <c r="MN35" i="1" s="1"/>
  <c r="MO35" i="1" s="1"/>
  <c r="MP35" i="1" s="1"/>
  <c r="MQ35" i="1" s="1"/>
  <c r="MR35" i="1" s="1"/>
  <c r="MS35" i="1" s="1"/>
  <c r="MT35" i="1" s="1"/>
  <c r="MU35" i="1" s="1"/>
  <c r="MV35" i="1" s="1"/>
  <c r="MW35" i="1" s="1"/>
  <c r="MX35" i="1" s="1"/>
  <c r="MY35" i="1" s="1"/>
  <c r="MZ35" i="1" s="1"/>
  <c r="NA35" i="1" s="1"/>
  <c r="NB35" i="1" s="1"/>
  <c r="NC35" i="1" s="1"/>
  <c r="ND35" i="1" s="1"/>
  <c r="NE35" i="1" s="1"/>
  <c r="NF35" i="1" s="1"/>
  <c r="NG35" i="1" s="1"/>
  <c r="NH35" i="1" s="1"/>
  <c r="NI35" i="1" s="1"/>
  <c r="NJ35" i="1" s="1"/>
  <c r="NK35" i="1" s="1"/>
  <c r="NL35" i="1" s="1"/>
  <c r="NM35" i="1" s="1"/>
  <c r="NN35" i="1" s="1"/>
  <c r="NO35" i="1" s="1"/>
  <c r="NP35" i="1" s="1"/>
  <c r="NQ35" i="1" s="1"/>
  <c r="NR35" i="1" s="1"/>
  <c r="NS35" i="1" s="1"/>
  <c r="NT35" i="1" s="1"/>
  <c r="NU35" i="1" s="1"/>
  <c r="NV35" i="1" s="1"/>
  <c r="NW35" i="1" s="1"/>
  <c r="NX35" i="1" s="1"/>
  <c r="NY35" i="1" s="1"/>
  <c r="NZ35" i="1" s="1"/>
  <c r="OA35" i="1" s="1"/>
  <c r="OB35" i="1" s="1"/>
  <c r="OC35" i="1" s="1"/>
  <c r="OD35" i="1" s="1"/>
  <c r="OE35" i="1" s="1"/>
  <c r="OF35" i="1" s="1"/>
  <c r="OG35" i="1" s="1"/>
  <c r="OH35" i="1" s="1"/>
  <c r="OI35" i="1" s="1"/>
  <c r="OJ35" i="1" s="1"/>
  <c r="OK35" i="1" s="1"/>
  <c r="OL35" i="1" s="1"/>
  <c r="OM35" i="1" s="1"/>
  <c r="ON35" i="1" s="1"/>
  <c r="OO35" i="1" s="1"/>
  <c r="OP35" i="1" s="1"/>
  <c r="OQ35" i="1" s="1"/>
  <c r="OR35" i="1" s="1"/>
  <c r="OS35" i="1" s="1"/>
  <c r="OT35" i="1" s="1"/>
  <c r="OU35" i="1" s="1"/>
  <c r="OV35" i="1" s="1"/>
  <c r="OW35" i="1" s="1"/>
  <c r="OX35" i="1" s="1"/>
  <c r="OY35" i="1" s="1"/>
  <c r="OZ35" i="1" s="1"/>
  <c r="PA35" i="1" s="1"/>
  <c r="PB35" i="1" s="1"/>
  <c r="PC35" i="1" s="1"/>
  <c r="PD35" i="1" s="1"/>
  <c r="PE35" i="1" s="1"/>
  <c r="PF35" i="1" s="1"/>
  <c r="PG35" i="1" s="1"/>
  <c r="PH35" i="1" s="1"/>
  <c r="PI35" i="1" s="1"/>
  <c r="PJ35" i="1" s="1"/>
  <c r="PK35" i="1" s="1"/>
  <c r="PL35" i="1" s="1"/>
  <c r="PM35" i="1" s="1"/>
  <c r="PN35" i="1" s="1"/>
  <c r="PO35" i="1" s="1"/>
  <c r="PP35" i="1" s="1"/>
  <c r="PQ35" i="1" s="1"/>
  <c r="PR35" i="1" s="1"/>
  <c r="PS35" i="1" s="1"/>
  <c r="PT35" i="1" s="1"/>
  <c r="PU35" i="1" s="1"/>
  <c r="PV35" i="1" s="1"/>
  <c r="PW35" i="1" s="1"/>
  <c r="PX35" i="1" s="1"/>
  <c r="PY35" i="1" s="1"/>
  <c r="PZ35" i="1" s="1"/>
  <c r="QA35" i="1" s="1"/>
  <c r="QB35" i="1" s="1"/>
  <c r="QC35" i="1" s="1"/>
  <c r="QD35" i="1" s="1"/>
  <c r="QE35" i="1" s="1"/>
  <c r="QF35" i="1" s="1"/>
  <c r="QG35" i="1" s="1"/>
  <c r="QH35" i="1" s="1"/>
  <c r="QI35" i="1" s="1"/>
  <c r="QJ35" i="1" s="1"/>
  <c r="QK35" i="1" s="1"/>
  <c r="QL35" i="1" s="1"/>
  <c r="QM35" i="1" s="1"/>
  <c r="QN35" i="1" s="1"/>
  <c r="QO35" i="1" s="1"/>
  <c r="QP35" i="1" s="1"/>
  <c r="QQ35" i="1" s="1"/>
  <c r="QR35" i="1" s="1"/>
  <c r="QS35" i="1" s="1"/>
  <c r="QT35" i="1" s="1"/>
  <c r="QU35" i="1" s="1"/>
  <c r="QV35" i="1" s="1"/>
  <c r="QW35" i="1" s="1"/>
  <c r="QX35" i="1" s="1"/>
  <c r="QY35" i="1" s="1"/>
  <c r="QZ35" i="1" s="1"/>
  <c r="RA35" i="1" s="1"/>
  <c r="RB35" i="1" s="1"/>
  <c r="RC35" i="1" s="1"/>
  <c r="RD35" i="1" s="1"/>
  <c r="RE35" i="1" s="1"/>
  <c r="RF35" i="1" s="1"/>
  <c r="RG35" i="1" s="1"/>
  <c r="RH35" i="1" s="1"/>
  <c r="RI35" i="1" s="1"/>
  <c r="RJ35" i="1" s="1"/>
  <c r="RK35" i="1" s="1"/>
  <c r="RL35" i="1" s="1"/>
  <c r="RM35" i="1" s="1"/>
  <c r="RN35" i="1" s="1"/>
  <c r="RO35" i="1" s="1"/>
  <c r="RP35" i="1" s="1"/>
  <c r="RQ35" i="1" s="1"/>
  <c r="RR35" i="1" s="1"/>
  <c r="RS35" i="1" s="1"/>
  <c r="RT35" i="1" s="1"/>
  <c r="RU35" i="1" s="1"/>
  <c r="RV35" i="1" s="1"/>
  <c r="RW35" i="1" s="1"/>
  <c r="RX35" i="1" s="1"/>
  <c r="RY35" i="1" s="1"/>
  <c r="RZ35" i="1" s="1"/>
  <c r="SA35" i="1" s="1"/>
  <c r="SB35" i="1" s="1"/>
  <c r="SC35" i="1" s="1"/>
  <c r="SD35" i="1" s="1"/>
  <c r="SE35" i="1" s="1"/>
  <c r="SF35" i="1" s="1"/>
  <c r="SG35" i="1" s="1"/>
  <c r="SH35" i="1" s="1"/>
  <c r="SI35" i="1" s="1"/>
  <c r="SJ35" i="1" s="1"/>
  <c r="SK35" i="1" s="1"/>
  <c r="SL35" i="1" s="1"/>
  <c r="SM35" i="1" s="1"/>
  <c r="SN35" i="1" s="1"/>
  <c r="SO35" i="1" s="1"/>
  <c r="SP35" i="1" s="1"/>
  <c r="SQ35" i="1" s="1"/>
  <c r="SR35" i="1" s="1"/>
  <c r="SS35" i="1" s="1"/>
  <c r="ST35" i="1" s="1"/>
  <c r="SU35" i="1" s="1"/>
  <c r="SV35" i="1" s="1"/>
  <c r="SW35" i="1" s="1"/>
  <c r="SX35" i="1" s="1"/>
  <c r="SY35" i="1" s="1"/>
  <c r="SZ35" i="1" s="1"/>
  <c r="TA35" i="1" s="1"/>
  <c r="TB35" i="1" s="1"/>
  <c r="TC35" i="1" s="1"/>
  <c r="TD35" i="1" s="1"/>
  <c r="TE35" i="1" s="1"/>
  <c r="TF35" i="1" s="1"/>
  <c r="TG35" i="1" s="1"/>
  <c r="TH35" i="1" s="1"/>
  <c r="TI35" i="1" s="1"/>
  <c r="TJ35" i="1" s="1"/>
  <c r="TK35" i="1" s="1"/>
  <c r="TL35" i="1" s="1"/>
  <c r="TM35" i="1" s="1"/>
  <c r="TN35" i="1" s="1"/>
  <c r="TO35" i="1" s="1"/>
  <c r="TP35" i="1" s="1"/>
  <c r="TQ35" i="1" s="1"/>
  <c r="TR35" i="1" s="1"/>
  <c r="TS35" i="1" s="1"/>
  <c r="TT35" i="1" s="1"/>
  <c r="TU35" i="1" s="1"/>
  <c r="TV35" i="1" s="1"/>
  <c r="TW35" i="1" s="1"/>
  <c r="TX35" i="1" s="1"/>
  <c r="TY35" i="1" s="1"/>
  <c r="TZ35" i="1" s="1"/>
  <c r="UA35" i="1" s="1"/>
  <c r="UB35" i="1" s="1"/>
  <c r="UC35" i="1" s="1"/>
  <c r="UD35" i="1" s="1"/>
  <c r="UE35" i="1" s="1"/>
  <c r="UF35" i="1" s="1"/>
  <c r="UG35" i="1" s="1"/>
  <c r="UH35" i="1" s="1"/>
  <c r="UI35" i="1" s="1"/>
  <c r="UJ35" i="1" s="1"/>
  <c r="UK35" i="1" s="1"/>
  <c r="UL35" i="1" s="1"/>
  <c r="UM35" i="1" s="1"/>
  <c r="UN35" i="1" s="1"/>
  <c r="UO35" i="1" s="1"/>
  <c r="UP35" i="1" s="1"/>
  <c r="UQ35" i="1" s="1"/>
  <c r="UR35" i="1" s="1"/>
  <c r="US35" i="1" s="1"/>
  <c r="UT35" i="1" s="1"/>
  <c r="UU35" i="1" s="1"/>
  <c r="UV35" i="1" s="1"/>
  <c r="UW35" i="1" s="1"/>
  <c r="UX35" i="1" s="1"/>
  <c r="UY35" i="1" s="1"/>
  <c r="UZ35" i="1" s="1"/>
  <c r="VA35" i="1" s="1"/>
  <c r="VB35" i="1" s="1"/>
  <c r="VC35" i="1" s="1"/>
  <c r="VD35" i="1" s="1"/>
  <c r="VE35" i="1" s="1"/>
  <c r="VF35" i="1" s="1"/>
  <c r="VG35" i="1" s="1"/>
  <c r="VH35" i="1" s="1"/>
  <c r="VI35" i="1" s="1"/>
  <c r="VJ35" i="1" s="1"/>
  <c r="VK35" i="1" s="1"/>
  <c r="VL35" i="1" s="1"/>
  <c r="VM35" i="1" s="1"/>
  <c r="VN35" i="1" s="1"/>
  <c r="VO35" i="1" s="1"/>
  <c r="VP35" i="1" s="1"/>
  <c r="VQ35" i="1" s="1"/>
  <c r="VR35" i="1" s="1"/>
  <c r="VS35" i="1" s="1"/>
  <c r="VT35" i="1" s="1"/>
  <c r="VU35" i="1" s="1"/>
  <c r="VV35" i="1" s="1"/>
  <c r="VW35" i="1" s="1"/>
  <c r="VX35" i="1" s="1"/>
  <c r="VY35" i="1" s="1"/>
  <c r="VZ35" i="1" s="1"/>
  <c r="WA35" i="1" s="1"/>
  <c r="WB35" i="1" s="1"/>
  <c r="WC35" i="1" s="1"/>
  <c r="WD35" i="1" s="1"/>
  <c r="WE35" i="1" s="1"/>
  <c r="WF35" i="1" s="1"/>
  <c r="WG35" i="1" s="1"/>
  <c r="WH35" i="1" s="1"/>
  <c r="WI35" i="1" s="1"/>
  <c r="WJ35" i="1" s="1"/>
  <c r="WK35" i="1" s="1"/>
  <c r="WL35" i="1" s="1"/>
  <c r="WM35" i="1" s="1"/>
  <c r="WN35" i="1" s="1"/>
  <c r="WO35" i="1" s="1"/>
  <c r="WP35" i="1" s="1"/>
  <c r="WQ35" i="1" s="1"/>
  <c r="WR35" i="1" s="1"/>
  <c r="WS35" i="1" s="1"/>
  <c r="WT35" i="1" s="1"/>
  <c r="WU35" i="1" s="1"/>
  <c r="WV35" i="1" s="1"/>
  <c r="WW35" i="1" s="1"/>
  <c r="WX35" i="1" s="1"/>
  <c r="WY35" i="1" s="1"/>
  <c r="WZ35" i="1" s="1"/>
  <c r="XA35" i="1" s="1"/>
  <c r="XB35" i="1" s="1"/>
  <c r="XC35" i="1" s="1"/>
  <c r="XD35" i="1" s="1"/>
  <c r="XE35" i="1" s="1"/>
  <c r="XF35" i="1" s="1"/>
  <c r="XG35" i="1" s="1"/>
  <c r="XH35" i="1" s="1"/>
  <c r="XI35" i="1" s="1"/>
  <c r="XJ35" i="1" s="1"/>
  <c r="XK35" i="1" s="1"/>
  <c r="XL35" i="1" s="1"/>
  <c r="XM35" i="1" s="1"/>
  <c r="XN35" i="1" s="1"/>
  <c r="XO35" i="1" s="1"/>
  <c r="XP35" i="1" s="1"/>
  <c r="XQ35" i="1" s="1"/>
  <c r="XR35" i="1" s="1"/>
  <c r="XS35" i="1" s="1"/>
  <c r="XT35" i="1" s="1"/>
  <c r="XU35" i="1" s="1"/>
  <c r="XV35" i="1" s="1"/>
  <c r="XW35" i="1" s="1"/>
  <c r="XX35" i="1" s="1"/>
  <c r="XY35" i="1" s="1"/>
  <c r="XZ35" i="1" s="1"/>
  <c r="YA35" i="1" s="1"/>
  <c r="YB35" i="1" s="1"/>
  <c r="YC35" i="1" s="1"/>
  <c r="YD35" i="1" s="1"/>
  <c r="YE35" i="1" s="1"/>
  <c r="YF35" i="1" s="1"/>
  <c r="YG35" i="1" s="1"/>
  <c r="YH35" i="1" s="1"/>
  <c r="YI35" i="1" s="1"/>
  <c r="YJ35" i="1" s="1"/>
  <c r="YK35" i="1" s="1"/>
  <c r="YL35" i="1" s="1"/>
  <c r="YM35" i="1" s="1"/>
  <c r="YN35" i="1" s="1"/>
  <c r="YO35" i="1" s="1"/>
  <c r="YP35" i="1" s="1"/>
  <c r="YQ35" i="1" s="1"/>
  <c r="YR35" i="1" s="1"/>
  <c r="YS35" i="1" s="1"/>
  <c r="YT35" i="1" s="1"/>
  <c r="YU35" i="1" s="1"/>
  <c r="YV35" i="1" s="1"/>
  <c r="YW35" i="1" s="1"/>
  <c r="YX35" i="1" s="1"/>
  <c r="YY35" i="1" s="1"/>
  <c r="YZ35" i="1" s="1"/>
  <c r="ZA35" i="1" s="1"/>
  <c r="ZB35" i="1" s="1"/>
  <c r="ZC35" i="1" s="1"/>
  <c r="ZD35" i="1" s="1"/>
  <c r="ZE35" i="1" s="1"/>
  <c r="ZF35" i="1" s="1"/>
  <c r="ZG35" i="1" s="1"/>
  <c r="ZH35" i="1" s="1"/>
  <c r="ZI35" i="1" s="1"/>
  <c r="ZJ35" i="1" s="1"/>
  <c r="ZK35" i="1" s="1"/>
  <c r="ZL35" i="1" s="1"/>
  <c r="ZM35" i="1" s="1"/>
  <c r="ZN35" i="1" s="1"/>
  <c r="ZO35" i="1" s="1"/>
  <c r="ZP35" i="1" s="1"/>
  <c r="ZQ35" i="1" s="1"/>
  <c r="ZR35" i="1" s="1"/>
  <c r="ZS35" i="1" s="1"/>
  <c r="ZT35" i="1" s="1"/>
  <c r="ZU35" i="1" s="1"/>
  <c r="ZV35" i="1" s="1"/>
  <c r="ZW35" i="1" s="1"/>
  <c r="ZX35" i="1" s="1"/>
  <c r="ZY35" i="1" s="1"/>
  <c r="ZZ35" i="1" s="1"/>
  <c r="AAA35" i="1" s="1"/>
  <c r="AAB35" i="1" s="1"/>
  <c r="AAC35" i="1" s="1"/>
  <c r="AAD35" i="1" s="1"/>
  <c r="AAE35" i="1" s="1"/>
  <c r="AAF35" i="1" s="1"/>
  <c r="AAG35" i="1" s="1"/>
  <c r="AAH35" i="1" s="1"/>
  <c r="AAI35" i="1" s="1"/>
  <c r="AAJ35" i="1" s="1"/>
  <c r="AAK35" i="1" s="1"/>
  <c r="AAL35" i="1" s="1"/>
  <c r="AAM35" i="1" s="1"/>
  <c r="AAN35" i="1" s="1"/>
  <c r="AAO35" i="1" s="1"/>
  <c r="AAP35" i="1" s="1"/>
  <c r="AAQ35" i="1" s="1"/>
  <c r="AAR35" i="1" s="1"/>
  <c r="AAS35" i="1" s="1"/>
  <c r="AAT35" i="1" s="1"/>
  <c r="AAU35" i="1" s="1"/>
  <c r="AAV35" i="1" s="1"/>
  <c r="AAW35" i="1" s="1"/>
  <c r="AAX35" i="1" s="1"/>
  <c r="AAY35" i="1" s="1"/>
  <c r="AAZ35" i="1" s="1"/>
  <c r="ABA35" i="1" s="1"/>
  <c r="ABB35" i="1" s="1"/>
  <c r="ABC35" i="1" s="1"/>
  <c r="ABD35" i="1" s="1"/>
  <c r="ABE35" i="1" s="1"/>
  <c r="ABF35" i="1" s="1"/>
  <c r="ABG35" i="1" s="1"/>
  <c r="ABH35" i="1" s="1"/>
  <c r="ABI35" i="1" s="1"/>
  <c r="ABJ35" i="1" s="1"/>
  <c r="ABK35" i="1" s="1"/>
  <c r="ABL35" i="1" s="1"/>
  <c r="ABM35" i="1" s="1"/>
  <c r="ABN35" i="1" s="1"/>
  <c r="ABO35" i="1" s="1"/>
  <c r="ABP35" i="1" s="1"/>
  <c r="ABQ35" i="1" s="1"/>
  <c r="ABR35" i="1" s="1"/>
  <c r="ABS35" i="1" s="1"/>
  <c r="ABT35" i="1" s="1"/>
  <c r="ABU35" i="1" s="1"/>
  <c r="ABV35" i="1" s="1"/>
  <c r="ABW35" i="1" s="1"/>
  <c r="ABX35" i="1" s="1"/>
  <c r="ABY35" i="1" s="1"/>
  <c r="ABZ35" i="1" s="1"/>
  <c r="ACA35" i="1" s="1"/>
  <c r="ACB35" i="1" s="1"/>
  <c r="ACC35" i="1" s="1"/>
  <c r="ACD35" i="1" s="1"/>
  <c r="ACE35" i="1" s="1"/>
  <c r="ACF35" i="1" s="1"/>
  <c r="ACG35" i="1" s="1"/>
  <c r="ACH35" i="1" s="1"/>
  <c r="ACI35" i="1" s="1"/>
  <c r="ACJ35" i="1" s="1"/>
  <c r="ACK35" i="1" s="1"/>
  <c r="ACL35" i="1" s="1"/>
  <c r="ACM35" i="1" s="1"/>
  <c r="ACN35" i="1" s="1"/>
  <c r="ACO35" i="1" s="1"/>
  <c r="ACP35" i="1" s="1"/>
  <c r="ACQ35" i="1" s="1"/>
  <c r="ACR35" i="1" s="1"/>
  <c r="ACS35" i="1" s="1"/>
  <c r="ACT35" i="1" s="1"/>
  <c r="ACU35" i="1" s="1"/>
  <c r="ACV35" i="1" s="1"/>
  <c r="ACW35" i="1" s="1"/>
  <c r="ACX35" i="1" s="1"/>
  <c r="ACY35" i="1" s="1"/>
  <c r="ACZ35" i="1" s="1"/>
  <c r="ADA35" i="1" s="1"/>
  <c r="ADB35" i="1" s="1"/>
  <c r="ADC35" i="1" s="1"/>
  <c r="ADD35" i="1" s="1"/>
  <c r="ADE35" i="1" s="1"/>
  <c r="ADF35" i="1" s="1"/>
  <c r="ADG35" i="1" s="1"/>
  <c r="ADH35" i="1" s="1"/>
  <c r="ADI35" i="1" s="1"/>
  <c r="ADJ35" i="1" s="1"/>
  <c r="ADK35" i="1" s="1"/>
  <c r="ADL35" i="1" s="1"/>
  <c r="ADM35" i="1" s="1"/>
  <c r="ADN35" i="1" s="1"/>
  <c r="ADO35" i="1" s="1"/>
  <c r="ADP35" i="1" s="1"/>
  <c r="ADQ35" i="1" s="1"/>
  <c r="ADR35" i="1" s="1"/>
  <c r="ADS35" i="1" s="1"/>
  <c r="ADT35" i="1" s="1"/>
  <c r="ADU35" i="1" s="1"/>
  <c r="ADV35" i="1" s="1"/>
  <c r="ADW35" i="1" s="1"/>
  <c r="ADX35" i="1" s="1"/>
  <c r="ADY35" i="1" s="1"/>
  <c r="ADZ35" i="1" s="1"/>
  <c r="AEA35" i="1" s="1"/>
  <c r="AEB35" i="1" s="1"/>
  <c r="AEC35" i="1" s="1"/>
  <c r="AED35" i="1" s="1"/>
  <c r="AEE35" i="1" s="1"/>
  <c r="AEF35" i="1" s="1"/>
  <c r="AEG35" i="1" s="1"/>
  <c r="AEH35" i="1" s="1"/>
  <c r="AEI35" i="1" s="1"/>
  <c r="AEJ35" i="1" s="1"/>
  <c r="AEK35" i="1" s="1"/>
  <c r="AEL35" i="1" s="1"/>
  <c r="AEM35" i="1" s="1"/>
  <c r="AEN35" i="1" s="1"/>
  <c r="AEO35" i="1" s="1"/>
  <c r="AEP35" i="1" s="1"/>
  <c r="AEQ35" i="1" s="1"/>
  <c r="AER35" i="1" s="1"/>
  <c r="AES35" i="1" s="1"/>
  <c r="AET35" i="1" s="1"/>
  <c r="AEU35" i="1" s="1"/>
  <c r="AEV35" i="1" s="1"/>
  <c r="AEW35" i="1" s="1"/>
  <c r="AEX35" i="1" s="1"/>
  <c r="AEY35" i="1" s="1"/>
  <c r="AEZ35" i="1" s="1"/>
  <c r="AFA35" i="1" s="1"/>
  <c r="AFB35" i="1" s="1"/>
  <c r="AFC35" i="1" s="1"/>
  <c r="AFD35" i="1" s="1"/>
  <c r="AFE35" i="1" s="1"/>
  <c r="AFF35" i="1" s="1"/>
  <c r="AFG35" i="1" s="1"/>
  <c r="AFH35" i="1" s="1"/>
  <c r="AFI35" i="1" s="1"/>
  <c r="AFJ35" i="1" s="1"/>
  <c r="AFK35" i="1" s="1"/>
  <c r="AFL35" i="1" s="1"/>
  <c r="AFM35" i="1" s="1"/>
  <c r="AFN35" i="1" s="1"/>
  <c r="AFO35" i="1" s="1"/>
  <c r="AFP35" i="1" s="1"/>
  <c r="AFQ35" i="1" s="1"/>
  <c r="AFR35" i="1" s="1"/>
  <c r="AFS35" i="1" s="1"/>
  <c r="AFT35" i="1" s="1"/>
  <c r="AFU35" i="1" s="1"/>
  <c r="AFV35" i="1" s="1"/>
  <c r="AFW35" i="1" s="1"/>
  <c r="AFX35" i="1" s="1"/>
  <c r="AFY35" i="1" s="1"/>
  <c r="AFZ35" i="1" s="1"/>
  <c r="AGA35" i="1" s="1"/>
  <c r="AGB35" i="1" s="1"/>
  <c r="AGC35" i="1" s="1"/>
  <c r="AGD35" i="1" s="1"/>
  <c r="AGE35" i="1" s="1"/>
  <c r="AGF35" i="1" s="1"/>
  <c r="AGG35" i="1" s="1"/>
  <c r="AGH35" i="1" s="1"/>
  <c r="AGI35" i="1" s="1"/>
  <c r="AGJ35" i="1" s="1"/>
  <c r="AGK35" i="1" s="1"/>
  <c r="AGL35" i="1" s="1"/>
  <c r="AGM35" i="1" s="1"/>
  <c r="AGN35" i="1" s="1"/>
  <c r="AGO35" i="1" s="1"/>
  <c r="AGP35" i="1" s="1"/>
  <c r="AGQ35" i="1" s="1"/>
  <c r="AGR35" i="1" s="1"/>
  <c r="AGS35" i="1" s="1"/>
  <c r="AGT35" i="1" s="1"/>
  <c r="AGU35" i="1" s="1"/>
  <c r="AGV35" i="1" s="1"/>
  <c r="AGW35" i="1" s="1"/>
  <c r="AGX35" i="1" s="1"/>
  <c r="AGY35" i="1" s="1"/>
  <c r="AGZ35" i="1" s="1"/>
  <c r="AHA35" i="1" s="1"/>
  <c r="AHB35" i="1" s="1"/>
  <c r="AHC35" i="1" s="1"/>
  <c r="AHD35" i="1" s="1"/>
  <c r="AHE35" i="1" s="1"/>
  <c r="AHF35" i="1" s="1"/>
  <c r="AHG35" i="1" s="1"/>
  <c r="AHH35" i="1" s="1"/>
  <c r="AHI35" i="1" s="1"/>
  <c r="AHJ35" i="1" s="1"/>
  <c r="AHK35" i="1" s="1"/>
  <c r="AHL35" i="1" s="1"/>
  <c r="AHM35" i="1" s="1"/>
  <c r="AHN35" i="1" s="1"/>
  <c r="AHO35" i="1" s="1"/>
  <c r="AHP35" i="1" s="1"/>
  <c r="AHQ35" i="1" s="1"/>
  <c r="AHR35" i="1" s="1"/>
  <c r="AHS35" i="1" s="1"/>
  <c r="AHT35" i="1" s="1"/>
  <c r="AHU35" i="1" s="1"/>
  <c r="AHV35" i="1" s="1"/>
  <c r="AHW35" i="1" s="1"/>
  <c r="AHX35" i="1" s="1"/>
  <c r="AHY35" i="1" s="1"/>
  <c r="AHZ35" i="1" s="1"/>
  <c r="AIA35" i="1" s="1"/>
  <c r="AIB35" i="1" s="1"/>
  <c r="AIC35" i="1" s="1"/>
  <c r="AID35" i="1" s="1"/>
  <c r="AIE35" i="1" s="1"/>
  <c r="AIF35" i="1" s="1"/>
  <c r="AIG35" i="1" s="1"/>
  <c r="AIH35" i="1" s="1"/>
  <c r="AII35" i="1" s="1"/>
  <c r="AIJ35" i="1" s="1"/>
  <c r="AIK35" i="1" s="1"/>
  <c r="AIL35" i="1" s="1"/>
  <c r="AIM35" i="1" s="1"/>
  <c r="AIN35" i="1" s="1"/>
  <c r="AIO35" i="1" s="1"/>
  <c r="AIP35" i="1" s="1"/>
  <c r="AIQ35" i="1" s="1"/>
  <c r="AIR35" i="1" s="1"/>
  <c r="AIS35" i="1" s="1"/>
  <c r="AIT35" i="1" s="1"/>
  <c r="AIU35" i="1" s="1"/>
  <c r="AIV35" i="1" s="1"/>
  <c r="AIW35" i="1" s="1"/>
  <c r="AIX35" i="1" s="1"/>
  <c r="AIY35" i="1" s="1"/>
  <c r="AIZ35" i="1" s="1"/>
  <c r="AJA35" i="1" s="1"/>
  <c r="AJB35" i="1" s="1"/>
  <c r="AJC35" i="1" s="1"/>
  <c r="AJD35" i="1" s="1"/>
  <c r="AJE35" i="1" s="1"/>
  <c r="AJF35" i="1" s="1"/>
  <c r="AJG35" i="1" s="1"/>
  <c r="AJH35" i="1" s="1"/>
  <c r="AJI35" i="1" s="1"/>
  <c r="AJJ35" i="1" s="1"/>
  <c r="AJK35" i="1" s="1"/>
  <c r="AJL35" i="1" s="1"/>
  <c r="AJM35" i="1" s="1"/>
  <c r="AJN35" i="1" s="1"/>
  <c r="AJO35" i="1" s="1"/>
  <c r="AJP35" i="1" s="1"/>
  <c r="AJQ35" i="1" s="1"/>
  <c r="AJR35" i="1" s="1"/>
  <c r="AJS35" i="1" s="1"/>
  <c r="AJT35" i="1" s="1"/>
  <c r="AJU35" i="1" s="1"/>
  <c r="AJV35" i="1" s="1"/>
  <c r="AJW35" i="1" s="1"/>
  <c r="AJX35" i="1" s="1"/>
  <c r="AJY35" i="1" s="1"/>
  <c r="AJZ35" i="1" s="1"/>
  <c r="AKA35" i="1" s="1"/>
  <c r="AKB35" i="1" s="1"/>
  <c r="AKC35" i="1" s="1"/>
  <c r="AKD35" i="1" s="1"/>
  <c r="AKE35" i="1" s="1"/>
  <c r="AKF35" i="1" s="1"/>
  <c r="AKG35" i="1" s="1"/>
  <c r="AKH35" i="1" s="1"/>
  <c r="AKI35" i="1" s="1"/>
  <c r="AKJ35" i="1" s="1"/>
  <c r="AKK35" i="1" s="1"/>
  <c r="AKL35" i="1" s="1"/>
  <c r="AKM35" i="1" s="1"/>
  <c r="AKN35" i="1" s="1"/>
  <c r="AKO35" i="1" s="1"/>
  <c r="AKP35" i="1" s="1"/>
  <c r="AKQ35" i="1" s="1"/>
  <c r="AKR35" i="1" s="1"/>
  <c r="AKS35" i="1" s="1"/>
  <c r="AKT35" i="1" s="1"/>
  <c r="AKU35" i="1" s="1"/>
  <c r="AKV35" i="1" s="1"/>
  <c r="AKW35" i="1" s="1"/>
  <c r="AKX35" i="1" s="1"/>
  <c r="AKY35" i="1" s="1"/>
  <c r="AKZ35" i="1" s="1"/>
  <c r="ALA35" i="1" s="1"/>
  <c r="ALB35" i="1" s="1"/>
  <c r="ALC35" i="1" s="1"/>
  <c r="ALD35" i="1" s="1"/>
  <c r="ALE35" i="1" s="1"/>
  <c r="ALF35" i="1" s="1"/>
  <c r="ALG35" i="1" s="1"/>
  <c r="ALH35" i="1" s="1"/>
  <c r="ALI35" i="1" s="1"/>
  <c r="ALJ35" i="1" s="1"/>
  <c r="ALK35" i="1" s="1"/>
  <c r="ALL35" i="1" s="1"/>
  <c r="ALM35" i="1" s="1"/>
  <c r="ALN35" i="1" s="1"/>
  <c r="ALO35" i="1" s="1"/>
  <c r="ALP35" i="1" s="1"/>
  <c r="ALQ35" i="1" s="1"/>
  <c r="ALR35" i="1" s="1"/>
  <c r="ALS35" i="1" s="1"/>
  <c r="ALT35" i="1" s="1"/>
  <c r="ALU35" i="1" s="1"/>
  <c r="ALV35" i="1" s="1"/>
  <c r="ALW35" i="1" s="1"/>
  <c r="ALX35" i="1" s="1"/>
  <c r="ALY35" i="1" s="1"/>
  <c r="ALZ35" i="1" s="1"/>
  <c r="AMA35" i="1" s="1"/>
  <c r="AMB35" i="1" s="1"/>
  <c r="AMC35" i="1" s="1"/>
  <c r="AMD35" i="1" s="1"/>
  <c r="AME35" i="1" s="1"/>
  <c r="AMF35" i="1" s="1"/>
  <c r="AMG35" i="1" s="1"/>
  <c r="AMH35" i="1" s="1"/>
  <c r="AMI35" i="1" s="1"/>
  <c r="AMJ35" i="1" s="1"/>
  <c r="AMK35" i="1" s="1"/>
  <c r="AML35" i="1" s="1"/>
  <c r="AMM35" i="1" s="1"/>
  <c r="AMN35" i="1" s="1"/>
  <c r="AMO35" i="1" s="1"/>
  <c r="AMP35" i="1" s="1"/>
  <c r="AMQ35" i="1" s="1"/>
  <c r="AMR35" i="1" s="1"/>
  <c r="AMS35" i="1" s="1"/>
  <c r="AMT35" i="1" s="1"/>
  <c r="AMU35" i="1" s="1"/>
  <c r="AMV35" i="1" s="1"/>
  <c r="AMW35" i="1" s="1"/>
  <c r="AMX35" i="1" s="1"/>
  <c r="AMY35" i="1" s="1"/>
  <c r="AMZ35" i="1" s="1"/>
  <c r="ANA35" i="1" s="1"/>
  <c r="ANB35" i="1" s="1"/>
  <c r="ANC35" i="1" s="1"/>
  <c r="AND35" i="1" s="1"/>
  <c r="ANE35" i="1" s="1"/>
  <c r="ANF35" i="1" s="1"/>
  <c r="ANG35" i="1" s="1"/>
  <c r="ANH35" i="1" s="1"/>
  <c r="ANI35" i="1" s="1"/>
  <c r="ANJ35" i="1" s="1"/>
  <c r="ANK35" i="1" s="1"/>
  <c r="ANL35" i="1" s="1"/>
  <c r="ANM35" i="1" s="1"/>
  <c r="ANN35" i="1" s="1"/>
  <c r="ANO35" i="1" s="1"/>
  <c r="ANP35" i="1" s="1"/>
  <c r="ANQ35" i="1" s="1"/>
  <c r="ANR35" i="1" s="1"/>
  <c r="ANS35" i="1" s="1"/>
  <c r="ANT35" i="1" s="1"/>
  <c r="ANU35" i="1" s="1"/>
  <c r="ANV35" i="1" s="1"/>
  <c r="ANW35" i="1" s="1"/>
  <c r="ANX35" i="1" s="1"/>
  <c r="ANY35" i="1" s="1"/>
  <c r="ANZ35" i="1" s="1"/>
  <c r="AOA35" i="1" s="1"/>
  <c r="AOB35" i="1" s="1"/>
  <c r="AOC35" i="1" s="1"/>
  <c r="AOD35" i="1" s="1"/>
  <c r="AOE35" i="1" s="1"/>
  <c r="AOF35" i="1" s="1"/>
  <c r="AOG35" i="1" s="1"/>
  <c r="AOH35" i="1" s="1"/>
  <c r="AOI35" i="1" s="1"/>
  <c r="AOJ35" i="1" s="1"/>
  <c r="AOK35" i="1" s="1"/>
  <c r="AOL35" i="1" s="1"/>
  <c r="AOM35" i="1" s="1"/>
  <c r="AON35" i="1" s="1"/>
  <c r="AOO35" i="1" s="1"/>
  <c r="AOP35" i="1" s="1"/>
  <c r="AOQ35" i="1" s="1"/>
  <c r="AOR35" i="1" s="1"/>
  <c r="AOS35" i="1" s="1"/>
  <c r="AOT35" i="1" s="1"/>
  <c r="AOU35" i="1" s="1"/>
  <c r="AOV35" i="1" s="1"/>
  <c r="AOW35" i="1" s="1"/>
  <c r="AOX35" i="1" s="1"/>
  <c r="AOY35" i="1" s="1"/>
  <c r="AOZ35" i="1" s="1"/>
  <c r="APA35" i="1" s="1"/>
  <c r="APB35" i="1" s="1"/>
  <c r="APC35" i="1" s="1"/>
  <c r="APD35" i="1" s="1"/>
  <c r="APE35" i="1" s="1"/>
  <c r="APF35" i="1" s="1"/>
  <c r="APG35" i="1" s="1"/>
  <c r="APH35" i="1" s="1"/>
  <c r="API35" i="1" s="1"/>
  <c r="APJ35" i="1" s="1"/>
  <c r="APK35" i="1" s="1"/>
  <c r="APL35" i="1" s="1"/>
  <c r="APM35" i="1" s="1"/>
  <c r="APN35" i="1" s="1"/>
  <c r="APO35" i="1" s="1"/>
  <c r="APP35" i="1" s="1"/>
  <c r="APQ35" i="1" s="1"/>
  <c r="APR35" i="1" s="1"/>
  <c r="APS35" i="1" s="1"/>
  <c r="APT35" i="1" s="1"/>
  <c r="APU35" i="1" s="1"/>
  <c r="APV35" i="1" s="1"/>
  <c r="APW35" i="1" s="1"/>
  <c r="APX35" i="1" s="1"/>
  <c r="APY35" i="1" s="1"/>
  <c r="APZ35" i="1" s="1"/>
  <c r="AQA35" i="1" s="1"/>
  <c r="AQB35" i="1" s="1"/>
  <c r="AQC35" i="1" s="1"/>
  <c r="AQD35" i="1" s="1"/>
  <c r="AQE35" i="1" s="1"/>
  <c r="AQF35" i="1" s="1"/>
  <c r="AQG35" i="1" s="1"/>
  <c r="AQH35" i="1" s="1"/>
  <c r="AQI35" i="1" s="1"/>
  <c r="AQJ35" i="1" s="1"/>
  <c r="AQK35" i="1" s="1"/>
  <c r="AQL35" i="1" s="1"/>
  <c r="AQM35" i="1" s="1"/>
  <c r="AQN35" i="1" s="1"/>
  <c r="AQO35" i="1" s="1"/>
  <c r="AQP35" i="1" s="1"/>
  <c r="AQQ35" i="1" s="1"/>
  <c r="AQR35" i="1" s="1"/>
  <c r="AQS35" i="1" s="1"/>
  <c r="AQT35" i="1" s="1"/>
  <c r="AQU35" i="1" s="1"/>
  <c r="AQV35" i="1" s="1"/>
  <c r="AQW35" i="1" s="1"/>
  <c r="AQX35" i="1" s="1"/>
  <c r="AQY35" i="1" s="1"/>
  <c r="AQZ35" i="1" s="1"/>
  <c r="ARA35" i="1" s="1"/>
  <c r="ARB35" i="1" s="1"/>
  <c r="ARC35" i="1" s="1"/>
  <c r="ARD35" i="1" s="1"/>
  <c r="ARE35" i="1" s="1"/>
  <c r="ARF35" i="1" s="1"/>
  <c r="ARG35" i="1" s="1"/>
  <c r="ARH35" i="1" s="1"/>
  <c r="ARI35" i="1" s="1"/>
  <c r="ARJ35" i="1" s="1"/>
  <c r="ARK35" i="1" s="1"/>
  <c r="ARL35" i="1" s="1"/>
  <c r="ARM35" i="1" s="1"/>
  <c r="ARN35" i="1" s="1"/>
  <c r="ARO35" i="1" s="1"/>
  <c r="ARP35" i="1" s="1"/>
  <c r="ARQ35" i="1" s="1"/>
  <c r="ARR35" i="1" s="1"/>
  <c r="ARS35" i="1" s="1"/>
  <c r="ART35" i="1" s="1"/>
  <c r="ARU35" i="1" s="1"/>
  <c r="ARV35" i="1" s="1"/>
  <c r="ARW35" i="1" s="1"/>
  <c r="ARX35" i="1" s="1"/>
  <c r="ARY35" i="1" s="1"/>
  <c r="ARZ35" i="1" s="1"/>
  <c r="ASA35" i="1" s="1"/>
  <c r="ASB35" i="1" s="1"/>
  <c r="ASC35" i="1" s="1"/>
  <c r="ASD35" i="1" s="1"/>
  <c r="ASE35" i="1" s="1"/>
  <c r="ASF35" i="1" s="1"/>
  <c r="ASG35" i="1" s="1"/>
  <c r="ASH35" i="1" s="1"/>
  <c r="ASI35" i="1" s="1"/>
  <c r="ASJ35" i="1" s="1"/>
  <c r="ASK35" i="1" s="1"/>
  <c r="ASL35" i="1" s="1"/>
  <c r="ASM35" i="1" s="1"/>
  <c r="ASN35" i="1" s="1"/>
  <c r="ASO35" i="1" s="1"/>
  <c r="ASP35" i="1" s="1"/>
  <c r="ASQ35" i="1" s="1"/>
  <c r="ASR35" i="1" s="1"/>
  <c r="ASS35" i="1" s="1"/>
  <c r="AST35" i="1" s="1"/>
  <c r="ASU35" i="1" s="1"/>
  <c r="ASV35" i="1" s="1"/>
  <c r="ASW35" i="1" s="1"/>
  <c r="ASX35" i="1" s="1"/>
  <c r="ASY35" i="1" s="1"/>
  <c r="ASZ35" i="1" s="1"/>
  <c r="ATA35" i="1" s="1"/>
  <c r="ATB35" i="1" s="1"/>
  <c r="ATC35" i="1" s="1"/>
  <c r="ATD35" i="1" s="1"/>
  <c r="ATE35" i="1" s="1"/>
  <c r="ATF35" i="1" s="1"/>
  <c r="ATG35" i="1" s="1"/>
  <c r="ATH35" i="1" s="1"/>
  <c r="ATI35" i="1" s="1"/>
  <c r="ATJ35" i="1" s="1"/>
  <c r="ATK35" i="1" s="1"/>
  <c r="ATL35" i="1" s="1"/>
  <c r="ATM35" i="1" s="1"/>
  <c r="ATN35" i="1" s="1"/>
  <c r="ATO35" i="1" s="1"/>
  <c r="ATP35" i="1" s="1"/>
  <c r="AS42" i="1"/>
  <c r="AR44" i="1"/>
  <c r="AQ53" i="1"/>
  <c r="AW43" i="1" l="1"/>
  <c r="AW45" i="1" s="1"/>
  <c r="AW46" i="1" s="1"/>
  <c r="AW48" i="1" s="1"/>
  <c r="AP55" i="1"/>
  <c r="AP39" i="1"/>
  <c r="AR43" i="1"/>
  <c r="AQ43" i="1"/>
  <c r="AQ37" i="1"/>
  <c r="AS44" i="1"/>
  <c r="AQ55" i="1" l="1"/>
  <c r="AQ39" i="1"/>
  <c r="AR37" i="1"/>
  <c r="AR39" i="1" s="1"/>
  <c r="AR53" i="1"/>
  <c r="AS53" i="1"/>
  <c r="AR55" i="1" l="1"/>
  <c r="AS43" i="1"/>
  <c r="AS37" i="1"/>
  <c r="AS55" i="1" l="1"/>
  <c r="AS3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<sst xmlns="http://schemas.openxmlformats.org/spreadsheetml/2006/main" count="132" uniqueCount="120">
  <si>
    <t>COGS</t>
  </si>
  <si>
    <t>Gross Profit</t>
  </si>
  <si>
    <t>Gross Margin %</t>
  </si>
  <si>
    <t>R&amp;D</t>
  </si>
  <si>
    <t>SG&amp;A</t>
  </si>
  <si>
    <t>Operating Expenses</t>
  </si>
  <si>
    <t>Operating Profit</t>
  </si>
  <si>
    <t>Operating Margin %</t>
  </si>
  <si>
    <t>Pretax Income</t>
  </si>
  <si>
    <t>Taxes</t>
  </si>
  <si>
    <t>Net Income</t>
  </si>
  <si>
    <t>Net Margin %</t>
  </si>
  <si>
    <t>Tax Rate</t>
  </si>
  <si>
    <t>Shares</t>
  </si>
  <si>
    <t>EPS</t>
  </si>
  <si>
    <t>Revenue Y/Y</t>
  </si>
  <si>
    <t>Income Statement</t>
  </si>
  <si>
    <t>Balance Sheet</t>
  </si>
  <si>
    <t>Cash</t>
  </si>
  <si>
    <t>A/R</t>
  </si>
  <si>
    <t>Vendor NTR</t>
  </si>
  <si>
    <t>OCA</t>
  </si>
  <si>
    <t>PP&amp;E</t>
  </si>
  <si>
    <t>Goodwill+Intangibles</t>
  </si>
  <si>
    <t>ONCA</t>
  </si>
  <si>
    <t>Assets</t>
  </si>
  <si>
    <t>Inventories</t>
  </si>
  <si>
    <t>A/P</t>
  </si>
  <si>
    <t>A/E</t>
  </si>
  <si>
    <t>D/R</t>
  </si>
  <si>
    <t>Debt</t>
  </si>
  <si>
    <t>ONCL</t>
  </si>
  <si>
    <t>Liabilities</t>
  </si>
  <si>
    <t>S/E</t>
  </si>
  <si>
    <t>L+S/E</t>
  </si>
  <si>
    <t>Discount Rate</t>
  </si>
  <si>
    <t>NPV</t>
  </si>
  <si>
    <t>Net Cash</t>
  </si>
  <si>
    <t>Price</t>
  </si>
  <si>
    <t>EV</t>
  </si>
  <si>
    <t>Total Value</t>
  </si>
  <si>
    <t>Per Share</t>
  </si>
  <si>
    <t>Current</t>
  </si>
  <si>
    <t>Maturity Value</t>
  </si>
  <si>
    <t>Company</t>
  </si>
  <si>
    <t>Market Cap</t>
  </si>
  <si>
    <t>Equity</t>
  </si>
  <si>
    <t>D+E</t>
  </si>
  <si>
    <t>Wdebt</t>
  </si>
  <si>
    <t>Wequity</t>
  </si>
  <si>
    <t>Tax rate</t>
  </si>
  <si>
    <t>Interest expense</t>
  </si>
  <si>
    <t>Cost of debt</t>
  </si>
  <si>
    <t>Risk-free rate</t>
  </si>
  <si>
    <t>Beta</t>
  </si>
  <si>
    <t>Market return</t>
  </si>
  <si>
    <t>Cost of equity</t>
  </si>
  <si>
    <t>WACC</t>
  </si>
  <si>
    <t xml:space="preserve">average </t>
  </si>
  <si>
    <t>Difference</t>
  </si>
  <si>
    <t>Source</t>
  </si>
  <si>
    <t>Products</t>
  </si>
  <si>
    <t>Services</t>
  </si>
  <si>
    <t>Total Revenue</t>
  </si>
  <si>
    <t>OCL</t>
  </si>
  <si>
    <t>ROE</t>
  </si>
  <si>
    <t>TTM Cash Flow (NI)</t>
  </si>
  <si>
    <t>ROA</t>
  </si>
  <si>
    <t>ROTB</t>
  </si>
  <si>
    <t>ROIC (Buffett Return)</t>
  </si>
  <si>
    <t>COGS Y/Y</t>
  </si>
  <si>
    <t>Opex Y/Y</t>
  </si>
  <si>
    <t>NI Y/Y</t>
  </si>
  <si>
    <t>Shares Y/Y</t>
  </si>
  <si>
    <t>EPS Y/Y</t>
  </si>
  <si>
    <t>R&amp;D Y/Y</t>
  </si>
  <si>
    <t>SG&amp;A Y/Y</t>
  </si>
  <si>
    <t>1Q21</t>
  </si>
  <si>
    <t>Interest/Other Income</t>
  </si>
  <si>
    <t>1Q18</t>
  </si>
  <si>
    <t>2Q18</t>
  </si>
  <si>
    <t>3Q18</t>
  </si>
  <si>
    <t>4Q18</t>
  </si>
  <si>
    <t>1Q19</t>
  </si>
  <si>
    <t>2Q19</t>
  </si>
  <si>
    <t>3Q19</t>
  </si>
  <si>
    <t>4Q19</t>
  </si>
  <si>
    <t>1Q20</t>
  </si>
  <si>
    <t>2Q20</t>
  </si>
  <si>
    <t>3Q20</t>
  </si>
  <si>
    <t>4Q20</t>
  </si>
  <si>
    <t>2Q21</t>
  </si>
  <si>
    <t>3Q21</t>
  </si>
  <si>
    <t>4Q21</t>
  </si>
  <si>
    <t>1Q22</t>
  </si>
  <si>
    <t>2Q22</t>
  </si>
  <si>
    <t>3Q22</t>
  </si>
  <si>
    <t>4Q22</t>
  </si>
  <si>
    <t>Cost of Products</t>
  </si>
  <si>
    <t>Cost of Services</t>
  </si>
  <si>
    <t>average</t>
  </si>
  <si>
    <t>5yr t-bond</t>
  </si>
  <si>
    <t>1Q23</t>
  </si>
  <si>
    <t>2Q23</t>
  </si>
  <si>
    <t>3Q23</t>
  </si>
  <si>
    <t>4Q23</t>
  </si>
  <si>
    <t>Sales by Segment</t>
  </si>
  <si>
    <t>Americas</t>
  </si>
  <si>
    <t>Europe</t>
  </si>
  <si>
    <t>Greater China</t>
  </si>
  <si>
    <t>Japan</t>
  </si>
  <si>
    <t>Rest of Asia Pacific</t>
  </si>
  <si>
    <t>Sales by Category</t>
  </si>
  <si>
    <t>iPhone</t>
  </si>
  <si>
    <t>Mac</t>
  </si>
  <si>
    <t>iPad</t>
  </si>
  <si>
    <t>Wearables, Home &amp; Accessories</t>
  </si>
  <si>
    <t>Total Net Sales</t>
  </si>
  <si>
    <t>koyfin 6/14/23</t>
  </si>
  <si>
    <t>10K22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</si>
</sst>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9" x14ac:knownFonts="1">
    <font>
      <sz val="11"/>
      <color theme="1"/>
      <name val="Calibri"/>
      <family val="2"/>
      <scheme val="minor"/>
    </font>
    <font>
      <sz val="11"/>
      <color theme="1"/>
      <name val="Arial"/>
      <family val="2"/>
    </font>
    <font>
      <sz val="11"/>
      <color theme="1"/>
      <name val="Arial"/>
      <family val="2"/>
    </font>
    <font>
      <sz val="11"/>
      <color theme="1"/>
      <name val="Calibri"/>
      <family val="2"/>
      <scheme val="minor"/>
    </font>
    <font>
      <u/>
      <sz val="11"/>
      <color theme="10"/>
      <name val="Calibri"/>
      <family val="2"/>
      <scheme val="minor"/>
    </font>
    <font>
      <sz val="8"/>
      <name val="Calibri"/>
      <family val="2"/>
      <scheme val="minor"/>
    </font>
    <font>
      <b/>
      <sz val="11"/>
      <color theme="1"/>
      <name val="Arial"/>
      <family val="2"/>
    </font>
    <font>
      <u/>
      <sz val="11"/>
      <color theme="10"/>
      <name val="Arial"/>
      <family val="2"/>
    </font>
    <font>
      <u/>
      <sz val="11"/>
      <color theme="1"/>
      <name val="Arial"/>
      <family val="2"/>
    </font>
  </fonts>
  <fills count="2">
    <fill>
      <patternFill patternType="none"/>
    </fill>
    <fill>
      <patternFill patternType="gray125"/>
    </fill>
  </fills>
  <borders count="7">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9" fontId="3" fillId="0" borderId="0" applyFont="0" applyFill="0" applyBorder="0" applyAlignment="0" applyProtection="0"/>
    <xf numFmtId="0" fontId="4" fillId="0" borderId="0" applyNumberFormat="0" applyFill="0" applyBorder="0" applyAlignment="0" applyProtection="0"/>
  </cellStyleXfs>
  <cellXfs count="35">
    <xf numFmtId="0" fontId="0" fillId="0" borderId="0" xfId="0"/>
    <xf numFmtId="0" fontId="2" fillId="0" borderId="0" xfId="0" applyFont="1"/>
    <xf numFmtId="0" fontId="2" fillId="0" borderId="0" xfId="0" applyFont="1" applyAlignment="1">
      <alignment horizontal="right"/>
    </xf>
    <xf numFmtId="14" fontId="2" fillId="0" borderId="0" xfId="0" applyNumberFormat="1" applyFont="1"/>
    <xf numFmtId="14" fontId="2" fillId="0" borderId="0" xfId="0" applyNumberFormat="1" applyFont="1" applyAlignment="1">
      <alignment horizontal="right"/>
    </xf>
    <xf numFmtId="9" fontId="2" fillId="0" borderId="0" xfId="1" applyFont="1"/>
    <xf numFmtId="3" fontId="2" fillId="0" borderId="0" xfId="0" applyNumberFormat="1" applyFont="1" applyAlignment="1">
      <alignment horizontal="right"/>
    </xf>
    <xf numFmtId="3" fontId="2" fillId="0" borderId="0" xfId="0" applyNumberFormat="1" applyFont="1"/>
    <xf numFmtId="3" fontId="2" fillId="0" borderId="0" xfId="1" applyNumberFormat="1" applyFont="1"/>
    <xf numFmtId="3" fontId="6" fillId="0" borderId="0" xfId="0" applyNumberFormat="1" applyFont="1"/>
    <xf numFmtId="4" fontId="2" fillId="0" borderId="0" xfId="0" applyNumberFormat="1" applyFont="1"/>
    <xf numFmtId="9" fontId="2" fillId="0" borderId="0" xfId="0" applyNumberFormat="1" applyFont="1"/>
    <xf numFmtId="9" fontId="6" fillId="0" borderId="0" xfId="1" applyFont="1"/>
    <xf numFmtId="10" fontId="2" fillId="0" borderId="0" xfId="1" applyNumberFormat="1" applyFont="1"/>
    <xf numFmtId="0" fontId="6" fillId="0" borderId="0" xfId="0" applyFont="1"/>
    <xf numFmtId="10" fontId="6" fillId="0" borderId="0" xfId="1" applyNumberFormat="1" applyFont="1"/>
    <xf numFmtId="0" fontId="7" fillId="0" borderId="0" xfId="2" applyFont="1"/>
    <xf numFmtId="0" fontId="2" fillId="0" borderId="3" xfId="0" applyFont="1" applyBorder="1"/>
    <xf numFmtId="0" fontId="2" fillId="0" borderId="1" xfId="0" applyFont="1" applyBorder="1"/>
    <xf numFmtId="0" fontId="2" fillId="0" borderId="4" xfId="0" applyFont="1" applyBorder="1"/>
    <xf numFmtId="0" fontId="2" fillId="0" borderId="5" xfId="0" applyFont="1" applyBorder="1"/>
    <xf numFmtId="164" fontId="2" fillId="0" borderId="0" xfId="0" applyNumberFormat="1" applyFont="1" applyAlignment="1">
      <alignment horizontal="right"/>
    </xf>
    <xf numFmtId="0" fontId="2" fillId="0" borderId="3" xfId="0" applyFont="1" applyBorder="1" applyAlignment="1">
      <alignment horizontal="right"/>
    </xf>
    <xf numFmtId="0" fontId="2" fillId="0" borderId="5" xfId="0" applyFont="1" applyBorder="1" applyAlignment="1">
      <alignment horizontal="right"/>
    </xf>
    <xf numFmtId="0" fontId="2" fillId="0" borderId="6" xfId="0" applyFont="1" applyBorder="1"/>
    <xf numFmtId="3" fontId="2" fillId="0" borderId="2" xfId="0" applyNumberFormat="1" applyFont="1" applyBorder="1" applyAlignment="1">
      <alignment horizontal="right"/>
    </xf>
    <xf numFmtId="0" fontId="2" fillId="0" borderId="6" xfId="0" applyFont="1" applyBorder="1" applyAlignment="1">
      <alignment horizontal="right"/>
    </xf>
    <xf numFmtId="10" fontId="2" fillId="0" borderId="0" xfId="0" applyNumberFormat="1" applyFont="1"/>
    <xf numFmtId="0" fontId="1" fillId="0" borderId="0" xfId="0" applyFont="1" applyAlignment="1">
      <alignment horizontal="right"/>
    </xf>
    <xf numFmtId="3" fontId="1" fillId="0" borderId="0" xfId="0" applyNumberFormat="1" applyFont="1"/>
    <xf numFmtId="0" fontId="1" fillId="0" borderId="5" xfId="0" applyFont="1" applyBorder="1" applyAlignment="1">
      <alignment horizontal="right"/>
    </xf>
    <xf numFmtId="0" fontId="1" fillId="0" borderId="0" xfId="0" applyFont="1"/>
    <xf numFmtId="9" fontId="1" fillId="0" borderId="0" xfId="1" applyFont="1"/>
    <xf numFmtId="0" fontId="8" fillId="0" borderId="0" xfId="0" applyFont="1"/>
    <xf numFmtId="3" fontId="8" fillId="0" borderId="0" xfId="0" applyNumberFormat="1" applyFont="1"/>
  </cellXfs>
  <cellStyles count="3">
    <cellStyle name="Hyperlink" xfId="2" builtinId="8"/>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24</xdr:col>
      <xdr:colOff>82550</xdr:colOff>
      <xdr:row>0</xdr:row>
      <xdr:rowOff>82550</xdr:rowOff>
    </xdr:from>
    <xdr:to>
      <xdr:col>24</xdr:col>
      <xdr:colOff>82550</xdr:colOff>
      <xdr:row>91</xdr:row>
      <xdr:rowOff>15875</xdr:rowOff>
    </xdr:to>
    <xdr:cxnSp macro="">
      <xdr:nvCxnSpPr>
        <xdr:cNvPr id="3" name="Straight Connector 2">
          <a:extLst>
            <a:ext uri="{FF2B5EF4-FFF2-40B4-BE49-F238E27FC236}">
              <a16:creationId xmlns:a16="http://schemas.microsoft.com/office/drawing/2014/main" id="{73924AFE-5115-4607-A7EF-0BF89C271872}"/>
            </a:ext>
          </a:extLst>
        </xdr:cNvPr>
        <xdr:cNvCxnSpPr/>
      </xdr:nvCxnSpPr>
      <xdr:spPr>
        <a:xfrm>
          <a:off x="17846675" y="82550"/>
          <a:ext cx="0" cy="135064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44450</xdr:colOff>
      <xdr:row>0</xdr:row>
      <xdr:rowOff>152400</xdr:rowOff>
    </xdr:from>
    <xdr:to>
      <xdr:col>40</xdr:col>
      <xdr:colOff>44450</xdr:colOff>
      <xdr:row>91</xdr:row>
      <xdr:rowOff>82550</xdr:rowOff>
    </xdr:to>
    <xdr:cxnSp macro="">
      <xdr:nvCxnSpPr>
        <xdr:cNvPr id="6" name="Straight Connector 5">
          <a:extLst>
            <a:ext uri="{FF2B5EF4-FFF2-40B4-BE49-F238E27FC236}">
              <a16:creationId xmlns:a16="http://schemas.microsoft.com/office/drawing/2014/main" id="{DE88EB35-FD08-45AD-9EB6-3D5D0472BBD6}"/>
            </a:ext>
          </a:extLst>
        </xdr:cNvPr>
        <xdr:cNvCxnSpPr/>
      </xdr:nvCxnSpPr>
      <xdr:spPr>
        <a:xfrm>
          <a:off x="29867225" y="152400"/>
          <a:ext cx="0" cy="16398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20Dashboard.xlsx" TargetMode="External"/><Relationship Id="rId1" Type="http://schemas.openxmlformats.org/officeDocument/2006/relationships/externalLinkPath" Target="/Users/wlshe/Documents/Models/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Companies"/>
    </sheetNames>
    <sheetDataSet>
      <sheetData sheetId="0">
        <row r="12">
          <cell r="C12">
            <v>3.8899999999999997E-2</v>
          </cell>
        </row>
      </sheetData>
      <sheetData sheetId="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https://www.bing.com/financeapi/forcetrigger?t=a1mou2&amp;q=XNAS%3aAAPL&amp;form=skydnc</v>
    <v>Learn more on Bing</v>
  </rv>
  <rv s="1">
    <v>en-US</v>
    <v>a1mou2</v>
    <v>268435456</v>
    <v>1</v>
    <v>Powered by Refinitiv</v>
    <v>0</v>
    <v>APPLE INC. (XNAS:AAPL)</v>
    <v>2</v>
    <v>3</v>
    <v>Finance</v>
    <v>4</v>
    <v>184.95099999999999</v>
    <v>124.17</v>
    <v>1.28</v>
    <v>0.64</v>
    <v>-2.7179999999999999E-4</v>
    <v>3.4910000000000002E-3</v>
    <v>-0.05</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184.39</v>
    <v>Computers, Phones &amp; Household Electronics</v>
    <v>Stock</v>
    <v>45091.999976793748</v>
    <v>0</v>
    <v>182.02</v>
    <v>2893294365000</v>
    <v>APPLE INC.</v>
    <v>APPLE INC.</v>
    <v>183.37</v>
    <v>31.086200000000002</v>
    <v>183.31</v>
    <v>183.95</v>
    <v>183.9</v>
    <v>15728700000</v>
    <v>AAPL</v>
    <v>APPLE INC. (XNAS:AAPL)</v>
    <v>57462882</v>
    <v>57884627</v>
    <v>1977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03CDE-0A55-4C7B-BD4C-41B81024244E}">
  <dimension ref="A1:M11"/>
  <sheetViews>
    <sheetView workbookViewId="0">
      <selection activeCell="A38" sqref="A38"/>
    </sheetView>
  </sheetViews>
  <sheetFormatPr defaultColWidth="9.1796875" defaultRowHeight="14" x14ac:dyDescent="0.3"/>
  <cols>
    <col min="1" max="1" width="21.81640625" style="1" bestFit="1" customWidth="1"/>
    <col min="2" max="2" width="11.54296875" style="1" bestFit="1" customWidth="1"/>
    <col min="3" max="3" width="28.26953125" style="1" bestFit="1" customWidth="1"/>
    <col min="4" max="4" width="9.26953125" style="1" bestFit="1" customWidth="1"/>
    <col min="5" max="5" width="9.1796875" style="1"/>
    <col min="6" max="6" width="14.1796875" style="1" bestFit="1" customWidth="1"/>
    <col min="7" max="7" width="7.1796875" style="1" bestFit="1" customWidth="1"/>
    <col min="8" max="9" width="9.1796875" style="1"/>
    <col min="10" max="10" width="9.7265625" style="1" bestFit="1" customWidth="1"/>
    <col min="11" max="11" width="39.7265625" style="1" bestFit="1" customWidth="1"/>
    <col min="12" max="12" width="9.1796875" style="1"/>
    <col min="13" max="13" width="9.7265625" style="1" bestFit="1" customWidth="1"/>
    <col min="14" max="14" width="11" style="1" customWidth="1"/>
    <col min="15" max="16384" width="9.1796875" style="1"/>
  </cols>
  <sheetData>
    <row r="1" spans="1:13" x14ac:dyDescent="0.3">
      <c r="A1" s="16"/>
    </row>
    <row r="3" spans="1:13" x14ac:dyDescent="0.3">
      <c r="B3" s="17" t="s">
        <v>44</v>
      </c>
      <c r="C3" s="18" t="e" vm="1">
        <v>#VALUE!</v>
      </c>
      <c r="D3" s="19" t="s">
        <v>60</v>
      </c>
      <c r="M3" s="4"/>
    </row>
    <row r="4" spans="1:13" x14ac:dyDescent="0.3">
      <c r="B4" s="20" t="s">
        <v>38</v>
      </c>
      <c r="C4" s="21" cm="1">
        <f t="array" ref="C4">_FV(C3,"Price")</f>
        <v>183.95</v>
      </c>
      <c r="D4" s="22"/>
      <c r="G4" s="10"/>
      <c r="L4" s="7"/>
      <c r="M4" s="4"/>
    </row>
    <row r="5" spans="1:13" x14ac:dyDescent="0.3">
      <c r="B5" s="20" t="s">
        <v>13</v>
      </c>
      <c r="C5" s="6">
        <v>16403.315999999999</v>
      </c>
      <c r="D5" s="30" t="s">
        <v>103</v>
      </c>
      <c r="L5" s="7"/>
      <c r="M5" s="4"/>
    </row>
    <row r="6" spans="1:13" x14ac:dyDescent="0.3">
      <c r="B6" s="20" t="s">
        <v>45</v>
      </c>
      <c r="C6" s="6">
        <f>C5*C4</f>
        <v>3017389.9781999998</v>
      </c>
      <c r="D6" s="23"/>
      <c r="L6" s="7"/>
      <c r="M6" s="2"/>
    </row>
    <row r="7" spans="1:13" x14ac:dyDescent="0.3">
      <c r="B7" s="20" t="s">
        <v>18</v>
      </c>
      <c r="C7" s="6">
        <f>24687+31185+110461</f>
        <v>166333</v>
      </c>
      <c r="D7" s="30" t="s">
        <v>103</v>
      </c>
      <c r="L7" s="7"/>
      <c r="M7" s="2"/>
    </row>
    <row r="8" spans="1:13" x14ac:dyDescent="0.3">
      <c r="B8" s="20" t="s">
        <v>30</v>
      </c>
      <c r="C8" s="6">
        <f>1996+10578+97041</f>
        <v>109615</v>
      </c>
      <c r="D8" s="30" t="s">
        <v>103</v>
      </c>
      <c r="L8" s="7"/>
    </row>
    <row r="9" spans="1:13" x14ac:dyDescent="0.3">
      <c r="B9" s="24" t="s">
        <v>39</v>
      </c>
      <c r="C9" s="25">
        <f>C6-C7+C8</f>
        <v>2960671.9781999998</v>
      </c>
      <c r="D9" s="26"/>
    </row>
    <row r="11" spans="1:13" x14ac:dyDescent="0.3">
      <c r="C1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CF4C4-A27D-4153-97AC-1699E73F156E}">
  <dimension ref="B3:D18"/>
  <sheetViews>
    <sheetView workbookViewId="0">
      <selection activeCell="C12" sqref="C12"/>
    </sheetView>
  </sheetViews>
  <sheetFormatPr defaultColWidth="9.1796875" defaultRowHeight="14" x14ac:dyDescent="0.3"/>
  <cols>
    <col min="1" max="1" width="9.1796875" style="1"/>
    <col min="2" max="2" width="16.453125" style="1" bestFit="1" customWidth="1"/>
    <col min="3" max="3" width="10.1796875" style="1" bestFit="1" customWidth="1"/>
    <col min="4" max="4" width="19.54296875" style="1" bestFit="1" customWidth="1"/>
    <col min="5" max="16384" width="9.1796875" style="1"/>
  </cols>
  <sheetData>
    <row r="3" spans="2:4" x14ac:dyDescent="0.3">
      <c r="B3" s="1" t="s">
        <v>30</v>
      </c>
      <c r="C3" s="7">
        <f>Main!C8</f>
        <v>109615</v>
      </c>
    </row>
    <row r="4" spans="2:4" x14ac:dyDescent="0.3">
      <c r="B4" s="1" t="s">
        <v>46</v>
      </c>
      <c r="C4" s="7">
        <f>Main!C6</f>
        <v>3017389.9781999998</v>
      </c>
    </row>
    <row r="5" spans="2:4" x14ac:dyDescent="0.3">
      <c r="B5" s="1" t="s">
        <v>47</v>
      </c>
      <c r="C5" s="7">
        <f>+C3+C4</f>
        <v>3127004.9781999998</v>
      </c>
    </row>
    <row r="6" spans="2:4" x14ac:dyDescent="0.3">
      <c r="B6" s="1" t="s">
        <v>48</v>
      </c>
      <c r="C6" s="27">
        <f>C3/C5</f>
        <v>3.5054309399628066E-2</v>
      </c>
    </row>
    <row r="7" spans="2:4" x14ac:dyDescent="0.3">
      <c r="B7" s="1" t="s">
        <v>49</v>
      </c>
      <c r="C7" s="27">
        <f>C4/C5</f>
        <v>0.96494569060037194</v>
      </c>
    </row>
    <row r="9" spans="2:4" x14ac:dyDescent="0.3">
      <c r="B9" s="1" t="s">
        <v>50</v>
      </c>
      <c r="C9" s="11">
        <f>AVERAGE(DCF!AJ44:AM44)</f>
        <v>0.15504110771418425</v>
      </c>
      <c r="D9" s="31" t="s">
        <v>100</v>
      </c>
    </row>
    <row r="10" spans="2:4" x14ac:dyDescent="0.3">
      <c r="B10" s="1" t="s">
        <v>51</v>
      </c>
      <c r="C10" s="7">
        <v>2931</v>
      </c>
      <c r="D10" s="31" t="s">
        <v>119</v>
      </c>
    </row>
    <row r="11" spans="2:4" x14ac:dyDescent="0.3">
      <c r="B11" s="1" t="s">
        <v>52</v>
      </c>
      <c r="C11" s="27">
        <f>(C10*(1-C9))/C3</f>
        <v>2.2593390624364603E-2</v>
      </c>
    </row>
    <row r="13" spans="2:4" x14ac:dyDescent="0.3">
      <c r="B13" s="1" t="s">
        <v>53</v>
      </c>
      <c r="C13" s="27">
        <f>'[1]T-Bond Yields'!$C$12</f>
        <v>3.8899999999999997E-2</v>
      </c>
      <c r="D13" s="31" t="s">
        <v>101</v>
      </c>
    </row>
    <row r="14" spans="2:4" x14ac:dyDescent="0.3">
      <c r="B14" s="1" t="s">
        <v>54</v>
      </c>
      <c r="C14" s="1">
        <v>1.29</v>
      </c>
      <c r="D14" s="31" t="s">
        <v>118</v>
      </c>
    </row>
    <row r="15" spans="2:4" x14ac:dyDescent="0.3">
      <c r="B15" s="1" t="s">
        <v>55</v>
      </c>
      <c r="C15" s="11">
        <v>0.06</v>
      </c>
      <c r="D15" s="1" t="s">
        <v>58</v>
      </c>
    </row>
    <row r="16" spans="2:4" x14ac:dyDescent="0.3">
      <c r="B16" s="1" t="s">
        <v>56</v>
      </c>
      <c r="C16" s="27">
        <f>(C13+C14*(C15-C13))</f>
        <v>6.6118999999999997E-2</v>
      </c>
    </row>
    <row r="18" spans="2:3" x14ac:dyDescent="0.3">
      <c r="B18" s="1" t="s">
        <v>57</v>
      </c>
      <c r="C18" s="11">
        <f>(C7*C16)+(C6*C11)*(1-C9)</f>
        <v>6.4470447930679395E-2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59D0E-C158-4D49-A55E-1E05B5C0943E}">
  <dimension ref="A1:ATP84"/>
  <sheetViews>
    <sheetView tabSelected="1" zoomScaleNormal="100" workbookViewId="0">
      <pane xSplit="2" ySplit="3" topLeftCell="AQ22" activePane="bottomRight" state="frozen"/>
      <selection pane="topRight" activeCell="C1" sqref="C1"/>
      <selection pane="bottomLeft" activeCell="A4" sqref="A4"/>
      <selection pane="bottomRight" activeCell="AG32" sqref="AG32"/>
    </sheetView>
  </sheetViews>
  <sheetFormatPr defaultColWidth="9.1796875" defaultRowHeight="14" x14ac:dyDescent="0.3"/>
  <cols>
    <col min="1" max="1" width="9.1796875" style="1"/>
    <col min="2" max="2" width="31.1796875" style="1" bestFit="1" customWidth="1"/>
    <col min="3" max="3" width="11.26953125" style="1" bestFit="1" customWidth="1"/>
    <col min="4" max="6" width="10.1796875" style="1" bestFit="1" customWidth="1"/>
    <col min="7" max="7" width="11.26953125" style="1" bestFit="1" customWidth="1"/>
    <col min="8" max="10" width="10.1796875" style="1" bestFit="1" customWidth="1"/>
    <col min="11" max="11" width="11.26953125" style="1" bestFit="1" customWidth="1"/>
    <col min="12" max="15" width="10.1796875" style="1" bestFit="1" customWidth="1"/>
    <col min="16" max="16" width="8.453125" style="1" bestFit="1" customWidth="1"/>
    <col min="17" max="17" width="9.6328125" style="1" bestFit="1" customWidth="1"/>
    <col min="18" max="18" width="9.453125" style="1" customWidth="1"/>
    <col min="19" max="19" width="10.7265625" style="1" bestFit="1" customWidth="1"/>
    <col min="20" max="20" width="10" style="1" customWidth="1"/>
    <col min="21" max="21" width="11.26953125" style="1" bestFit="1" customWidth="1"/>
    <col min="22" max="22" width="10" style="1" customWidth="1"/>
    <col min="23" max="23" width="10.7265625" style="1" bestFit="1" customWidth="1"/>
    <col min="24" max="34" width="10" style="1" customWidth="1"/>
    <col min="35" max="35" width="9.453125" style="1" customWidth="1"/>
    <col min="36" max="47" width="10.1796875" style="1" bestFit="1" customWidth="1"/>
    <col min="48" max="48" width="14.453125" style="1" bestFit="1" customWidth="1"/>
    <col min="49" max="49" width="10.1796875" style="1" bestFit="1" customWidth="1"/>
    <col min="50" max="50" width="8.453125" style="1" bestFit="1" customWidth="1"/>
    <col min="51" max="51" width="14.453125" style="1" bestFit="1" customWidth="1"/>
    <col min="52" max="52" width="10.1796875" style="1" bestFit="1" customWidth="1"/>
    <col min="53" max="88" width="8.453125" style="1" bestFit="1" customWidth="1"/>
    <col min="89" max="317" width="7.26953125" style="1" bestFit="1" customWidth="1"/>
    <col min="318" max="458" width="6.1796875" style="1" bestFit="1" customWidth="1"/>
    <col min="459" max="16384" width="9.1796875" style="1"/>
  </cols>
  <sheetData>
    <row r="1" spans="2:62" x14ac:dyDescent="0.3">
      <c r="Q1" s="3">
        <v>44373</v>
      </c>
      <c r="S1" s="3">
        <v>44555</v>
      </c>
      <c r="U1" s="3">
        <v>44737</v>
      </c>
      <c r="V1" s="3">
        <v>44828</v>
      </c>
      <c r="W1" s="3">
        <v>44926</v>
      </c>
      <c r="X1" s="3">
        <v>45017</v>
      </c>
    </row>
    <row r="2" spans="2:62" x14ac:dyDescent="0.3">
      <c r="C2" s="28" t="s">
        <v>79</v>
      </c>
      <c r="D2" s="28" t="s">
        <v>80</v>
      </c>
      <c r="E2" s="28" t="s">
        <v>81</v>
      </c>
      <c r="F2" s="28" t="s">
        <v>82</v>
      </c>
      <c r="G2" s="28" t="s">
        <v>83</v>
      </c>
      <c r="H2" s="28" t="s">
        <v>84</v>
      </c>
      <c r="I2" s="28" t="s">
        <v>85</v>
      </c>
      <c r="J2" s="28" t="s">
        <v>86</v>
      </c>
      <c r="K2" s="28" t="s">
        <v>87</v>
      </c>
      <c r="L2" s="28" t="s">
        <v>88</v>
      </c>
      <c r="M2" s="28" t="s">
        <v>89</v>
      </c>
      <c r="N2" s="28" t="s">
        <v>90</v>
      </c>
      <c r="O2" s="28" t="s">
        <v>77</v>
      </c>
      <c r="P2" s="28" t="s">
        <v>91</v>
      </c>
      <c r="Q2" s="28" t="s">
        <v>92</v>
      </c>
      <c r="R2" s="28" t="s">
        <v>93</v>
      </c>
      <c r="S2" s="28" t="s">
        <v>94</v>
      </c>
      <c r="T2" s="28" t="s">
        <v>95</v>
      </c>
      <c r="U2" s="28" t="s">
        <v>96</v>
      </c>
      <c r="V2" s="28" t="s">
        <v>97</v>
      </c>
      <c r="W2" s="28" t="s">
        <v>102</v>
      </c>
      <c r="X2" s="28" t="s">
        <v>103</v>
      </c>
      <c r="Y2" s="28" t="s">
        <v>104</v>
      </c>
      <c r="Z2" s="28" t="s">
        <v>105</v>
      </c>
      <c r="AA2" s="28"/>
      <c r="AB2" s="28"/>
      <c r="AC2" s="28"/>
      <c r="AD2" s="28"/>
      <c r="AE2" s="28"/>
      <c r="AF2" s="28"/>
      <c r="AG2" s="28"/>
      <c r="AH2" s="28"/>
      <c r="AJ2" s="3">
        <v>43372</v>
      </c>
      <c r="AK2" s="3">
        <v>43736</v>
      </c>
      <c r="AL2" s="3">
        <f>AK2+365</f>
        <v>44101</v>
      </c>
      <c r="AM2" s="3">
        <f t="shared" ref="AM2:AS2" si="0">AL2+365</f>
        <v>44466</v>
      </c>
      <c r="AN2" s="3">
        <f t="shared" si="0"/>
        <v>44831</v>
      </c>
      <c r="AO2" s="3">
        <f t="shared" si="0"/>
        <v>45196</v>
      </c>
      <c r="AP2" s="3">
        <f t="shared" si="0"/>
        <v>45561</v>
      </c>
      <c r="AQ2" s="3">
        <f t="shared" si="0"/>
        <v>45926</v>
      </c>
      <c r="AR2" s="3">
        <f t="shared" si="0"/>
        <v>46291</v>
      </c>
      <c r="AS2" s="3">
        <f t="shared" si="0"/>
        <v>46656</v>
      </c>
      <c r="AT2" s="3"/>
      <c r="AU2" s="3"/>
      <c r="AV2" s="3"/>
      <c r="AW2" s="3"/>
      <c r="AX2" s="3"/>
      <c r="AY2" s="3"/>
      <c r="AZ2" s="3"/>
      <c r="BA2" s="3"/>
    </row>
    <row r="3" spans="2:62" x14ac:dyDescent="0.3">
      <c r="C3" s="4">
        <v>43099</v>
      </c>
      <c r="D3" s="4">
        <v>43190</v>
      </c>
      <c r="E3" s="4">
        <v>43281</v>
      </c>
      <c r="F3" s="4">
        <v>43372</v>
      </c>
      <c r="G3" s="4">
        <v>43463</v>
      </c>
      <c r="H3" s="4">
        <v>43554</v>
      </c>
      <c r="I3" s="4">
        <v>43645</v>
      </c>
      <c r="J3" s="4">
        <v>43736</v>
      </c>
      <c r="K3" s="4">
        <v>43827</v>
      </c>
      <c r="L3" s="4">
        <v>43918</v>
      </c>
      <c r="M3" s="3">
        <f>+I3+365</f>
        <v>44010</v>
      </c>
      <c r="N3" s="3">
        <v>44100</v>
      </c>
      <c r="O3" s="4"/>
      <c r="P3" s="4"/>
      <c r="Q3" s="4"/>
      <c r="R3" s="4"/>
      <c r="S3" s="4"/>
      <c r="T3" s="4"/>
      <c r="U3" s="4"/>
      <c r="V3" s="4"/>
      <c r="AJ3" s="1">
        <v>2018</v>
      </c>
      <c r="AK3" s="1">
        <v>2019</v>
      </c>
      <c r="AL3" s="1">
        <v>2020</v>
      </c>
      <c r="AM3" s="1">
        <v>2021</v>
      </c>
      <c r="AN3" s="1">
        <v>2022</v>
      </c>
      <c r="AO3" s="1">
        <v>2023</v>
      </c>
      <c r="AP3" s="1">
        <v>2024</v>
      </c>
      <c r="AQ3" s="1">
        <v>2025</v>
      </c>
      <c r="AR3" s="1">
        <v>2026</v>
      </c>
      <c r="AS3" s="1">
        <v>2027</v>
      </c>
      <c r="BJ3" s="5"/>
    </row>
    <row r="4" spans="2:62" x14ac:dyDescent="0.3">
      <c r="B4" s="31" t="s">
        <v>106</v>
      </c>
      <c r="C4" s="4"/>
      <c r="D4" s="4"/>
      <c r="E4" s="4"/>
      <c r="F4" s="4"/>
      <c r="G4" s="4"/>
      <c r="H4" s="4"/>
      <c r="I4" s="4"/>
      <c r="J4" s="4"/>
      <c r="K4" s="4"/>
      <c r="L4" s="4"/>
      <c r="M4" s="3"/>
      <c r="N4" s="3"/>
      <c r="O4" s="4"/>
      <c r="P4" s="4"/>
      <c r="Q4" s="4"/>
      <c r="R4" s="4"/>
      <c r="S4" s="4"/>
      <c r="T4" s="4"/>
      <c r="U4" s="4"/>
      <c r="V4" s="4"/>
      <c r="BJ4" s="5"/>
    </row>
    <row r="5" spans="2:62" x14ac:dyDescent="0.3">
      <c r="B5" s="31" t="s">
        <v>107</v>
      </c>
      <c r="C5" s="4"/>
      <c r="D5" s="4"/>
      <c r="E5" s="4"/>
      <c r="F5" s="4"/>
      <c r="G5" s="4"/>
      <c r="H5" s="4"/>
      <c r="I5" s="4"/>
      <c r="J5" s="4"/>
      <c r="K5" s="4"/>
      <c r="L5" s="4"/>
      <c r="M5" s="3"/>
      <c r="N5" s="3"/>
      <c r="O5" s="4"/>
      <c r="P5" s="4"/>
      <c r="Q5" s="4"/>
      <c r="R5" s="4"/>
      <c r="S5" s="4"/>
      <c r="T5" s="4"/>
      <c r="U5" s="4"/>
      <c r="V5" s="4"/>
      <c r="BJ5" s="5"/>
    </row>
    <row r="6" spans="2:62" x14ac:dyDescent="0.3">
      <c r="B6" s="31" t="s">
        <v>108</v>
      </c>
      <c r="C6" s="4"/>
      <c r="D6" s="4"/>
      <c r="E6" s="4"/>
      <c r="F6" s="4"/>
      <c r="G6" s="4"/>
      <c r="H6" s="4"/>
      <c r="I6" s="4"/>
      <c r="J6" s="4"/>
      <c r="K6" s="4"/>
      <c r="L6" s="4"/>
      <c r="M6" s="3"/>
      <c r="N6" s="3"/>
      <c r="O6" s="4"/>
      <c r="P6" s="4"/>
      <c r="Q6" s="4"/>
      <c r="R6" s="4"/>
      <c r="S6" s="4"/>
      <c r="T6" s="4"/>
      <c r="U6" s="4"/>
      <c r="V6" s="4"/>
      <c r="BJ6" s="5"/>
    </row>
    <row r="7" spans="2:62" x14ac:dyDescent="0.3">
      <c r="B7" s="31" t="s">
        <v>109</v>
      </c>
      <c r="C7" s="4"/>
      <c r="D7" s="4"/>
      <c r="E7" s="4"/>
      <c r="F7" s="4"/>
      <c r="G7" s="4"/>
      <c r="H7" s="4"/>
      <c r="I7" s="4"/>
      <c r="J7" s="4"/>
      <c r="K7" s="4"/>
      <c r="L7" s="4"/>
      <c r="M7" s="3"/>
      <c r="N7" s="3"/>
      <c r="O7" s="4"/>
      <c r="P7" s="4"/>
      <c r="Q7" s="4"/>
      <c r="R7" s="4"/>
      <c r="S7" s="4"/>
      <c r="T7" s="4"/>
      <c r="U7" s="4"/>
      <c r="V7" s="4"/>
      <c r="BJ7" s="5"/>
    </row>
    <row r="8" spans="2:62" x14ac:dyDescent="0.3">
      <c r="B8" s="31" t="s">
        <v>110</v>
      </c>
      <c r="C8" s="4"/>
      <c r="D8" s="4"/>
      <c r="E8" s="4"/>
      <c r="F8" s="4"/>
      <c r="G8" s="4"/>
      <c r="H8" s="4"/>
      <c r="I8" s="4"/>
      <c r="J8" s="4"/>
      <c r="K8" s="4"/>
      <c r="L8" s="4"/>
      <c r="M8" s="3"/>
      <c r="N8" s="3"/>
      <c r="O8" s="4"/>
      <c r="P8" s="4"/>
      <c r="Q8" s="4"/>
      <c r="R8" s="4"/>
      <c r="S8" s="4"/>
      <c r="T8" s="4"/>
      <c r="U8" s="4"/>
      <c r="V8" s="4"/>
      <c r="BJ8" s="5"/>
    </row>
    <row r="9" spans="2:62" x14ac:dyDescent="0.3">
      <c r="B9" s="31" t="s">
        <v>111</v>
      </c>
      <c r="C9" s="4"/>
      <c r="D9" s="4"/>
      <c r="E9" s="4"/>
      <c r="F9" s="4"/>
      <c r="G9" s="4"/>
      <c r="H9" s="4"/>
      <c r="I9" s="4"/>
      <c r="J9" s="4"/>
      <c r="K9" s="4"/>
      <c r="L9" s="4"/>
      <c r="M9" s="3"/>
      <c r="N9" s="3"/>
      <c r="O9" s="4"/>
      <c r="P9" s="4"/>
      <c r="Q9" s="4"/>
      <c r="R9" s="4"/>
      <c r="S9" s="4"/>
      <c r="T9" s="4"/>
      <c r="U9" s="4"/>
      <c r="V9" s="4"/>
      <c r="BJ9" s="5"/>
    </row>
    <row r="10" spans="2:62" x14ac:dyDescent="0.3">
      <c r="B10" s="31" t="s">
        <v>117</v>
      </c>
      <c r="C10" s="4"/>
      <c r="D10" s="4"/>
      <c r="E10" s="4"/>
      <c r="F10" s="4"/>
      <c r="G10" s="4"/>
      <c r="H10" s="4"/>
      <c r="I10" s="4"/>
      <c r="J10" s="4"/>
      <c r="K10" s="4"/>
      <c r="L10" s="4"/>
      <c r="M10" s="3"/>
      <c r="N10" s="3"/>
      <c r="O10" s="4"/>
      <c r="P10" s="4"/>
      <c r="Q10" s="4"/>
      <c r="R10" s="4"/>
      <c r="S10" s="4"/>
      <c r="T10" s="4"/>
      <c r="U10" s="4"/>
      <c r="V10" s="4"/>
      <c r="BJ10" s="5"/>
    </row>
    <row r="11" spans="2:62" x14ac:dyDescent="0.3">
      <c r="B11" s="31"/>
      <c r="C11" s="4"/>
      <c r="D11" s="4"/>
      <c r="E11" s="4"/>
      <c r="F11" s="4"/>
      <c r="G11" s="4"/>
      <c r="H11" s="4"/>
      <c r="I11" s="4"/>
      <c r="J11" s="4"/>
      <c r="K11" s="4"/>
      <c r="L11" s="4"/>
      <c r="M11" s="3"/>
      <c r="N11" s="3"/>
      <c r="O11" s="4"/>
      <c r="P11" s="4"/>
      <c r="Q11" s="4"/>
      <c r="R11" s="4"/>
      <c r="S11" s="4"/>
      <c r="T11" s="4"/>
      <c r="U11" s="4"/>
      <c r="V11" s="4"/>
      <c r="BJ11" s="5"/>
    </row>
    <row r="12" spans="2:62" x14ac:dyDescent="0.3">
      <c r="B12" s="31" t="s">
        <v>112</v>
      </c>
      <c r="C12" s="4"/>
      <c r="D12" s="4"/>
      <c r="E12" s="4"/>
      <c r="F12" s="4"/>
      <c r="G12" s="4"/>
      <c r="H12" s="4"/>
      <c r="I12" s="4"/>
      <c r="J12" s="4"/>
      <c r="K12" s="4"/>
      <c r="L12" s="4"/>
      <c r="M12" s="3"/>
      <c r="N12" s="3"/>
      <c r="O12" s="4"/>
      <c r="P12" s="4"/>
      <c r="Q12" s="4"/>
      <c r="R12" s="4"/>
      <c r="S12" s="4"/>
      <c r="T12" s="4"/>
      <c r="U12" s="4"/>
      <c r="V12" s="4"/>
      <c r="BJ12" s="5"/>
    </row>
    <row r="13" spans="2:62" x14ac:dyDescent="0.3">
      <c r="B13" s="31" t="s">
        <v>113</v>
      </c>
      <c r="C13" s="4"/>
      <c r="D13" s="4"/>
      <c r="E13" s="4"/>
      <c r="F13" s="4"/>
      <c r="G13" s="4"/>
      <c r="H13" s="4"/>
      <c r="I13" s="4"/>
      <c r="J13" s="4"/>
      <c r="K13" s="4"/>
      <c r="L13" s="4"/>
      <c r="M13" s="3"/>
      <c r="N13" s="3"/>
      <c r="O13" s="4"/>
      <c r="P13" s="4"/>
      <c r="Q13" s="4"/>
      <c r="R13" s="4"/>
      <c r="S13" s="4"/>
      <c r="T13" s="4"/>
      <c r="U13" s="4"/>
      <c r="V13" s="4"/>
      <c r="BJ13" s="5"/>
    </row>
    <row r="14" spans="2:62" x14ac:dyDescent="0.3">
      <c r="B14" s="31" t="s">
        <v>114</v>
      </c>
      <c r="C14" s="4"/>
      <c r="D14" s="4"/>
      <c r="E14" s="4"/>
      <c r="F14" s="4"/>
      <c r="G14" s="4"/>
      <c r="H14" s="4"/>
      <c r="I14" s="4"/>
      <c r="J14" s="4"/>
      <c r="K14" s="4"/>
      <c r="L14" s="4"/>
      <c r="M14" s="3"/>
      <c r="N14" s="3"/>
      <c r="O14" s="4"/>
      <c r="P14" s="4"/>
      <c r="Q14" s="4"/>
      <c r="R14" s="4"/>
      <c r="S14" s="4"/>
      <c r="T14" s="4"/>
      <c r="U14" s="4"/>
      <c r="V14" s="4"/>
      <c r="BJ14" s="5"/>
    </row>
    <row r="15" spans="2:62" x14ac:dyDescent="0.3">
      <c r="B15" s="31" t="s">
        <v>115</v>
      </c>
      <c r="C15" s="4"/>
      <c r="D15" s="4"/>
      <c r="E15" s="4"/>
      <c r="F15" s="4"/>
      <c r="G15" s="4"/>
      <c r="H15" s="4"/>
      <c r="I15" s="4"/>
      <c r="J15" s="4"/>
      <c r="K15" s="4"/>
      <c r="L15" s="4"/>
      <c r="M15" s="3"/>
      <c r="N15" s="3"/>
      <c r="O15" s="4"/>
      <c r="P15" s="4"/>
      <c r="Q15" s="4"/>
      <c r="R15" s="4"/>
      <c r="S15" s="4"/>
      <c r="T15" s="4"/>
      <c r="U15" s="4"/>
      <c r="V15" s="4"/>
      <c r="BJ15" s="5"/>
    </row>
    <row r="16" spans="2:62" x14ac:dyDescent="0.3">
      <c r="B16" s="31" t="s">
        <v>116</v>
      </c>
      <c r="C16" s="4"/>
      <c r="D16" s="4"/>
      <c r="E16" s="4"/>
      <c r="F16" s="4"/>
      <c r="G16" s="4"/>
      <c r="H16" s="4"/>
      <c r="I16" s="4"/>
      <c r="J16" s="4"/>
      <c r="K16" s="4"/>
      <c r="L16" s="4"/>
      <c r="M16" s="3"/>
      <c r="N16" s="3"/>
      <c r="O16" s="4"/>
      <c r="P16" s="4"/>
      <c r="Q16" s="4"/>
      <c r="R16" s="4"/>
      <c r="S16" s="4"/>
      <c r="T16" s="4"/>
      <c r="U16" s="4"/>
      <c r="V16" s="4"/>
      <c r="BJ16" s="5"/>
    </row>
    <row r="17" spans="1:62" x14ac:dyDescent="0.3">
      <c r="B17" s="31" t="s">
        <v>62</v>
      </c>
      <c r="C17" s="4"/>
      <c r="D17" s="4"/>
      <c r="E17" s="4"/>
      <c r="F17" s="4"/>
      <c r="G17" s="4"/>
      <c r="H17" s="4"/>
      <c r="I17" s="4"/>
      <c r="J17" s="4"/>
      <c r="K17" s="4"/>
      <c r="L17" s="4"/>
      <c r="M17" s="3"/>
      <c r="N17" s="3"/>
      <c r="O17" s="4"/>
      <c r="P17" s="4"/>
      <c r="Q17" s="4"/>
      <c r="R17" s="4"/>
      <c r="S17" s="4"/>
      <c r="T17" s="4"/>
      <c r="U17" s="4"/>
      <c r="V17" s="4"/>
      <c r="BJ17" s="5"/>
    </row>
    <row r="18" spans="1:62" x14ac:dyDescent="0.3">
      <c r="B18" s="31" t="s">
        <v>117</v>
      </c>
      <c r="C18" s="4"/>
      <c r="D18" s="4"/>
      <c r="E18" s="4"/>
      <c r="F18" s="4"/>
      <c r="G18" s="4"/>
      <c r="H18" s="4"/>
      <c r="I18" s="4"/>
      <c r="J18" s="4"/>
      <c r="K18" s="4"/>
      <c r="L18" s="4"/>
      <c r="M18" s="3"/>
      <c r="N18" s="3"/>
      <c r="O18" s="4"/>
      <c r="P18" s="4"/>
      <c r="Q18" s="4"/>
      <c r="R18" s="4"/>
      <c r="S18" s="4"/>
      <c r="T18" s="4"/>
      <c r="U18" s="4"/>
      <c r="V18" s="4"/>
      <c r="BJ18" s="5"/>
    </row>
    <row r="19" spans="1:62" x14ac:dyDescent="0.3">
      <c r="C19" s="4"/>
      <c r="D19" s="4"/>
      <c r="E19" s="4"/>
      <c r="F19" s="4"/>
      <c r="G19" s="4"/>
      <c r="H19" s="4"/>
      <c r="I19" s="4"/>
      <c r="J19" s="4"/>
      <c r="K19" s="4"/>
      <c r="L19" s="4"/>
      <c r="M19" s="3"/>
      <c r="N19" s="3"/>
      <c r="O19" s="4"/>
      <c r="P19" s="4"/>
      <c r="Q19" s="4"/>
      <c r="R19" s="4"/>
      <c r="S19" s="4"/>
      <c r="T19" s="4"/>
      <c r="U19" s="4"/>
      <c r="V19" s="4"/>
      <c r="BJ19" s="5"/>
    </row>
    <row r="20" spans="1:62" x14ac:dyDescent="0.3">
      <c r="B20" s="33" t="s">
        <v>16</v>
      </c>
      <c r="C20" s="4"/>
      <c r="D20" s="4"/>
      <c r="E20" s="4"/>
      <c r="F20" s="4"/>
      <c r="G20" s="4"/>
      <c r="H20" s="4"/>
      <c r="I20" s="4"/>
      <c r="J20" s="4"/>
      <c r="K20" s="4"/>
      <c r="L20" s="4"/>
      <c r="M20" s="3"/>
      <c r="N20" s="3"/>
      <c r="O20" s="4"/>
      <c r="P20" s="4"/>
      <c r="Q20" s="4"/>
      <c r="R20" s="4"/>
      <c r="S20" s="4"/>
      <c r="T20" s="4"/>
      <c r="U20" s="4"/>
      <c r="V20" s="4"/>
      <c r="BJ20" s="5"/>
    </row>
    <row r="21" spans="1:62" s="7" customFormat="1" x14ac:dyDescent="0.3">
      <c r="A21" s="1"/>
      <c r="B21" s="1" t="s">
        <v>61</v>
      </c>
      <c r="C21" s="6">
        <v>79164</v>
      </c>
      <c r="D21" s="6">
        <v>51287</v>
      </c>
      <c r="E21" s="6">
        <v>43095</v>
      </c>
      <c r="F21" s="6">
        <v>52301</v>
      </c>
      <c r="G21" s="6">
        <v>73435</v>
      </c>
      <c r="H21" s="6">
        <v>46565</v>
      </c>
      <c r="I21" s="6">
        <v>42354</v>
      </c>
      <c r="J21" s="6">
        <v>51529</v>
      </c>
      <c r="K21" s="6">
        <v>79104</v>
      </c>
      <c r="L21" s="6">
        <v>44965</v>
      </c>
      <c r="M21" s="7">
        <v>46529</v>
      </c>
      <c r="N21" s="7">
        <v>50149</v>
      </c>
      <c r="O21" s="7">
        <v>95678</v>
      </c>
      <c r="P21" s="7">
        <v>72683</v>
      </c>
      <c r="Q21" s="7">
        <v>63948</v>
      </c>
      <c r="R21" s="7">
        <v>65083</v>
      </c>
      <c r="S21" s="7">
        <v>104429</v>
      </c>
      <c r="T21" s="7">
        <v>77457</v>
      </c>
      <c r="U21" s="7">
        <v>63355</v>
      </c>
      <c r="V21" s="7">
        <v>70958</v>
      </c>
      <c r="W21" s="7">
        <v>96388</v>
      </c>
      <c r="X21" s="7">
        <v>73929</v>
      </c>
      <c r="Y21" s="7">
        <f>U21*0.98</f>
        <v>62087.9</v>
      </c>
      <c r="Z21" s="7">
        <f>V21*1.01</f>
        <v>71667.58</v>
      </c>
      <c r="AJ21" s="7">
        <f>SUM(C21:F21)</f>
        <v>225847</v>
      </c>
      <c r="AK21" s="7">
        <f>SUM(G21:J21)</f>
        <v>213883</v>
      </c>
      <c r="AL21" s="7">
        <f>SUM(K21:N21)</f>
        <v>220747</v>
      </c>
      <c r="AM21" s="7">
        <f>SUM(O21:R21)</f>
        <v>297392</v>
      </c>
      <c r="AN21" s="7">
        <f>SUM(S21:V21)</f>
        <v>316199</v>
      </c>
      <c r="AO21" s="7">
        <f>SUM(W21:Z21)</f>
        <v>304072.48</v>
      </c>
      <c r="BJ21" s="8"/>
    </row>
    <row r="22" spans="1:62" s="7" customFormat="1" x14ac:dyDescent="0.3">
      <c r="A22" s="1"/>
      <c r="B22" s="1" t="s">
        <v>62</v>
      </c>
      <c r="C22" s="6">
        <v>9129</v>
      </c>
      <c r="D22" s="6">
        <v>9850</v>
      </c>
      <c r="E22" s="6">
        <v>10170</v>
      </c>
      <c r="F22" s="6">
        <v>10599</v>
      </c>
      <c r="G22" s="6">
        <v>10875</v>
      </c>
      <c r="H22" s="6">
        <v>11450</v>
      </c>
      <c r="I22" s="6">
        <v>11455</v>
      </c>
      <c r="J22" s="6">
        <v>12511</v>
      </c>
      <c r="K22" s="6">
        <v>12715</v>
      </c>
      <c r="L22" s="6">
        <v>13348</v>
      </c>
      <c r="M22" s="7">
        <v>13156</v>
      </c>
      <c r="N22" s="7">
        <v>14549</v>
      </c>
      <c r="O22" s="7">
        <v>15761</v>
      </c>
      <c r="P22" s="7">
        <v>16901</v>
      </c>
      <c r="Q22" s="7">
        <v>17486</v>
      </c>
      <c r="R22" s="7">
        <v>18277</v>
      </c>
      <c r="S22" s="7">
        <v>19516</v>
      </c>
      <c r="T22" s="7">
        <v>19821</v>
      </c>
      <c r="U22" s="7">
        <v>19604</v>
      </c>
      <c r="V22" s="7">
        <v>19188</v>
      </c>
      <c r="W22" s="7">
        <v>20766</v>
      </c>
      <c r="X22" s="7">
        <v>20907</v>
      </c>
      <c r="Y22" s="7">
        <f>U22*0.98</f>
        <v>19211.919999999998</v>
      </c>
      <c r="Z22" s="7">
        <f>V22*1</f>
        <v>19188</v>
      </c>
      <c r="AJ22" s="7">
        <f>SUM(C22:F22)</f>
        <v>39748</v>
      </c>
      <c r="AK22" s="7">
        <f>SUM(G22:J22)</f>
        <v>46291</v>
      </c>
      <c r="AL22" s="7">
        <f>SUM(K22:N22)</f>
        <v>53768</v>
      </c>
      <c r="AM22" s="7">
        <f>SUM(O22:R22)</f>
        <v>68425</v>
      </c>
      <c r="AN22" s="7">
        <f>SUM(S22:V22)</f>
        <v>78129</v>
      </c>
      <c r="AO22" s="7">
        <f>SUM(W22:Z22)</f>
        <v>80072.92</v>
      </c>
      <c r="BJ22" s="8"/>
    </row>
    <row r="23" spans="1:62" s="7" customFormat="1" x14ac:dyDescent="0.3">
      <c r="B23" s="9" t="s">
        <v>63</v>
      </c>
      <c r="C23" s="9">
        <f t="shared" ref="C23:S23" si="1">C21+C22</f>
        <v>88293</v>
      </c>
      <c r="D23" s="9">
        <f t="shared" si="1"/>
        <v>61137</v>
      </c>
      <c r="E23" s="9">
        <f t="shared" si="1"/>
        <v>53265</v>
      </c>
      <c r="F23" s="9">
        <f t="shared" si="1"/>
        <v>62900</v>
      </c>
      <c r="G23" s="9">
        <f t="shared" si="1"/>
        <v>84310</v>
      </c>
      <c r="H23" s="9">
        <f t="shared" si="1"/>
        <v>58015</v>
      </c>
      <c r="I23" s="9">
        <f t="shared" si="1"/>
        <v>53809</v>
      </c>
      <c r="J23" s="9">
        <f t="shared" si="1"/>
        <v>64040</v>
      </c>
      <c r="K23" s="9">
        <f t="shared" si="1"/>
        <v>91819</v>
      </c>
      <c r="L23" s="9">
        <f t="shared" si="1"/>
        <v>58313</v>
      </c>
      <c r="M23" s="9">
        <f t="shared" si="1"/>
        <v>59685</v>
      </c>
      <c r="N23" s="9">
        <f t="shared" si="1"/>
        <v>64698</v>
      </c>
      <c r="O23" s="9">
        <f t="shared" si="1"/>
        <v>111439</v>
      </c>
      <c r="P23" s="9">
        <f t="shared" si="1"/>
        <v>89584</v>
      </c>
      <c r="Q23" s="9">
        <f t="shared" si="1"/>
        <v>81434</v>
      </c>
      <c r="R23" s="9">
        <f t="shared" si="1"/>
        <v>83360</v>
      </c>
      <c r="S23" s="9">
        <f t="shared" si="1"/>
        <v>123945</v>
      </c>
      <c r="T23" s="9">
        <f>T21+T22</f>
        <v>97278</v>
      </c>
      <c r="U23" s="9">
        <f t="shared" ref="U23:Z23" si="2">U21+U22</f>
        <v>82959</v>
      </c>
      <c r="V23" s="9">
        <f t="shared" si="2"/>
        <v>90146</v>
      </c>
      <c r="W23" s="9">
        <f t="shared" si="2"/>
        <v>117154</v>
      </c>
      <c r="X23" s="9">
        <f t="shared" si="2"/>
        <v>94836</v>
      </c>
      <c r="Y23" s="9">
        <f t="shared" si="2"/>
        <v>81299.820000000007</v>
      </c>
      <c r="Z23" s="9">
        <f t="shared" si="2"/>
        <v>90855.58</v>
      </c>
      <c r="AA23" s="9"/>
      <c r="AB23" s="9"/>
      <c r="AC23" s="9"/>
      <c r="AD23" s="9"/>
      <c r="AE23" s="9"/>
      <c r="AF23" s="9"/>
      <c r="AG23" s="9"/>
      <c r="AH23" s="9"/>
      <c r="AI23" s="9"/>
      <c r="AJ23" s="9">
        <f t="shared" ref="AJ23:AM23" si="3">AJ21+AJ22</f>
        <v>265595</v>
      </c>
      <c r="AK23" s="9">
        <f t="shared" si="3"/>
        <v>260174</v>
      </c>
      <c r="AL23" s="9">
        <f>AL21+AL22</f>
        <v>274515</v>
      </c>
      <c r="AM23" s="9">
        <f>AM21+AM22</f>
        <v>365817</v>
      </c>
      <c r="AN23" s="9">
        <f>AN21+AN22</f>
        <v>394328</v>
      </c>
      <c r="AO23" s="9">
        <f>AO21+AO22</f>
        <v>384145.39999999997</v>
      </c>
      <c r="AP23" s="9">
        <f t="shared" ref="AP23:AS23" si="4">AO23*1.05</f>
        <v>403352.67</v>
      </c>
      <c r="AQ23" s="9">
        <f t="shared" si="4"/>
        <v>423520.30349999998</v>
      </c>
      <c r="AR23" s="9">
        <f t="shared" si="4"/>
        <v>444696.31867499999</v>
      </c>
      <c r="AS23" s="9">
        <f t="shared" si="4"/>
        <v>466931.13460875</v>
      </c>
      <c r="AT23" s="9"/>
      <c r="AU23" s="9"/>
      <c r="AV23" s="9"/>
      <c r="AW23" s="9"/>
      <c r="AX23" s="9"/>
      <c r="AY23" s="9"/>
      <c r="AZ23" s="9"/>
      <c r="BA23" s="9"/>
      <c r="BH23" s="1"/>
      <c r="BI23" s="1"/>
      <c r="BJ23" s="5"/>
    </row>
    <row r="24" spans="1:62" s="29" customFormat="1" x14ac:dyDescent="0.3">
      <c r="B24" s="29" t="s">
        <v>98</v>
      </c>
      <c r="C24" s="29">
        <v>50575</v>
      </c>
      <c r="D24" s="29">
        <v>33936</v>
      </c>
      <c r="E24" s="29">
        <v>28956</v>
      </c>
      <c r="F24" s="29">
        <v>34697</v>
      </c>
      <c r="G24" s="29">
        <v>48238</v>
      </c>
      <c r="H24" s="29">
        <v>32047</v>
      </c>
      <c r="I24" s="29">
        <v>29473</v>
      </c>
      <c r="J24" s="29">
        <v>35238</v>
      </c>
      <c r="K24" s="29">
        <v>52075</v>
      </c>
      <c r="L24" s="29">
        <v>31321</v>
      </c>
      <c r="M24" s="29">
        <v>32693</v>
      </c>
      <c r="N24" s="29">
        <v>35197</v>
      </c>
      <c r="O24" s="29">
        <v>62130</v>
      </c>
      <c r="P24" s="29">
        <v>46447</v>
      </c>
      <c r="Q24" s="29">
        <v>40899</v>
      </c>
      <c r="R24" s="29">
        <v>42790</v>
      </c>
      <c r="S24" s="29">
        <v>64309</v>
      </c>
      <c r="T24" s="29">
        <v>49290</v>
      </c>
      <c r="U24" s="29">
        <v>41485</v>
      </c>
      <c r="V24" s="29">
        <v>46387</v>
      </c>
      <c r="W24" s="29">
        <v>60765</v>
      </c>
      <c r="X24" s="29">
        <v>46795</v>
      </c>
      <c r="Y24" s="7">
        <f t="shared" ref="Y24:Y25" si="5">U24*1.01</f>
        <v>41899.85</v>
      </c>
      <c r="Z24" s="7">
        <f t="shared" ref="Z24:Z25" si="6">V24*1.01</f>
        <v>46850.87</v>
      </c>
      <c r="AJ24" s="29">
        <f>SUM(C24:F24)</f>
        <v>148164</v>
      </c>
      <c r="AK24" s="29">
        <f t="shared" ref="AK24:AK25" si="7">SUM(G24:J24)</f>
        <v>144996</v>
      </c>
      <c r="AL24" s="29">
        <f>SUM(K24:N24)</f>
        <v>151286</v>
      </c>
      <c r="AM24" s="29">
        <f>SUM(O24:R24)</f>
        <v>192266</v>
      </c>
      <c r="AN24" s="7">
        <f t="shared" ref="AN24:AN25" si="8">SUM(S24:V24)</f>
        <v>201471</v>
      </c>
      <c r="AO24" s="7">
        <f>SUM(W24:Z24)</f>
        <v>196310.72</v>
      </c>
      <c r="AP24" s="29">
        <f>AO24*1.03</f>
        <v>202200.0416</v>
      </c>
      <c r="AQ24" s="29">
        <f>AP24*1.02</f>
        <v>206244.04243199999</v>
      </c>
      <c r="AR24" s="29">
        <f t="shared" ref="AR24:AS25" si="9">AQ24*1.02</f>
        <v>210368.92328063998</v>
      </c>
      <c r="AS24" s="29">
        <f t="shared" si="9"/>
        <v>214576.30174625278</v>
      </c>
      <c r="BH24" s="31"/>
      <c r="BI24" s="31"/>
      <c r="BJ24" s="32"/>
    </row>
    <row r="25" spans="1:62" s="29" customFormat="1" x14ac:dyDescent="0.3">
      <c r="B25" s="29" t="s">
        <v>99</v>
      </c>
      <c r="C25" s="29">
        <v>3806</v>
      </c>
      <c r="D25" s="29">
        <v>3779</v>
      </c>
      <c r="E25" s="29">
        <v>3888</v>
      </c>
      <c r="F25" s="29">
        <v>4119</v>
      </c>
      <c r="G25" s="29">
        <v>4041</v>
      </c>
      <c r="H25" s="29">
        <v>4147</v>
      </c>
      <c r="I25" s="29">
        <v>4109</v>
      </c>
      <c r="J25" s="29">
        <v>4489</v>
      </c>
      <c r="K25" s="29">
        <v>4527</v>
      </c>
      <c r="L25" s="29">
        <v>4622</v>
      </c>
      <c r="M25" s="29">
        <v>4312</v>
      </c>
      <c r="N25" s="29">
        <v>4812</v>
      </c>
      <c r="O25" s="29">
        <v>4981</v>
      </c>
      <c r="P25" s="29">
        <v>5058</v>
      </c>
      <c r="Q25" s="29">
        <v>5280</v>
      </c>
      <c r="R25" s="29">
        <v>5396</v>
      </c>
      <c r="S25" s="29">
        <v>5393</v>
      </c>
      <c r="T25" s="29">
        <v>5429</v>
      </c>
      <c r="U25" s="29">
        <v>5589</v>
      </c>
      <c r="V25" s="29">
        <v>5664</v>
      </c>
      <c r="W25" s="29">
        <v>6057</v>
      </c>
      <c r="X25" s="29">
        <v>6065</v>
      </c>
      <c r="Y25" s="7">
        <f t="shared" si="5"/>
        <v>5644.89</v>
      </c>
      <c r="Z25" s="7">
        <f t="shared" si="6"/>
        <v>5720.64</v>
      </c>
      <c r="AJ25" s="29">
        <f>SUM(C25:F25)</f>
        <v>15592</v>
      </c>
      <c r="AK25" s="29">
        <f t="shared" si="7"/>
        <v>16786</v>
      </c>
      <c r="AL25" s="29">
        <f>SUM(K25:N25)</f>
        <v>18273</v>
      </c>
      <c r="AM25" s="29">
        <f>SUM(O25:R25)</f>
        <v>20715</v>
      </c>
      <c r="AN25" s="7">
        <f t="shared" si="8"/>
        <v>22075</v>
      </c>
      <c r="AO25" s="7">
        <f>SUM(W25:Z25)</f>
        <v>23487.53</v>
      </c>
      <c r="AP25" s="29">
        <f>AO25*1.03</f>
        <v>24192.155899999998</v>
      </c>
      <c r="AQ25" s="29">
        <f>AP25*1.02</f>
        <v>24675.999017999999</v>
      </c>
      <c r="AR25" s="29">
        <f t="shared" si="9"/>
        <v>25169.518998359999</v>
      </c>
      <c r="AS25" s="29">
        <f t="shared" si="9"/>
        <v>25672.9093783272</v>
      </c>
      <c r="BH25" s="31"/>
      <c r="BI25" s="31"/>
      <c r="BJ25" s="32"/>
    </row>
    <row r="26" spans="1:62" s="14" customFormat="1" x14ac:dyDescent="0.3">
      <c r="A26" s="9"/>
      <c r="B26" s="9" t="s">
        <v>0</v>
      </c>
      <c r="C26" s="9">
        <f t="shared" ref="C26:S26" si="10">C24+C25</f>
        <v>54381</v>
      </c>
      <c r="D26" s="9">
        <f t="shared" si="10"/>
        <v>37715</v>
      </c>
      <c r="E26" s="9">
        <f t="shared" si="10"/>
        <v>32844</v>
      </c>
      <c r="F26" s="9">
        <f t="shared" si="10"/>
        <v>38816</v>
      </c>
      <c r="G26" s="9">
        <f t="shared" si="10"/>
        <v>52279</v>
      </c>
      <c r="H26" s="9">
        <f t="shared" si="10"/>
        <v>36194</v>
      </c>
      <c r="I26" s="9">
        <f t="shared" si="10"/>
        <v>33582</v>
      </c>
      <c r="J26" s="9">
        <f t="shared" si="10"/>
        <v>39727</v>
      </c>
      <c r="K26" s="9">
        <f t="shared" si="10"/>
        <v>56602</v>
      </c>
      <c r="L26" s="9">
        <f t="shared" si="10"/>
        <v>35943</v>
      </c>
      <c r="M26" s="9">
        <f t="shared" si="10"/>
        <v>37005</v>
      </c>
      <c r="N26" s="9">
        <f t="shared" si="10"/>
        <v>40009</v>
      </c>
      <c r="O26" s="9">
        <f t="shared" si="10"/>
        <v>67111</v>
      </c>
      <c r="P26" s="9">
        <f t="shared" si="10"/>
        <v>51505</v>
      </c>
      <c r="Q26" s="9">
        <f t="shared" si="10"/>
        <v>46179</v>
      </c>
      <c r="R26" s="9">
        <f t="shared" si="10"/>
        <v>48186</v>
      </c>
      <c r="S26" s="9">
        <f t="shared" si="10"/>
        <v>69702</v>
      </c>
      <c r="T26" s="9">
        <f>T24+T25</f>
        <v>54719</v>
      </c>
      <c r="U26" s="9">
        <f>U24+U25</f>
        <v>47074</v>
      </c>
      <c r="V26" s="9">
        <f>V24+V25</f>
        <v>52051</v>
      </c>
      <c r="W26" s="9">
        <f t="shared" ref="W26:Z26" si="11">W24+W25</f>
        <v>66822</v>
      </c>
      <c r="X26" s="9">
        <f t="shared" si="11"/>
        <v>52860</v>
      </c>
      <c r="Y26" s="9">
        <f t="shared" si="11"/>
        <v>47544.74</v>
      </c>
      <c r="Z26" s="9">
        <f t="shared" si="11"/>
        <v>52571.51</v>
      </c>
      <c r="AJ26" s="9">
        <f t="shared" ref="AJ26:AR26" si="12">AJ24+AJ25</f>
        <v>163756</v>
      </c>
      <c r="AK26" s="9">
        <f t="shared" si="12"/>
        <v>161782</v>
      </c>
      <c r="AL26" s="9">
        <f t="shared" si="12"/>
        <v>169559</v>
      </c>
      <c r="AM26" s="9">
        <f t="shared" si="12"/>
        <v>212981</v>
      </c>
      <c r="AN26" s="9">
        <f t="shared" si="12"/>
        <v>223546</v>
      </c>
      <c r="AO26" s="9">
        <f>AO24+AO25</f>
        <v>219798.25</v>
      </c>
      <c r="AP26" s="9">
        <f t="shared" si="12"/>
        <v>226392.19750000001</v>
      </c>
      <c r="AQ26" s="9">
        <f t="shared" si="12"/>
        <v>230920.04144999999</v>
      </c>
      <c r="AR26" s="9">
        <f t="shared" si="12"/>
        <v>235538.44227899998</v>
      </c>
      <c r="AS26" s="9">
        <f>AS24+AS25</f>
        <v>240249.21112457998</v>
      </c>
      <c r="AT26" s="9"/>
      <c r="AU26" s="9"/>
      <c r="AV26" s="9"/>
      <c r="AW26" s="9"/>
      <c r="AX26" s="9"/>
      <c r="AY26" s="9"/>
      <c r="AZ26" s="9"/>
      <c r="BA26" s="9"/>
      <c r="BJ26" s="12"/>
    </row>
    <row r="27" spans="1:62" x14ac:dyDescent="0.3">
      <c r="A27" s="7"/>
      <c r="B27" s="7" t="s">
        <v>1</v>
      </c>
      <c r="C27" s="7">
        <f t="shared" ref="C27:S27" si="13">C23-C26</f>
        <v>33912</v>
      </c>
      <c r="D27" s="7">
        <f t="shared" si="13"/>
        <v>23422</v>
      </c>
      <c r="E27" s="7">
        <f t="shared" si="13"/>
        <v>20421</v>
      </c>
      <c r="F27" s="7">
        <f t="shared" si="13"/>
        <v>24084</v>
      </c>
      <c r="G27" s="7">
        <f t="shared" si="13"/>
        <v>32031</v>
      </c>
      <c r="H27" s="7">
        <f t="shared" si="13"/>
        <v>21821</v>
      </c>
      <c r="I27" s="7">
        <f t="shared" si="13"/>
        <v>20227</v>
      </c>
      <c r="J27" s="7">
        <f t="shared" si="13"/>
        <v>24313</v>
      </c>
      <c r="K27" s="7">
        <f t="shared" si="13"/>
        <v>35217</v>
      </c>
      <c r="L27" s="7">
        <f t="shared" si="13"/>
        <v>22370</v>
      </c>
      <c r="M27" s="7">
        <f t="shared" si="13"/>
        <v>22680</v>
      </c>
      <c r="N27" s="7">
        <f t="shared" si="13"/>
        <v>24689</v>
      </c>
      <c r="O27" s="7">
        <f t="shared" si="13"/>
        <v>44328</v>
      </c>
      <c r="P27" s="7">
        <f t="shared" si="13"/>
        <v>38079</v>
      </c>
      <c r="Q27" s="7">
        <f t="shared" si="13"/>
        <v>35255</v>
      </c>
      <c r="R27" s="7">
        <f t="shared" si="13"/>
        <v>35174</v>
      </c>
      <c r="S27" s="7">
        <f t="shared" si="13"/>
        <v>54243</v>
      </c>
      <c r="T27" s="7">
        <f>T23-T26</f>
        <v>42559</v>
      </c>
      <c r="U27" s="7">
        <f>U23-U26</f>
        <v>35885</v>
      </c>
      <c r="V27" s="7">
        <f>V23-V26</f>
        <v>38095</v>
      </c>
      <c r="W27" s="7">
        <f t="shared" ref="W27:Z27" si="14">W23-W26</f>
        <v>50332</v>
      </c>
      <c r="X27" s="7">
        <f t="shared" si="14"/>
        <v>41976</v>
      </c>
      <c r="Y27" s="7">
        <f t="shared" si="14"/>
        <v>33755.080000000009</v>
      </c>
      <c r="Z27" s="7">
        <f t="shared" si="14"/>
        <v>38284.07</v>
      </c>
      <c r="AJ27" s="7">
        <f t="shared" ref="AJ27:AS27" si="15">AJ23-AJ26</f>
        <v>101839</v>
      </c>
      <c r="AK27" s="7">
        <f t="shared" si="15"/>
        <v>98392</v>
      </c>
      <c r="AL27" s="7">
        <f t="shared" si="15"/>
        <v>104956</v>
      </c>
      <c r="AM27" s="7">
        <f t="shared" si="15"/>
        <v>152836</v>
      </c>
      <c r="AN27" s="7">
        <f t="shared" si="15"/>
        <v>170782</v>
      </c>
      <c r="AO27" s="7">
        <f>AO23-AO26</f>
        <v>164347.14999999997</v>
      </c>
      <c r="AP27" s="7">
        <f t="shared" si="15"/>
        <v>176960.47249999997</v>
      </c>
      <c r="AQ27" s="7">
        <f t="shared" si="15"/>
        <v>192600.26204999999</v>
      </c>
      <c r="AR27" s="7">
        <f t="shared" si="15"/>
        <v>209157.87639600001</v>
      </c>
      <c r="AS27" s="7">
        <f t="shared" si="15"/>
        <v>226681.92348417002</v>
      </c>
      <c r="AT27" s="7"/>
      <c r="AU27" s="7"/>
      <c r="AV27" s="7"/>
      <c r="AW27" s="7"/>
      <c r="AX27" s="7"/>
      <c r="AY27" s="7"/>
      <c r="AZ27" s="7"/>
      <c r="BA27" s="7"/>
      <c r="BJ27" s="5"/>
    </row>
    <row r="28" spans="1:62" x14ac:dyDescent="0.3">
      <c r="A28" s="7"/>
      <c r="B28" s="7" t="s">
        <v>3</v>
      </c>
      <c r="C28" s="7">
        <v>3407</v>
      </c>
      <c r="D28" s="7">
        <v>3378</v>
      </c>
      <c r="E28" s="7">
        <v>3701</v>
      </c>
      <c r="F28" s="7">
        <v>3750</v>
      </c>
      <c r="G28" s="7">
        <v>3902</v>
      </c>
      <c r="H28" s="7">
        <v>3948</v>
      </c>
      <c r="I28" s="7">
        <v>4257</v>
      </c>
      <c r="J28" s="7">
        <v>4110</v>
      </c>
      <c r="K28" s="7">
        <v>4451</v>
      </c>
      <c r="L28" s="7">
        <v>4565</v>
      </c>
      <c r="M28" s="7">
        <v>4758</v>
      </c>
      <c r="N28" s="7">
        <v>4978</v>
      </c>
      <c r="O28" s="7">
        <v>5163</v>
      </c>
      <c r="P28" s="7">
        <v>5262</v>
      </c>
      <c r="Q28" s="7">
        <v>5717</v>
      </c>
      <c r="R28" s="7">
        <v>5772</v>
      </c>
      <c r="S28" s="7">
        <v>6306</v>
      </c>
      <c r="T28" s="7">
        <v>6387</v>
      </c>
      <c r="U28" s="7">
        <v>6797</v>
      </c>
      <c r="V28" s="7">
        <v>6761</v>
      </c>
      <c r="W28" s="7">
        <v>7709</v>
      </c>
      <c r="X28" s="7">
        <v>7457</v>
      </c>
      <c r="Y28" s="7">
        <f t="shared" ref="Y28:Y29" si="16">U28*1.01</f>
        <v>6864.97</v>
      </c>
      <c r="Z28" s="7">
        <f t="shared" ref="Z28:Z29" si="17">V28*1.01</f>
        <v>6828.61</v>
      </c>
      <c r="AA28" s="7"/>
      <c r="AB28" s="7"/>
      <c r="AC28" s="7"/>
      <c r="AD28" s="7"/>
      <c r="AE28" s="7"/>
      <c r="AF28" s="7"/>
      <c r="AG28" s="7"/>
      <c r="AH28" s="7"/>
      <c r="AJ28" s="7">
        <f>SUM(C28:F28)</f>
        <v>14236</v>
      </c>
      <c r="AK28" s="7">
        <f t="shared" ref="AK28:AK29" si="18">SUM(G28:J28)</f>
        <v>16217</v>
      </c>
      <c r="AL28" s="7">
        <f t="shared" ref="AL28:AL29" si="19">SUM(K28:N28)</f>
        <v>18752</v>
      </c>
      <c r="AM28" s="7">
        <f t="shared" ref="AM28:AM29" si="20">SUM(O28:R28)</f>
        <v>21914</v>
      </c>
      <c r="AN28" s="7">
        <f t="shared" ref="AN28:AN29" si="21">SUM(S28:V28)</f>
        <v>26251</v>
      </c>
      <c r="AO28" s="7">
        <f>SUM(W28:Z28)</f>
        <v>28859.58</v>
      </c>
      <c r="AP28" s="7">
        <f>AO28*1.04</f>
        <v>30013.963200000002</v>
      </c>
      <c r="AQ28" s="7">
        <f>AP28*1.03</f>
        <v>30914.382096000001</v>
      </c>
      <c r="AR28" s="7">
        <f>AQ28*1.02</f>
        <v>31532.669737920001</v>
      </c>
      <c r="AS28" s="7">
        <f>AR28*1.01</f>
        <v>31847.996435299203</v>
      </c>
      <c r="AT28" s="7"/>
      <c r="AU28" s="7"/>
      <c r="AV28" s="7"/>
      <c r="AW28" s="7"/>
      <c r="AX28" s="7"/>
      <c r="AY28" s="7"/>
      <c r="AZ28" s="7"/>
      <c r="BA28" s="7"/>
      <c r="BJ28" s="5"/>
    </row>
    <row r="29" spans="1:62" x14ac:dyDescent="0.3">
      <c r="A29" s="7"/>
      <c r="B29" s="7" t="s">
        <v>4</v>
      </c>
      <c r="C29" s="7">
        <v>4231</v>
      </c>
      <c r="D29" s="7">
        <v>4150</v>
      </c>
      <c r="E29" s="7">
        <v>4108</v>
      </c>
      <c r="F29" s="7">
        <v>4216</v>
      </c>
      <c r="G29" s="7">
        <v>4783</v>
      </c>
      <c r="H29" s="7">
        <v>4458</v>
      </c>
      <c r="I29" s="7">
        <v>4426</v>
      </c>
      <c r="J29" s="7">
        <v>4578</v>
      </c>
      <c r="K29" s="7">
        <v>5197</v>
      </c>
      <c r="L29" s="7">
        <v>4952</v>
      </c>
      <c r="M29" s="7">
        <v>4831</v>
      </c>
      <c r="N29" s="7">
        <v>4936</v>
      </c>
      <c r="O29" s="7">
        <v>5631</v>
      </c>
      <c r="P29" s="7">
        <v>5314</v>
      </c>
      <c r="Q29" s="7">
        <v>5412</v>
      </c>
      <c r="R29" s="7">
        <v>5616</v>
      </c>
      <c r="S29" s="7">
        <v>6449</v>
      </c>
      <c r="T29" s="7">
        <v>6193</v>
      </c>
      <c r="U29" s="7">
        <v>6012</v>
      </c>
      <c r="V29" s="7">
        <v>6440</v>
      </c>
      <c r="W29" s="7">
        <v>6607</v>
      </c>
      <c r="X29" s="7">
        <v>6201</v>
      </c>
      <c r="Y29" s="7">
        <f t="shared" si="16"/>
        <v>6072.12</v>
      </c>
      <c r="Z29" s="7">
        <f t="shared" si="17"/>
        <v>6504.4</v>
      </c>
      <c r="AA29" s="7"/>
      <c r="AB29" s="7"/>
      <c r="AC29" s="7"/>
      <c r="AD29" s="7"/>
      <c r="AE29" s="7"/>
      <c r="AF29" s="7"/>
      <c r="AG29" s="7"/>
      <c r="AH29" s="7"/>
      <c r="AJ29" s="7">
        <f>SUM(C29:F29)</f>
        <v>16705</v>
      </c>
      <c r="AK29" s="7">
        <f t="shared" si="18"/>
        <v>18245</v>
      </c>
      <c r="AL29" s="7">
        <f t="shared" si="19"/>
        <v>19916</v>
      </c>
      <c r="AM29" s="7">
        <f t="shared" si="20"/>
        <v>21973</v>
      </c>
      <c r="AN29" s="7">
        <f t="shared" si="21"/>
        <v>25094</v>
      </c>
      <c r="AO29" s="7">
        <f>SUM(W29:Z29)</f>
        <v>25384.519999999997</v>
      </c>
      <c r="AP29" s="7">
        <f>AO29*1.04</f>
        <v>26399.900799999996</v>
      </c>
      <c r="AQ29" s="7">
        <f>AP29*1.03</f>
        <v>27191.897823999996</v>
      </c>
      <c r="AR29" s="7">
        <f>AQ29*1.02</f>
        <v>27735.735780479998</v>
      </c>
      <c r="AS29" s="7">
        <f>AR29*1.01</f>
        <v>28013.093138284799</v>
      </c>
      <c r="AT29" s="7"/>
      <c r="AU29" s="7"/>
      <c r="AV29" s="7"/>
      <c r="AW29" s="7"/>
      <c r="AX29" s="7"/>
      <c r="AY29" s="7"/>
      <c r="AZ29" s="7"/>
      <c r="BA29" s="7"/>
      <c r="BJ29" s="5"/>
    </row>
    <row r="30" spans="1:62" x14ac:dyDescent="0.3">
      <c r="A30" s="7"/>
      <c r="B30" s="7" t="s">
        <v>5</v>
      </c>
      <c r="C30" s="7">
        <f t="shared" ref="C30:S30" si="22">C28+C29</f>
        <v>7638</v>
      </c>
      <c r="D30" s="7">
        <f t="shared" si="22"/>
        <v>7528</v>
      </c>
      <c r="E30" s="7">
        <f t="shared" si="22"/>
        <v>7809</v>
      </c>
      <c r="F30" s="7">
        <f t="shared" si="22"/>
        <v>7966</v>
      </c>
      <c r="G30" s="7">
        <f t="shared" si="22"/>
        <v>8685</v>
      </c>
      <c r="H30" s="7">
        <f t="shared" si="22"/>
        <v>8406</v>
      </c>
      <c r="I30" s="7">
        <f t="shared" si="22"/>
        <v>8683</v>
      </c>
      <c r="J30" s="7">
        <f t="shared" si="22"/>
        <v>8688</v>
      </c>
      <c r="K30" s="7">
        <f t="shared" si="22"/>
        <v>9648</v>
      </c>
      <c r="L30" s="7">
        <f t="shared" si="22"/>
        <v>9517</v>
      </c>
      <c r="M30" s="7">
        <f t="shared" si="22"/>
        <v>9589</v>
      </c>
      <c r="N30" s="7">
        <f t="shared" si="22"/>
        <v>9914</v>
      </c>
      <c r="O30" s="7">
        <f t="shared" si="22"/>
        <v>10794</v>
      </c>
      <c r="P30" s="7">
        <f t="shared" si="22"/>
        <v>10576</v>
      </c>
      <c r="Q30" s="7">
        <f t="shared" si="22"/>
        <v>11129</v>
      </c>
      <c r="R30" s="7">
        <f t="shared" si="22"/>
        <v>11388</v>
      </c>
      <c r="S30" s="7">
        <f t="shared" si="22"/>
        <v>12755</v>
      </c>
      <c r="T30" s="7">
        <f>T28+T29</f>
        <v>12580</v>
      </c>
      <c r="U30" s="7">
        <f t="shared" ref="U30:V30" si="23">U28+U29</f>
        <v>12809</v>
      </c>
      <c r="V30" s="7">
        <f t="shared" si="23"/>
        <v>13201</v>
      </c>
      <c r="W30" s="7">
        <f t="shared" ref="W30:Z30" si="24">W28+W29</f>
        <v>14316</v>
      </c>
      <c r="X30" s="7">
        <f t="shared" si="24"/>
        <v>13658</v>
      </c>
      <c r="Y30" s="7">
        <f t="shared" si="24"/>
        <v>12937.09</v>
      </c>
      <c r="Z30" s="7">
        <f t="shared" si="24"/>
        <v>13333.009999999998</v>
      </c>
      <c r="AA30" s="7"/>
      <c r="AB30" s="7"/>
      <c r="AC30" s="7"/>
      <c r="AD30" s="7"/>
      <c r="AE30" s="7"/>
      <c r="AF30" s="7"/>
      <c r="AG30" s="7"/>
      <c r="AH30" s="7"/>
      <c r="AJ30" s="7">
        <f t="shared" ref="AJ30:AS30" si="25">AJ28+AJ29</f>
        <v>30941</v>
      </c>
      <c r="AK30" s="7">
        <f t="shared" si="25"/>
        <v>34462</v>
      </c>
      <c r="AL30" s="7">
        <f t="shared" si="25"/>
        <v>38668</v>
      </c>
      <c r="AM30" s="7">
        <f t="shared" si="25"/>
        <v>43887</v>
      </c>
      <c r="AN30" s="7">
        <f t="shared" si="25"/>
        <v>51345</v>
      </c>
      <c r="AO30" s="7">
        <f>AO28+AO29</f>
        <v>54244.1</v>
      </c>
      <c r="AP30" s="7">
        <f t="shared" si="25"/>
        <v>56413.864000000001</v>
      </c>
      <c r="AQ30" s="7">
        <f t="shared" si="25"/>
        <v>58106.279920000001</v>
      </c>
      <c r="AR30" s="7">
        <f t="shared" si="25"/>
        <v>59268.405518400003</v>
      </c>
      <c r="AS30" s="7">
        <f t="shared" si="25"/>
        <v>59861.089573584002</v>
      </c>
      <c r="AT30" s="7"/>
      <c r="AU30" s="7"/>
      <c r="AV30" s="7"/>
      <c r="AW30" s="7"/>
      <c r="AX30" s="7"/>
      <c r="AY30" s="7"/>
      <c r="AZ30" s="7"/>
      <c r="BA30" s="7"/>
      <c r="BJ30" s="5"/>
    </row>
    <row r="31" spans="1:62" x14ac:dyDescent="0.3">
      <c r="A31" s="7"/>
      <c r="B31" s="9" t="s">
        <v>6</v>
      </c>
      <c r="C31" s="9">
        <f t="shared" ref="C31:S31" si="26">C27-C30</f>
        <v>26274</v>
      </c>
      <c r="D31" s="9">
        <f t="shared" si="26"/>
        <v>15894</v>
      </c>
      <c r="E31" s="9">
        <f t="shared" si="26"/>
        <v>12612</v>
      </c>
      <c r="F31" s="9">
        <f t="shared" si="26"/>
        <v>16118</v>
      </c>
      <c r="G31" s="9">
        <f t="shared" si="26"/>
        <v>23346</v>
      </c>
      <c r="H31" s="9">
        <f t="shared" si="26"/>
        <v>13415</v>
      </c>
      <c r="I31" s="9">
        <f t="shared" si="26"/>
        <v>11544</v>
      </c>
      <c r="J31" s="9">
        <f t="shared" si="26"/>
        <v>15625</v>
      </c>
      <c r="K31" s="9">
        <f t="shared" si="26"/>
        <v>25569</v>
      </c>
      <c r="L31" s="9">
        <f t="shared" si="26"/>
        <v>12853</v>
      </c>
      <c r="M31" s="9">
        <f t="shared" si="26"/>
        <v>13091</v>
      </c>
      <c r="N31" s="9">
        <f t="shared" si="26"/>
        <v>14775</v>
      </c>
      <c r="O31" s="9">
        <f t="shared" si="26"/>
        <v>33534</v>
      </c>
      <c r="P31" s="9">
        <f t="shared" si="26"/>
        <v>27503</v>
      </c>
      <c r="Q31" s="9">
        <f t="shared" si="26"/>
        <v>24126</v>
      </c>
      <c r="R31" s="9">
        <f t="shared" si="26"/>
        <v>23786</v>
      </c>
      <c r="S31" s="9">
        <f t="shared" si="26"/>
        <v>41488</v>
      </c>
      <c r="T31" s="9">
        <f>T27-T30</f>
        <v>29979</v>
      </c>
      <c r="U31" s="9">
        <f t="shared" ref="U31:V31" si="27">U27-U30</f>
        <v>23076</v>
      </c>
      <c r="V31" s="9">
        <f t="shared" si="27"/>
        <v>24894</v>
      </c>
      <c r="W31" s="9">
        <f t="shared" ref="W31:Z31" si="28">W27-W30</f>
        <v>36016</v>
      </c>
      <c r="X31" s="9">
        <f t="shared" si="28"/>
        <v>28318</v>
      </c>
      <c r="Y31" s="9">
        <f t="shared" si="28"/>
        <v>20817.990000000009</v>
      </c>
      <c r="Z31" s="9">
        <f t="shared" si="28"/>
        <v>24951.06</v>
      </c>
      <c r="AA31" s="7"/>
      <c r="AB31" s="7"/>
      <c r="AC31" s="7"/>
      <c r="AD31" s="7"/>
      <c r="AE31" s="7"/>
      <c r="AF31" s="7"/>
      <c r="AG31" s="7"/>
      <c r="AH31" s="7"/>
      <c r="AJ31" s="9">
        <f t="shared" ref="AJ31:AS31" si="29">AJ27-AJ30</f>
        <v>70898</v>
      </c>
      <c r="AK31" s="9">
        <f t="shared" si="29"/>
        <v>63930</v>
      </c>
      <c r="AL31" s="9">
        <f t="shared" si="29"/>
        <v>66288</v>
      </c>
      <c r="AM31" s="9">
        <f t="shared" si="29"/>
        <v>108949</v>
      </c>
      <c r="AN31" s="9">
        <f t="shared" si="29"/>
        <v>119437</v>
      </c>
      <c r="AO31" s="9">
        <f>AO27-AO30</f>
        <v>110103.04999999996</v>
      </c>
      <c r="AP31" s="9">
        <f t="shared" si="29"/>
        <v>120546.60849999997</v>
      </c>
      <c r="AQ31" s="9">
        <f t="shared" si="29"/>
        <v>134493.98212999999</v>
      </c>
      <c r="AR31" s="9">
        <f t="shared" si="29"/>
        <v>149889.47087760002</v>
      </c>
      <c r="AS31" s="9">
        <f t="shared" si="29"/>
        <v>166820.83391058602</v>
      </c>
      <c r="AT31" s="9"/>
      <c r="AU31" s="9"/>
      <c r="AV31" s="9"/>
      <c r="AW31" s="9"/>
      <c r="AX31" s="9"/>
      <c r="AY31" s="9"/>
      <c r="AZ31" s="9"/>
      <c r="BA31" s="9"/>
      <c r="BJ31" s="5"/>
    </row>
    <row r="32" spans="1:62" x14ac:dyDescent="0.3">
      <c r="A32" s="7"/>
      <c r="B32" s="7" t="s">
        <v>78</v>
      </c>
      <c r="C32" s="7">
        <v>756</v>
      </c>
      <c r="D32" s="7">
        <v>274</v>
      </c>
      <c r="E32" s="7">
        <v>672</v>
      </c>
      <c r="F32" s="7">
        <v>303</v>
      </c>
      <c r="G32" s="7">
        <v>560</v>
      </c>
      <c r="H32" s="7">
        <v>378</v>
      </c>
      <c r="I32" s="7">
        <v>367</v>
      </c>
      <c r="J32" s="7">
        <v>502</v>
      </c>
      <c r="K32" s="7">
        <v>349</v>
      </c>
      <c r="L32" s="7">
        <v>282</v>
      </c>
      <c r="M32" s="7">
        <v>46</v>
      </c>
      <c r="N32" s="7">
        <v>126</v>
      </c>
      <c r="O32" s="7">
        <v>45</v>
      </c>
      <c r="P32" s="7">
        <v>508</v>
      </c>
      <c r="Q32" s="7">
        <v>243</v>
      </c>
      <c r="R32" s="7">
        <v>-538</v>
      </c>
      <c r="S32" s="7">
        <v>-247</v>
      </c>
      <c r="T32" s="7">
        <v>160</v>
      </c>
      <c r="U32" s="7">
        <v>-10</v>
      </c>
      <c r="V32" s="7">
        <v>-237</v>
      </c>
      <c r="W32" s="7">
        <v>-393</v>
      </c>
      <c r="X32" s="7">
        <v>64</v>
      </c>
      <c r="Y32" s="7">
        <f t="shared" ref="Y32:Z32" si="30">U32*1.01</f>
        <v>-10.1</v>
      </c>
      <c r="Z32" s="7">
        <f t="shared" si="30"/>
        <v>-239.37</v>
      </c>
      <c r="AA32" s="7"/>
      <c r="AB32" s="7"/>
      <c r="AC32" s="7"/>
      <c r="AD32" s="7"/>
      <c r="AE32" s="7"/>
      <c r="AF32" s="7"/>
      <c r="AG32" s="7"/>
      <c r="AH32" s="7"/>
      <c r="AJ32" s="7">
        <f>SUM(C32:F32)</f>
        <v>2005</v>
      </c>
      <c r="AK32" s="7">
        <f>SUM(G32:J32)</f>
        <v>1807</v>
      </c>
      <c r="AL32" s="7">
        <f>SUM(K32:N32)</f>
        <v>803</v>
      </c>
      <c r="AM32" s="7">
        <f>SUM(O32:R32)</f>
        <v>258</v>
      </c>
      <c r="AN32" s="7">
        <f>SUM(S32:V32)</f>
        <v>-334</v>
      </c>
      <c r="AO32" s="7">
        <f>SUM(W32:Z32)</f>
        <v>-578.47</v>
      </c>
      <c r="AP32" s="7">
        <f t="shared" ref="AO32:AS32" si="31">AO32*1.01</f>
        <v>-584.25470000000007</v>
      </c>
      <c r="AQ32" s="7">
        <f t="shared" si="31"/>
        <v>-590.09724700000004</v>
      </c>
      <c r="AR32" s="7">
        <f t="shared" si="31"/>
        <v>-595.99821947000009</v>
      </c>
      <c r="AS32" s="7">
        <f t="shared" si="31"/>
        <v>-601.95820166470014</v>
      </c>
      <c r="AT32" s="7"/>
      <c r="AU32" s="7"/>
      <c r="AV32" s="7"/>
      <c r="AW32" s="7"/>
      <c r="AX32" s="7"/>
      <c r="AY32" s="7"/>
      <c r="AZ32" s="7"/>
      <c r="BA32" s="7"/>
    </row>
    <row r="33" spans="1:1212" x14ac:dyDescent="0.3">
      <c r="A33" s="7"/>
      <c r="B33" s="7" t="s">
        <v>8</v>
      </c>
      <c r="C33" s="7">
        <f t="shared" ref="C33:S33" si="32">C31+C32</f>
        <v>27030</v>
      </c>
      <c r="D33" s="7">
        <f t="shared" si="32"/>
        <v>16168</v>
      </c>
      <c r="E33" s="7">
        <f t="shared" si="32"/>
        <v>13284</v>
      </c>
      <c r="F33" s="7">
        <f t="shared" si="32"/>
        <v>16421</v>
      </c>
      <c r="G33" s="7">
        <f t="shared" si="32"/>
        <v>23906</v>
      </c>
      <c r="H33" s="7">
        <f t="shared" si="32"/>
        <v>13793</v>
      </c>
      <c r="I33" s="7">
        <f t="shared" si="32"/>
        <v>11911</v>
      </c>
      <c r="J33" s="7">
        <f t="shared" si="32"/>
        <v>16127</v>
      </c>
      <c r="K33" s="7">
        <f t="shared" si="32"/>
        <v>25918</v>
      </c>
      <c r="L33" s="7">
        <f t="shared" si="32"/>
        <v>13135</v>
      </c>
      <c r="M33" s="7">
        <f t="shared" si="32"/>
        <v>13137</v>
      </c>
      <c r="N33" s="7">
        <f t="shared" si="32"/>
        <v>14901</v>
      </c>
      <c r="O33" s="7">
        <f t="shared" si="32"/>
        <v>33579</v>
      </c>
      <c r="P33" s="7">
        <f t="shared" si="32"/>
        <v>28011</v>
      </c>
      <c r="Q33" s="7">
        <f t="shared" si="32"/>
        <v>24369</v>
      </c>
      <c r="R33" s="7">
        <f t="shared" si="32"/>
        <v>23248</v>
      </c>
      <c r="S33" s="7">
        <f t="shared" si="32"/>
        <v>41241</v>
      </c>
      <c r="T33" s="7">
        <f>T31+T32</f>
        <v>30139</v>
      </c>
      <c r="U33" s="7">
        <f t="shared" ref="U33:Z33" si="33">U31+U32</f>
        <v>23066</v>
      </c>
      <c r="V33" s="7">
        <f t="shared" si="33"/>
        <v>24657</v>
      </c>
      <c r="W33" s="7">
        <f t="shared" si="33"/>
        <v>35623</v>
      </c>
      <c r="X33" s="7">
        <f t="shared" si="33"/>
        <v>28382</v>
      </c>
      <c r="Y33" s="7">
        <f t="shared" si="33"/>
        <v>20807.89000000001</v>
      </c>
      <c r="Z33" s="7">
        <f t="shared" si="33"/>
        <v>24711.690000000002</v>
      </c>
      <c r="AA33" s="7"/>
      <c r="AB33" s="7"/>
      <c r="AC33" s="7"/>
      <c r="AD33" s="7"/>
      <c r="AE33" s="7"/>
      <c r="AF33" s="7"/>
      <c r="AG33" s="7"/>
      <c r="AH33" s="7"/>
      <c r="AJ33" s="7">
        <f t="shared" ref="AJ33:AS33" si="34">AJ31+AJ32</f>
        <v>72903</v>
      </c>
      <c r="AK33" s="7">
        <f t="shared" si="34"/>
        <v>65737</v>
      </c>
      <c r="AL33" s="7">
        <f t="shared" si="34"/>
        <v>67091</v>
      </c>
      <c r="AM33" s="7">
        <f t="shared" si="34"/>
        <v>109207</v>
      </c>
      <c r="AN33" s="7">
        <f t="shared" si="34"/>
        <v>119103</v>
      </c>
      <c r="AO33" s="7">
        <f>AO31+AO32</f>
        <v>109524.57999999996</v>
      </c>
      <c r="AP33" s="7">
        <f t="shared" si="34"/>
        <v>119962.35379999997</v>
      </c>
      <c r="AQ33" s="7">
        <f t="shared" si="34"/>
        <v>133903.88488299999</v>
      </c>
      <c r="AR33" s="7">
        <f t="shared" si="34"/>
        <v>149293.47265813002</v>
      </c>
      <c r="AS33" s="7">
        <f t="shared" si="34"/>
        <v>166218.87570892132</v>
      </c>
      <c r="AT33" s="7"/>
      <c r="AU33" s="7"/>
      <c r="AV33" s="7"/>
      <c r="AW33" s="7"/>
      <c r="AX33" s="7"/>
      <c r="AY33" s="7"/>
      <c r="AZ33" s="7"/>
      <c r="BA33" s="7"/>
    </row>
    <row r="34" spans="1:1212" x14ac:dyDescent="0.3">
      <c r="A34" s="7"/>
      <c r="B34" s="7" t="s">
        <v>9</v>
      </c>
      <c r="C34" s="7">
        <v>6965</v>
      </c>
      <c r="D34" s="7">
        <v>2346</v>
      </c>
      <c r="E34" s="7">
        <v>1765</v>
      </c>
      <c r="F34" s="7">
        <v>2296</v>
      </c>
      <c r="G34" s="7">
        <v>3941</v>
      </c>
      <c r="H34" s="7">
        <v>2232</v>
      </c>
      <c r="I34" s="7">
        <v>1867</v>
      </c>
      <c r="J34" s="7">
        <v>2441</v>
      </c>
      <c r="K34" s="7">
        <v>3682</v>
      </c>
      <c r="L34" s="7">
        <v>1886</v>
      </c>
      <c r="M34" s="7">
        <v>1884</v>
      </c>
      <c r="N34" s="7">
        <v>2228</v>
      </c>
      <c r="O34" s="7">
        <v>4824</v>
      </c>
      <c r="P34" s="7">
        <v>4381</v>
      </c>
      <c r="Q34" s="7">
        <v>2625</v>
      </c>
      <c r="R34" s="7">
        <v>2697</v>
      </c>
      <c r="S34" s="7">
        <v>6611</v>
      </c>
      <c r="T34" s="7">
        <v>5129</v>
      </c>
      <c r="U34" s="7">
        <v>3624</v>
      </c>
      <c r="V34" s="7">
        <v>3936</v>
      </c>
      <c r="W34" s="7">
        <v>5625</v>
      </c>
      <c r="X34" s="7">
        <v>4222</v>
      </c>
      <c r="Y34" s="7">
        <f>0.21*Y33</f>
        <v>4369.6569000000018</v>
      </c>
      <c r="Z34" s="7">
        <f>0.21*Z33</f>
        <v>5189.4549000000006</v>
      </c>
      <c r="AA34" s="7"/>
      <c r="AB34" s="7"/>
      <c r="AC34" s="7"/>
      <c r="AD34" s="7"/>
      <c r="AE34" s="7"/>
      <c r="AF34" s="7"/>
      <c r="AG34" s="7"/>
      <c r="AH34" s="7"/>
      <c r="AJ34" s="7">
        <f>SUM(C34:F34)</f>
        <v>13372</v>
      </c>
      <c r="AK34" s="7">
        <f>SUM(G34:J34)</f>
        <v>10481</v>
      </c>
      <c r="AL34" s="7">
        <f>SUM(K34:N34)</f>
        <v>9680</v>
      </c>
      <c r="AM34" s="7">
        <f>SUM(O34:R34)</f>
        <v>14527</v>
      </c>
      <c r="AN34" s="7">
        <f>SUM(S34:V34)</f>
        <v>19300</v>
      </c>
      <c r="AO34" s="7">
        <f>SUM(W34:Z34)</f>
        <v>19406.111800000002</v>
      </c>
      <c r="AP34" s="7">
        <f t="shared" ref="AO34:AS34" si="35">AP33*0.19</f>
        <v>22792.847221999993</v>
      </c>
      <c r="AQ34" s="7">
        <f t="shared" si="35"/>
        <v>25441.738127769997</v>
      </c>
      <c r="AR34" s="7">
        <f t="shared" si="35"/>
        <v>28365.759805044705</v>
      </c>
      <c r="AS34" s="7">
        <f t="shared" si="35"/>
        <v>31581.586384695052</v>
      </c>
      <c r="AT34" s="7"/>
      <c r="AU34" s="7"/>
      <c r="AV34" s="7"/>
      <c r="AW34" s="7"/>
      <c r="AX34" s="7"/>
      <c r="AY34" s="7"/>
      <c r="AZ34" s="7"/>
      <c r="BA34" s="7"/>
    </row>
    <row r="35" spans="1:1212" x14ac:dyDescent="0.3">
      <c r="A35" s="7"/>
      <c r="B35" s="9" t="s">
        <v>10</v>
      </c>
      <c r="C35" s="9">
        <f t="shared" ref="C35:S35" si="36">C33-C34</f>
        <v>20065</v>
      </c>
      <c r="D35" s="9">
        <f t="shared" si="36"/>
        <v>13822</v>
      </c>
      <c r="E35" s="9">
        <f t="shared" si="36"/>
        <v>11519</v>
      </c>
      <c r="F35" s="9">
        <f t="shared" si="36"/>
        <v>14125</v>
      </c>
      <c r="G35" s="9">
        <f t="shared" si="36"/>
        <v>19965</v>
      </c>
      <c r="H35" s="9">
        <f t="shared" si="36"/>
        <v>11561</v>
      </c>
      <c r="I35" s="9">
        <f t="shared" si="36"/>
        <v>10044</v>
      </c>
      <c r="J35" s="9">
        <f t="shared" si="36"/>
        <v>13686</v>
      </c>
      <c r="K35" s="9">
        <f t="shared" si="36"/>
        <v>22236</v>
      </c>
      <c r="L35" s="9">
        <f t="shared" si="36"/>
        <v>11249</v>
      </c>
      <c r="M35" s="9">
        <f t="shared" si="36"/>
        <v>11253</v>
      </c>
      <c r="N35" s="9">
        <f t="shared" si="36"/>
        <v>12673</v>
      </c>
      <c r="O35" s="9">
        <f t="shared" si="36"/>
        <v>28755</v>
      </c>
      <c r="P35" s="9">
        <f t="shared" si="36"/>
        <v>23630</v>
      </c>
      <c r="Q35" s="9">
        <f t="shared" si="36"/>
        <v>21744</v>
      </c>
      <c r="R35" s="9">
        <f t="shared" si="36"/>
        <v>20551</v>
      </c>
      <c r="S35" s="9">
        <f t="shared" si="36"/>
        <v>34630</v>
      </c>
      <c r="T35" s="9">
        <f>T33-T34</f>
        <v>25010</v>
      </c>
      <c r="U35" s="9">
        <f t="shared" ref="U35:Z35" si="37">U33-U34</f>
        <v>19442</v>
      </c>
      <c r="V35" s="9">
        <f t="shared" si="37"/>
        <v>20721</v>
      </c>
      <c r="W35" s="9">
        <f t="shared" si="37"/>
        <v>29998</v>
      </c>
      <c r="X35" s="9">
        <f t="shared" si="37"/>
        <v>24160</v>
      </c>
      <c r="Y35" s="9">
        <f t="shared" si="37"/>
        <v>16438.233100000009</v>
      </c>
      <c r="Z35" s="9">
        <f t="shared" si="37"/>
        <v>19522.235100000002</v>
      </c>
      <c r="AA35" s="7"/>
      <c r="AB35" s="7"/>
      <c r="AC35" s="7"/>
      <c r="AD35" s="7"/>
      <c r="AE35" s="7"/>
      <c r="AF35" s="7"/>
      <c r="AG35" s="7"/>
      <c r="AH35" s="7"/>
      <c r="AJ35" s="9">
        <f t="shared" ref="AJ35:AS35" si="38">AJ33-AJ34</f>
        <v>59531</v>
      </c>
      <c r="AK35" s="9">
        <f t="shared" si="38"/>
        <v>55256</v>
      </c>
      <c r="AL35" s="9">
        <f t="shared" si="38"/>
        <v>57411</v>
      </c>
      <c r="AM35" s="9">
        <f t="shared" si="38"/>
        <v>94680</v>
      </c>
      <c r="AN35" s="9">
        <f t="shared" si="38"/>
        <v>99803</v>
      </c>
      <c r="AO35" s="9">
        <f>AO33-AO34</f>
        <v>90118.468199999959</v>
      </c>
      <c r="AP35" s="9">
        <f t="shared" si="38"/>
        <v>97169.506577999971</v>
      </c>
      <c r="AQ35" s="9">
        <f t="shared" si="38"/>
        <v>108462.14675523</v>
      </c>
      <c r="AR35" s="9">
        <f t="shared" si="38"/>
        <v>120927.71285308531</v>
      </c>
      <c r="AS35" s="9">
        <f t="shared" si="38"/>
        <v>134637.28932422627</v>
      </c>
      <c r="AT35" s="9">
        <f>AS35*(1+$AW$41)</f>
        <v>133290.91643098401</v>
      </c>
      <c r="AU35" s="9">
        <f t="shared" ref="AU35:DF35" si="39">AT35*(1+$AW$41)</f>
        <v>131958.00726667416</v>
      </c>
      <c r="AV35" s="9">
        <f t="shared" si="39"/>
        <v>130638.42719400742</v>
      </c>
      <c r="AW35" s="9">
        <f t="shared" si="39"/>
        <v>129332.04292206735</v>
      </c>
      <c r="AX35" s="9">
        <f t="shared" si="39"/>
        <v>128038.72249284667</v>
      </c>
      <c r="AY35" s="9">
        <f t="shared" si="39"/>
        <v>126758.33526791821</v>
      </c>
      <c r="AZ35" s="9">
        <f t="shared" si="39"/>
        <v>125490.75191523903</v>
      </c>
      <c r="BA35" s="9">
        <f t="shared" si="39"/>
        <v>124235.84439608664</v>
      </c>
      <c r="BB35" s="9">
        <f t="shared" si="39"/>
        <v>122993.48595212577</v>
      </c>
      <c r="BC35" s="9">
        <f t="shared" si="39"/>
        <v>121763.55109260451</v>
      </c>
      <c r="BD35" s="9">
        <f t="shared" si="39"/>
        <v>120545.91558167846</v>
      </c>
      <c r="BE35" s="9">
        <f t="shared" si="39"/>
        <v>119340.45642586167</v>
      </c>
      <c r="BF35" s="9">
        <f t="shared" si="39"/>
        <v>118147.05186160306</v>
      </c>
      <c r="BG35" s="9">
        <f t="shared" si="39"/>
        <v>116965.58134298703</v>
      </c>
      <c r="BH35" s="9">
        <f t="shared" si="39"/>
        <v>115795.92552955716</v>
      </c>
      <c r="BI35" s="9">
        <f t="shared" si="39"/>
        <v>114637.96627426159</v>
      </c>
      <c r="BJ35" s="9">
        <f t="shared" si="39"/>
        <v>113491.58661151897</v>
      </c>
      <c r="BK35" s="9">
        <f t="shared" si="39"/>
        <v>112356.67074540378</v>
      </c>
      <c r="BL35" s="9">
        <f t="shared" si="39"/>
        <v>111233.10403794974</v>
      </c>
      <c r="BM35" s="9">
        <f t="shared" si="39"/>
        <v>110120.77299757024</v>
      </c>
      <c r="BN35" s="9">
        <f t="shared" si="39"/>
        <v>109019.56526759453</v>
      </c>
      <c r="BO35" s="9">
        <f t="shared" si="39"/>
        <v>107929.36961491859</v>
      </c>
      <c r="BP35" s="9">
        <f t="shared" si="39"/>
        <v>106850.07591876941</v>
      </c>
      <c r="BQ35" s="9">
        <f t="shared" si="39"/>
        <v>105781.57515958171</v>
      </c>
      <c r="BR35" s="9">
        <f t="shared" si="39"/>
        <v>104723.7594079859</v>
      </c>
      <c r="BS35" s="9">
        <f t="shared" si="39"/>
        <v>103676.52181390603</v>
      </c>
      <c r="BT35" s="9">
        <f t="shared" si="39"/>
        <v>102639.75659576697</v>
      </c>
      <c r="BU35" s="9">
        <f t="shared" si="39"/>
        <v>101613.3590298093</v>
      </c>
      <c r="BV35" s="9">
        <f t="shared" si="39"/>
        <v>100597.22543951121</v>
      </c>
      <c r="BW35" s="9">
        <f t="shared" si="39"/>
        <v>99591.253185116104</v>
      </c>
      <c r="BX35" s="9">
        <f t="shared" si="39"/>
        <v>98595.340653264939</v>
      </c>
      <c r="BY35" s="9">
        <f t="shared" si="39"/>
        <v>97609.387246732294</v>
      </c>
      <c r="BZ35" s="9">
        <f t="shared" si="39"/>
        <v>96633.293374264977</v>
      </c>
      <c r="CA35" s="9">
        <f t="shared" si="39"/>
        <v>95666.960440522322</v>
      </c>
      <c r="CB35" s="9">
        <f t="shared" si="39"/>
        <v>94710.290836117099</v>
      </c>
      <c r="CC35" s="9">
        <f t="shared" si="39"/>
        <v>93763.187927755935</v>
      </c>
      <c r="CD35" s="9">
        <f t="shared" si="39"/>
        <v>92825.556048478378</v>
      </c>
      <c r="CE35" s="9">
        <f t="shared" si="39"/>
        <v>91897.300487993591</v>
      </c>
      <c r="CF35" s="9">
        <f t="shared" si="39"/>
        <v>90978.327483113651</v>
      </c>
      <c r="CG35" s="9">
        <f t="shared" si="39"/>
        <v>90068.544208282518</v>
      </c>
      <c r="CH35" s="9">
        <f t="shared" si="39"/>
        <v>89167.858766199686</v>
      </c>
      <c r="CI35" s="9">
        <f t="shared" si="39"/>
        <v>88276.180178537688</v>
      </c>
      <c r="CJ35" s="9">
        <f t="shared" si="39"/>
        <v>87393.418376752306</v>
      </c>
      <c r="CK35" s="9">
        <f t="shared" si="39"/>
        <v>86519.484192984775</v>
      </c>
      <c r="CL35" s="9">
        <f t="shared" si="39"/>
        <v>85654.289351054933</v>
      </c>
      <c r="CM35" s="9">
        <f t="shared" si="39"/>
        <v>84797.746457544388</v>
      </c>
      <c r="CN35" s="9">
        <f t="shared" si="39"/>
        <v>83949.768992968937</v>
      </c>
      <c r="CO35" s="9">
        <f t="shared" si="39"/>
        <v>83110.271303039248</v>
      </c>
      <c r="CP35" s="9">
        <f t="shared" si="39"/>
        <v>82279.168590008849</v>
      </c>
      <c r="CQ35" s="9">
        <f t="shared" si="39"/>
        <v>81456.376904108765</v>
      </c>
      <c r="CR35" s="9">
        <f t="shared" si="39"/>
        <v>80641.81313506767</v>
      </c>
      <c r="CS35" s="9">
        <f t="shared" si="39"/>
        <v>79835.395003717</v>
      </c>
      <c r="CT35" s="9">
        <f t="shared" si="39"/>
        <v>79037.04105367983</v>
      </c>
      <c r="CU35" s="9">
        <f t="shared" si="39"/>
        <v>78246.670643143036</v>
      </c>
      <c r="CV35" s="9">
        <f t="shared" si="39"/>
        <v>77464.203936711609</v>
      </c>
      <c r="CW35" s="9">
        <f t="shared" si="39"/>
        <v>76689.561897344494</v>
      </c>
      <c r="CX35" s="9">
        <f t="shared" si="39"/>
        <v>75922.666278371049</v>
      </c>
      <c r="CY35" s="9">
        <f t="shared" si="39"/>
        <v>75163.43961558734</v>
      </c>
      <c r="CZ35" s="9">
        <f t="shared" si="39"/>
        <v>74411.805219431466</v>
      </c>
      <c r="DA35" s="9">
        <f t="shared" si="39"/>
        <v>73667.687167237149</v>
      </c>
      <c r="DB35" s="9">
        <f t="shared" si="39"/>
        <v>72931.010295564774</v>
      </c>
      <c r="DC35" s="9">
        <f t="shared" si="39"/>
        <v>72201.700192609133</v>
      </c>
      <c r="DD35" s="9">
        <f t="shared" si="39"/>
        <v>71479.683190683034</v>
      </c>
      <c r="DE35" s="9">
        <f t="shared" si="39"/>
        <v>70764.886358776203</v>
      </c>
      <c r="DF35" s="9">
        <f t="shared" si="39"/>
        <v>70057.237495188441</v>
      </c>
      <c r="DG35" s="9">
        <f t="shared" ref="DG35:FR35" si="40">DF35*(1+$AW$41)</f>
        <v>69356.665120236561</v>
      </c>
      <c r="DH35" s="9">
        <f t="shared" si="40"/>
        <v>68663.098469034201</v>
      </c>
      <c r="DI35" s="9">
        <f t="shared" si="40"/>
        <v>67976.467484343855</v>
      </c>
      <c r="DJ35" s="9">
        <f t="shared" si="40"/>
        <v>67296.702809500421</v>
      </c>
      <c r="DK35" s="9">
        <f t="shared" si="40"/>
        <v>66623.735781405412</v>
      </c>
      <c r="DL35" s="9">
        <f t="shared" si="40"/>
        <v>65957.498423591358</v>
      </c>
      <c r="DM35" s="9">
        <f t="shared" si="40"/>
        <v>65297.923439355443</v>
      </c>
      <c r="DN35" s="9">
        <f t="shared" si="40"/>
        <v>64644.944204961888</v>
      </c>
      <c r="DO35" s="9">
        <f t="shared" si="40"/>
        <v>63998.494762912269</v>
      </c>
      <c r="DP35" s="9">
        <f t="shared" si="40"/>
        <v>63358.509815283149</v>
      </c>
      <c r="DQ35" s="9">
        <f t="shared" si="40"/>
        <v>62724.924717130314</v>
      </c>
      <c r="DR35" s="9">
        <f t="shared" si="40"/>
        <v>62097.675469959009</v>
      </c>
      <c r="DS35" s="9">
        <f t="shared" si="40"/>
        <v>61476.698715259416</v>
      </c>
      <c r="DT35" s="9">
        <f t="shared" si="40"/>
        <v>60861.931728106822</v>
      </c>
      <c r="DU35" s="9">
        <f t="shared" si="40"/>
        <v>60253.312410825754</v>
      </c>
      <c r="DV35" s="9">
        <f t="shared" si="40"/>
        <v>59650.779286717494</v>
      </c>
      <c r="DW35" s="9">
        <f t="shared" si="40"/>
        <v>59054.27149385032</v>
      </c>
      <c r="DX35" s="9">
        <f t="shared" si="40"/>
        <v>58463.728778911813</v>
      </c>
      <c r="DY35" s="9">
        <f t="shared" si="40"/>
        <v>57879.091491122694</v>
      </c>
      <c r="DZ35" s="9">
        <f t="shared" si="40"/>
        <v>57300.300576211463</v>
      </c>
      <c r="EA35" s="9">
        <f t="shared" si="40"/>
        <v>56727.297570449351</v>
      </c>
      <c r="EB35" s="9">
        <f t="shared" si="40"/>
        <v>56160.024594744857</v>
      </c>
      <c r="EC35" s="9">
        <f t="shared" si="40"/>
        <v>55598.424348797409</v>
      </c>
      <c r="ED35" s="9">
        <f t="shared" si="40"/>
        <v>55042.440105309433</v>
      </c>
      <c r="EE35" s="9">
        <f t="shared" si="40"/>
        <v>54492.015704256337</v>
      </c>
      <c r="EF35" s="9">
        <f t="shared" si="40"/>
        <v>53947.095547213772</v>
      </c>
      <c r="EG35" s="9">
        <f t="shared" si="40"/>
        <v>53407.624591741631</v>
      </c>
      <c r="EH35" s="9">
        <f t="shared" si="40"/>
        <v>52873.548345824216</v>
      </c>
      <c r="EI35" s="9">
        <f t="shared" si="40"/>
        <v>52344.812862365972</v>
      </c>
      <c r="EJ35" s="9">
        <f t="shared" si="40"/>
        <v>51821.36473374231</v>
      </c>
      <c r="EK35" s="9">
        <f t="shared" si="40"/>
        <v>51303.151086404883</v>
      </c>
      <c r="EL35" s="9">
        <f t="shared" si="40"/>
        <v>50790.119575540833</v>
      </c>
      <c r="EM35" s="9">
        <f t="shared" si="40"/>
        <v>50282.218379785423</v>
      </c>
      <c r="EN35" s="9">
        <f t="shared" si="40"/>
        <v>49779.396195987567</v>
      </c>
      <c r="EO35" s="9">
        <f t="shared" si="40"/>
        <v>49281.60223402769</v>
      </c>
      <c r="EP35" s="9">
        <f t="shared" si="40"/>
        <v>48788.786211687417</v>
      </c>
      <c r="EQ35" s="9">
        <f t="shared" si="40"/>
        <v>48300.89834957054</v>
      </c>
      <c r="ER35" s="9">
        <f t="shared" si="40"/>
        <v>47817.889366074836</v>
      </c>
      <c r="ES35" s="9">
        <f t="shared" si="40"/>
        <v>47339.710472414088</v>
      </c>
      <c r="ET35" s="9">
        <f t="shared" si="40"/>
        <v>46866.313367689945</v>
      </c>
      <c r="EU35" s="9">
        <f t="shared" si="40"/>
        <v>46397.650234013046</v>
      </c>
      <c r="EV35" s="9">
        <f t="shared" si="40"/>
        <v>45933.673731672912</v>
      </c>
      <c r="EW35" s="9">
        <f t="shared" si="40"/>
        <v>45474.336994356185</v>
      </c>
      <c r="EX35" s="9">
        <f t="shared" si="40"/>
        <v>45019.593624412621</v>
      </c>
      <c r="EY35" s="9">
        <f t="shared" si="40"/>
        <v>44569.397688168494</v>
      </c>
      <c r="EZ35" s="9">
        <f t="shared" si="40"/>
        <v>44123.703711286806</v>
      </c>
      <c r="FA35" s="9">
        <f t="shared" si="40"/>
        <v>43682.466674173935</v>
      </c>
      <c r="FB35" s="9">
        <f t="shared" si="40"/>
        <v>43245.642007432194</v>
      </c>
      <c r="FC35" s="9">
        <f t="shared" si="40"/>
        <v>42813.185587357875</v>
      </c>
      <c r="FD35" s="9">
        <f t="shared" si="40"/>
        <v>42385.053731484295</v>
      </c>
      <c r="FE35" s="9">
        <f t="shared" si="40"/>
        <v>41961.203194169451</v>
      </c>
      <c r="FF35" s="9">
        <f t="shared" si="40"/>
        <v>41541.591162227756</v>
      </c>
      <c r="FG35" s="9">
        <f t="shared" si="40"/>
        <v>41126.175250605476</v>
      </c>
      <c r="FH35" s="9">
        <f t="shared" si="40"/>
        <v>40714.91349809942</v>
      </c>
      <c r="FI35" s="9">
        <f t="shared" si="40"/>
        <v>40307.764363118426</v>
      </c>
      <c r="FJ35" s="9">
        <f t="shared" si="40"/>
        <v>39904.686719487239</v>
      </c>
      <c r="FK35" s="9">
        <f t="shared" si="40"/>
        <v>39505.63985229237</v>
      </c>
      <c r="FL35" s="9">
        <f t="shared" si="40"/>
        <v>39110.583453769446</v>
      </c>
      <c r="FM35" s="9">
        <f t="shared" si="40"/>
        <v>38719.477619231751</v>
      </c>
      <c r="FN35" s="9">
        <f t="shared" si="40"/>
        <v>38332.282843039437</v>
      </c>
      <c r="FO35" s="9">
        <f t="shared" si="40"/>
        <v>37948.960014609045</v>
      </c>
      <c r="FP35" s="9">
        <f t="shared" si="40"/>
        <v>37569.470414462958</v>
      </c>
      <c r="FQ35" s="9">
        <f t="shared" si="40"/>
        <v>37193.775710318325</v>
      </c>
      <c r="FR35" s="9">
        <f t="shared" si="40"/>
        <v>36821.837953215145</v>
      </c>
      <c r="FS35" s="9">
        <f t="shared" ref="FS35:ID35" si="41">FR35*(1+$AW$41)</f>
        <v>36453.61957368299</v>
      </c>
      <c r="FT35" s="9">
        <f t="shared" si="41"/>
        <v>36089.083377946161</v>
      </c>
      <c r="FU35" s="9">
        <f t="shared" si="41"/>
        <v>35728.192544166697</v>
      </c>
      <c r="FV35" s="9">
        <f t="shared" si="41"/>
        <v>35370.910618725029</v>
      </c>
      <c r="FW35" s="9">
        <f t="shared" si="41"/>
        <v>35017.20151253778</v>
      </c>
      <c r="FX35" s="9">
        <f t="shared" si="41"/>
        <v>34667.029497412404</v>
      </c>
      <c r="FY35" s="9">
        <f t="shared" si="41"/>
        <v>34320.359202438281</v>
      </c>
      <c r="FZ35" s="9">
        <f t="shared" si="41"/>
        <v>33977.155610413902</v>
      </c>
      <c r="GA35" s="9">
        <f t="shared" si="41"/>
        <v>33637.384054309761</v>
      </c>
      <c r="GB35" s="9">
        <f t="shared" si="41"/>
        <v>33301.010213766662</v>
      </c>
      <c r="GC35" s="9">
        <f t="shared" si="41"/>
        <v>32968.000111628993</v>
      </c>
      <c r="GD35" s="9">
        <f t="shared" si="41"/>
        <v>32638.320110512705</v>
      </c>
      <c r="GE35" s="9">
        <f t="shared" si="41"/>
        <v>32311.936909407577</v>
      </c>
      <c r="GF35" s="9">
        <f t="shared" si="41"/>
        <v>31988.817540313503</v>
      </c>
      <c r="GG35" s="9">
        <f t="shared" si="41"/>
        <v>31668.929364910367</v>
      </c>
      <c r="GH35" s="9">
        <f t="shared" si="41"/>
        <v>31352.240071261265</v>
      </c>
      <c r="GI35" s="9">
        <f t="shared" si="41"/>
        <v>31038.717670548653</v>
      </c>
      <c r="GJ35" s="9">
        <f t="shared" si="41"/>
        <v>30728.330493843165</v>
      </c>
      <c r="GK35" s="9">
        <f t="shared" si="41"/>
        <v>30421.047188904733</v>
      </c>
      <c r="GL35" s="9">
        <f t="shared" si="41"/>
        <v>30116.836717015685</v>
      </c>
      <c r="GM35" s="9">
        <f t="shared" si="41"/>
        <v>29815.668349845528</v>
      </c>
      <c r="GN35" s="9">
        <f t="shared" si="41"/>
        <v>29517.511666347073</v>
      </c>
      <c r="GO35" s="9">
        <f t="shared" si="41"/>
        <v>29222.336549683601</v>
      </c>
      <c r="GP35" s="9">
        <f t="shared" si="41"/>
        <v>28930.113184186765</v>
      </c>
      <c r="GQ35" s="9">
        <f t="shared" si="41"/>
        <v>28640.812052344896</v>
      </c>
      <c r="GR35" s="9">
        <f t="shared" si="41"/>
        <v>28354.403931821445</v>
      </c>
      <c r="GS35" s="9">
        <f t="shared" si="41"/>
        <v>28070.859892503231</v>
      </c>
      <c r="GT35" s="9">
        <f t="shared" si="41"/>
        <v>27790.151293578198</v>
      </c>
      <c r="GU35" s="9">
        <f t="shared" si="41"/>
        <v>27512.249780642414</v>
      </c>
      <c r="GV35" s="9">
        <f t="shared" si="41"/>
        <v>27237.127282835991</v>
      </c>
      <c r="GW35" s="9">
        <f t="shared" si="41"/>
        <v>26964.75601000763</v>
      </c>
      <c r="GX35" s="9">
        <f t="shared" si="41"/>
        <v>26695.108449907555</v>
      </c>
      <c r="GY35" s="9">
        <f t="shared" si="41"/>
        <v>26428.157365408479</v>
      </c>
      <c r="GZ35" s="9">
        <f t="shared" si="41"/>
        <v>26163.875791754395</v>
      </c>
      <c r="HA35" s="9">
        <f t="shared" si="41"/>
        <v>25902.237033836853</v>
      </c>
      <c r="HB35" s="9">
        <f t="shared" si="41"/>
        <v>25643.214663498486</v>
      </c>
      <c r="HC35" s="9">
        <f t="shared" si="41"/>
        <v>25386.782516863499</v>
      </c>
      <c r="HD35" s="9">
        <f t="shared" si="41"/>
        <v>25132.914691694863</v>
      </c>
      <c r="HE35" s="9">
        <f t="shared" si="41"/>
        <v>24881.585544777914</v>
      </c>
      <c r="HF35" s="9">
        <f t="shared" si="41"/>
        <v>24632.769689330136</v>
      </c>
      <c r="HG35" s="9">
        <f t="shared" si="41"/>
        <v>24386.441992436834</v>
      </c>
      <c r="HH35" s="9">
        <f t="shared" si="41"/>
        <v>24142.577572512466</v>
      </c>
      <c r="HI35" s="9">
        <f t="shared" si="41"/>
        <v>23901.151796787341</v>
      </c>
      <c r="HJ35" s="9">
        <f t="shared" si="41"/>
        <v>23662.140278819468</v>
      </c>
      <c r="HK35" s="9">
        <f t="shared" si="41"/>
        <v>23425.518876031274</v>
      </c>
      <c r="HL35" s="9">
        <f t="shared" si="41"/>
        <v>23191.263687270963</v>
      </c>
      <c r="HM35" s="9">
        <f t="shared" si="41"/>
        <v>22959.351050398254</v>
      </c>
      <c r="HN35" s="9">
        <f t="shared" si="41"/>
        <v>22729.757539894272</v>
      </c>
      <c r="HO35" s="9">
        <f t="shared" si="41"/>
        <v>22502.45996449533</v>
      </c>
      <c r="HP35" s="9">
        <f t="shared" si="41"/>
        <v>22277.435364850378</v>
      </c>
      <c r="HQ35" s="9">
        <f t="shared" si="41"/>
        <v>22054.661011201875</v>
      </c>
      <c r="HR35" s="9">
        <f t="shared" si="41"/>
        <v>21834.114401089857</v>
      </c>
      <c r="HS35" s="9">
        <f t="shared" si="41"/>
        <v>21615.773257078959</v>
      </c>
      <c r="HT35" s="9">
        <f t="shared" si="41"/>
        <v>21399.615524508168</v>
      </c>
      <c r="HU35" s="9">
        <f t="shared" si="41"/>
        <v>21185.619369263088</v>
      </c>
      <c r="HV35" s="9">
        <f t="shared" si="41"/>
        <v>20973.763175570457</v>
      </c>
      <c r="HW35" s="9">
        <f t="shared" si="41"/>
        <v>20764.025543814751</v>
      </c>
      <c r="HX35" s="9">
        <f t="shared" si="41"/>
        <v>20556.385288376601</v>
      </c>
      <c r="HY35" s="9">
        <f t="shared" si="41"/>
        <v>20350.821435492835</v>
      </c>
      <c r="HZ35" s="9">
        <f t="shared" si="41"/>
        <v>20147.313221137905</v>
      </c>
      <c r="IA35" s="9">
        <f t="shared" si="41"/>
        <v>19945.840088926525</v>
      </c>
      <c r="IB35" s="9">
        <f t="shared" si="41"/>
        <v>19746.381688037258</v>
      </c>
      <c r="IC35" s="9">
        <f t="shared" si="41"/>
        <v>19548.917871156886</v>
      </c>
      <c r="ID35" s="9">
        <f t="shared" si="41"/>
        <v>19353.428692445315</v>
      </c>
      <c r="IE35" s="9">
        <f t="shared" ref="IE35:KP35" si="42">ID35*(1+$AW$41)</f>
        <v>19159.894405520863</v>
      </c>
      <c r="IF35" s="9">
        <f t="shared" si="42"/>
        <v>18968.295461465656</v>
      </c>
      <c r="IG35" s="9">
        <f t="shared" si="42"/>
        <v>18778.612506850997</v>
      </c>
      <c r="IH35" s="9">
        <f t="shared" si="42"/>
        <v>18590.826381782488</v>
      </c>
      <c r="II35" s="9">
        <f t="shared" si="42"/>
        <v>18404.918117964662</v>
      </c>
      <c r="IJ35" s="9">
        <f t="shared" si="42"/>
        <v>18220.868936785017</v>
      </c>
      <c r="IK35" s="9">
        <f t="shared" si="42"/>
        <v>18038.660247417167</v>
      </c>
      <c r="IL35" s="9">
        <f t="shared" si="42"/>
        <v>17858.273644942994</v>
      </c>
      <c r="IM35" s="9">
        <f t="shared" si="42"/>
        <v>17679.690908493565</v>
      </c>
      <c r="IN35" s="9">
        <f t="shared" si="42"/>
        <v>17502.893999408629</v>
      </c>
      <c r="IO35" s="9">
        <f t="shared" si="42"/>
        <v>17327.865059414544</v>
      </c>
      <c r="IP35" s="9">
        <f t="shared" si="42"/>
        <v>17154.5864088204</v>
      </c>
      <c r="IQ35" s="9">
        <f t="shared" si="42"/>
        <v>16983.040544732197</v>
      </c>
      <c r="IR35" s="9">
        <f t="shared" si="42"/>
        <v>16813.210139284874</v>
      </c>
      <c r="IS35" s="9">
        <f t="shared" si="42"/>
        <v>16645.078037892024</v>
      </c>
      <c r="IT35" s="9">
        <f t="shared" si="42"/>
        <v>16478.627257513104</v>
      </c>
      <c r="IU35" s="9">
        <f t="shared" si="42"/>
        <v>16313.840984937973</v>
      </c>
      <c r="IV35" s="9">
        <f t="shared" si="42"/>
        <v>16150.702575088593</v>
      </c>
      <c r="IW35" s="9">
        <f t="shared" si="42"/>
        <v>15989.195549337706</v>
      </c>
      <c r="IX35" s="9">
        <f t="shared" si="42"/>
        <v>15829.30359384433</v>
      </c>
      <c r="IY35" s="9">
        <f t="shared" si="42"/>
        <v>15671.010557905887</v>
      </c>
      <c r="IZ35" s="9">
        <f t="shared" si="42"/>
        <v>15514.300452326828</v>
      </c>
      <c r="JA35" s="9">
        <f t="shared" si="42"/>
        <v>15359.15744780356</v>
      </c>
      <c r="JB35" s="9">
        <f t="shared" si="42"/>
        <v>15205.565873325524</v>
      </c>
      <c r="JC35" s="9">
        <f t="shared" si="42"/>
        <v>15053.510214592268</v>
      </c>
      <c r="JD35" s="9">
        <f t="shared" si="42"/>
        <v>14902.975112446346</v>
      </c>
      <c r="JE35" s="9">
        <f t="shared" si="42"/>
        <v>14753.945361321881</v>
      </c>
      <c r="JF35" s="9">
        <f t="shared" si="42"/>
        <v>14606.405907708662</v>
      </c>
      <c r="JG35" s="9">
        <f t="shared" si="42"/>
        <v>14460.341848631575</v>
      </c>
      <c r="JH35" s="9">
        <f t="shared" si="42"/>
        <v>14315.738430145258</v>
      </c>
      <c r="JI35" s="9">
        <f t="shared" si="42"/>
        <v>14172.581045843806</v>
      </c>
      <c r="JJ35" s="9">
        <f t="shared" si="42"/>
        <v>14030.855235385368</v>
      </c>
      <c r="JK35" s="9">
        <f t="shared" si="42"/>
        <v>13890.546683031514</v>
      </c>
      <c r="JL35" s="9">
        <f t="shared" si="42"/>
        <v>13751.641216201198</v>
      </c>
      <c r="JM35" s="9">
        <f t="shared" si="42"/>
        <v>13614.124804039186</v>
      </c>
      <c r="JN35" s="9">
        <f t="shared" si="42"/>
        <v>13477.983555998793</v>
      </c>
      <c r="JO35" s="9">
        <f t="shared" si="42"/>
        <v>13343.203720438805</v>
      </c>
      <c r="JP35" s="9">
        <f t="shared" si="42"/>
        <v>13209.771683234418</v>
      </c>
      <c r="JQ35" s="9">
        <f t="shared" si="42"/>
        <v>13077.673966402073</v>
      </c>
      <c r="JR35" s="9">
        <f t="shared" si="42"/>
        <v>12946.897226738052</v>
      </c>
      <c r="JS35" s="9">
        <f t="shared" si="42"/>
        <v>12817.428254470671</v>
      </c>
      <c r="JT35" s="9">
        <f t="shared" si="42"/>
        <v>12689.253971925964</v>
      </c>
      <c r="JU35" s="9">
        <f t="shared" si="42"/>
        <v>12562.361432206704</v>
      </c>
      <c r="JV35" s="9">
        <f t="shared" si="42"/>
        <v>12436.737817884637</v>
      </c>
      <c r="JW35" s="9">
        <f t="shared" si="42"/>
        <v>12312.370439705792</v>
      </c>
      <c r="JX35" s="9">
        <f t="shared" si="42"/>
        <v>12189.246735308734</v>
      </c>
      <c r="JY35" s="9">
        <f t="shared" si="42"/>
        <v>12067.354267955647</v>
      </c>
      <c r="JZ35" s="9">
        <f t="shared" si="42"/>
        <v>11946.68072527609</v>
      </c>
      <c r="KA35" s="9">
        <f t="shared" si="42"/>
        <v>11827.21391802333</v>
      </c>
      <c r="KB35" s="9">
        <f t="shared" si="42"/>
        <v>11708.941778843096</v>
      </c>
      <c r="KC35" s="9">
        <f t="shared" si="42"/>
        <v>11591.852361054665</v>
      </c>
      <c r="KD35" s="9">
        <f t="shared" si="42"/>
        <v>11475.933837444119</v>
      </c>
      <c r="KE35" s="9">
        <f t="shared" si="42"/>
        <v>11361.174499069679</v>
      </c>
      <c r="KF35" s="9">
        <f t="shared" si="42"/>
        <v>11247.562754078983</v>
      </c>
      <c r="KG35" s="9">
        <f t="shared" si="42"/>
        <v>11135.087126538192</v>
      </c>
      <c r="KH35" s="9">
        <f t="shared" si="42"/>
        <v>11023.73625527281</v>
      </c>
      <c r="KI35" s="9">
        <f t="shared" si="42"/>
        <v>10913.498892720081</v>
      </c>
      <c r="KJ35" s="9">
        <f t="shared" si="42"/>
        <v>10804.363903792881</v>
      </c>
      <c r="KK35" s="9">
        <f t="shared" si="42"/>
        <v>10696.320264754951</v>
      </c>
      <c r="KL35" s="9">
        <f t="shared" si="42"/>
        <v>10589.357062107401</v>
      </c>
      <c r="KM35" s="9">
        <f t="shared" si="42"/>
        <v>10483.463491486327</v>
      </c>
      <c r="KN35" s="9">
        <f t="shared" si="42"/>
        <v>10378.628856571464</v>
      </c>
      <c r="KO35" s="9">
        <f t="shared" si="42"/>
        <v>10274.84256800575</v>
      </c>
      <c r="KP35" s="9">
        <f t="shared" si="42"/>
        <v>10172.094142325692</v>
      </c>
      <c r="KQ35" s="9">
        <f t="shared" ref="KQ35:NB35" si="43">KP35*(1+$AW$41)</f>
        <v>10070.373200902435</v>
      </c>
      <c r="KR35" s="9">
        <f t="shared" si="43"/>
        <v>9969.6694688934112</v>
      </c>
      <c r="KS35" s="9">
        <f t="shared" si="43"/>
        <v>9869.9727742044779</v>
      </c>
      <c r="KT35" s="9">
        <f t="shared" si="43"/>
        <v>9771.2730464624328</v>
      </c>
      <c r="KU35" s="9">
        <f t="shared" si="43"/>
        <v>9673.5603159978091</v>
      </c>
      <c r="KV35" s="9">
        <f t="shared" si="43"/>
        <v>9576.8247128378316</v>
      </c>
      <c r="KW35" s="9">
        <f t="shared" si="43"/>
        <v>9481.0564657094528</v>
      </c>
      <c r="KX35" s="9">
        <f t="shared" si="43"/>
        <v>9386.245901052358</v>
      </c>
      <c r="KY35" s="9">
        <f t="shared" si="43"/>
        <v>9292.3834420418352</v>
      </c>
      <c r="KZ35" s="9">
        <f t="shared" si="43"/>
        <v>9199.4596076214166</v>
      </c>
      <c r="LA35" s="9">
        <f t="shared" si="43"/>
        <v>9107.4650115452023</v>
      </c>
      <c r="LB35" s="9">
        <f t="shared" si="43"/>
        <v>9016.3903614297506</v>
      </c>
      <c r="LC35" s="9">
        <f t="shared" si="43"/>
        <v>8926.2264578154536</v>
      </c>
      <c r="LD35" s="9">
        <f t="shared" si="43"/>
        <v>8836.9641932372997</v>
      </c>
      <c r="LE35" s="9">
        <f t="shared" si="43"/>
        <v>8748.5945513049264</v>
      </c>
      <c r="LF35" s="9">
        <f t="shared" si="43"/>
        <v>8661.1086057918765</v>
      </c>
      <c r="LG35" s="9">
        <f t="shared" si="43"/>
        <v>8574.4975197339572</v>
      </c>
      <c r="LH35" s="9">
        <f t="shared" si="43"/>
        <v>8488.7525445366173</v>
      </c>
      <c r="LI35" s="9">
        <f t="shared" si="43"/>
        <v>8403.8650190912504</v>
      </c>
      <c r="LJ35" s="9">
        <f t="shared" si="43"/>
        <v>8319.8263689003379</v>
      </c>
      <c r="LK35" s="9">
        <f t="shared" si="43"/>
        <v>8236.6281052113336</v>
      </c>
      <c r="LL35" s="9">
        <f t="shared" si="43"/>
        <v>8154.2618241592199</v>
      </c>
      <c r="LM35" s="9">
        <f t="shared" si="43"/>
        <v>8072.7192059176277</v>
      </c>
      <c r="LN35" s="9">
        <f t="shared" si="43"/>
        <v>7991.9920138584512</v>
      </c>
      <c r="LO35" s="9">
        <f t="shared" si="43"/>
        <v>7912.0720937198666</v>
      </c>
      <c r="LP35" s="9">
        <f t="shared" si="43"/>
        <v>7832.9513727826679</v>
      </c>
      <c r="LQ35" s="9">
        <f t="shared" si="43"/>
        <v>7754.6218590548415</v>
      </c>
      <c r="LR35" s="9">
        <f t="shared" si="43"/>
        <v>7677.0756404642934</v>
      </c>
      <c r="LS35" s="9">
        <f t="shared" si="43"/>
        <v>7600.3048840596502</v>
      </c>
      <c r="LT35" s="9">
        <f t="shared" si="43"/>
        <v>7524.3018352190538</v>
      </c>
      <c r="LU35" s="9">
        <f t="shared" si="43"/>
        <v>7449.0588168668628</v>
      </c>
      <c r="LV35" s="9">
        <f t="shared" si="43"/>
        <v>7374.5682286981937</v>
      </c>
      <c r="LW35" s="9">
        <f t="shared" si="43"/>
        <v>7300.822546411212</v>
      </c>
      <c r="LX35" s="9">
        <f t="shared" si="43"/>
        <v>7227.8143209471</v>
      </c>
      <c r="LY35" s="9">
        <f t="shared" si="43"/>
        <v>7155.5361777376293</v>
      </c>
      <c r="LZ35" s="9">
        <f t="shared" si="43"/>
        <v>7083.9808159602526</v>
      </c>
      <c r="MA35" s="9">
        <f t="shared" si="43"/>
        <v>7013.1410078006502</v>
      </c>
      <c r="MB35" s="9">
        <f t="shared" si="43"/>
        <v>6943.0095977226438</v>
      </c>
      <c r="MC35" s="9">
        <f t="shared" si="43"/>
        <v>6873.5795017454175</v>
      </c>
      <c r="MD35" s="9">
        <f t="shared" si="43"/>
        <v>6804.8437067279629</v>
      </c>
      <c r="ME35" s="9">
        <f t="shared" si="43"/>
        <v>6736.7952696606835</v>
      </c>
      <c r="MF35" s="9">
        <f t="shared" si="43"/>
        <v>6669.4273169640765</v>
      </c>
      <c r="MG35" s="9">
        <f t="shared" si="43"/>
        <v>6602.7330437944356</v>
      </c>
      <c r="MH35" s="9">
        <f t="shared" si="43"/>
        <v>6536.7057133564913</v>
      </c>
      <c r="MI35" s="9">
        <f t="shared" si="43"/>
        <v>6471.3386562229261</v>
      </c>
      <c r="MJ35" s="9">
        <f t="shared" si="43"/>
        <v>6406.6252696606971</v>
      </c>
      <c r="MK35" s="9">
        <f t="shared" si="43"/>
        <v>6342.55901696409</v>
      </c>
      <c r="ML35" s="9">
        <f t="shared" si="43"/>
        <v>6279.1334267944494</v>
      </c>
      <c r="MM35" s="9">
        <f t="shared" si="43"/>
        <v>6216.3420925265045</v>
      </c>
      <c r="MN35" s="9">
        <f t="shared" si="43"/>
        <v>6154.1786716012393</v>
      </c>
      <c r="MO35" s="9">
        <f t="shared" si="43"/>
        <v>6092.6368848852271</v>
      </c>
      <c r="MP35" s="9">
        <f t="shared" si="43"/>
        <v>6031.7105160363744</v>
      </c>
      <c r="MQ35" s="9">
        <f t="shared" si="43"/>
        <v>5971.3934108760104</v>
      </c>
      <c r="MR35" s="9">
        <f t="shared" si="43"/>
        <v>5911.67947676725</v>
      </c>
      <c r="MS35" s="9">
        <f t="shared" si="43"/>
        <v>5852.5626819995778</v>
      </c>
      <c r="MT35" s="9">
        <f t="shared" si="43"/>
        <v>5794.0370551795822</v>
      </c>
      <c r="MU35" s="9">
        <f t="shared" si="43"/>
        <v>5736.0966846277861</v>
      </c>
      <c r="MV35" s="9">
        <f t="shared" si="43"/>
        <v>5678.7357177815084</v>
      </c>
      <c r="MW35" s="9">
        <f t="shared" si="43"/>
        <v>5621.9483606036929</v>
      </c>
      <c r="MX35" s="9">
        <f t="shared" si="43"/>
        <v>5565.7288769976558</v>
      </c>
      <c r="MY35" s="9">
        <f t="shared" si="43"/>
        <v>5510.0715882276791</v>
      </c>
      <c r="MZ35" s="9">
        <f t="shared" si="43"/>
        <v>5454.9708723454023</v>
      </c>
      <c r="NA35" s="9">
        <f t="shared" si="43"/>
        <v>5400.4211636219479</v>
      </c>
      <c r="NB35" s="9">
        <f t="shared" si="43"/>
        <v>5346.4169519857287</v>
      </c>
      <c r="NC35" s="9">
        <f t="shared" ref="NC35:PN35" si="44">NB35*(1+$AW$41)</f>
        <v>5292.9527824658717</v>
      </c>
      <c r="ND35" s="9">
        <f t="shared" si="44"/>
        <v>5240.0232546412126</v>
      </c>
      <c r="NE35" s="9">
        <f t="shared" si="44"/>
        <v>5187.6230220948</v>
      </c>
      <c r="NF35" s="9">
        <f t="shared" si="44"/>
        <v>5135.7467918738521</v>
      </c>
      <c r="NG35" s="9">
        <f t="shared" si="44"/>
        <v>5084.3893239551135</v>
      </c>
      <c r="NH35" s="9">
        <f t="shared" si="44"/>
        <v>5033.5454307155624</v>
      </c>
      <c r="NI35" s="9">
        <f t="shared" si="44"/>
        <v>4983.2099764084069</v>
      </c>
      <c r="NJ35" s="9">
        <f t="shared" si="44"/>
        <v>4933.3778766443229</v>
      </c>
      <c r="NK35" s="9">
        <f t="shared" si="44"/>
        <v>4884.0440978778797</v>
      </c>
      <c r="NL35" s="9">
        <f t="shared" si="44"/>
        <v>4835.2036568991007</v>
      </c>
      <c r="NM35" s="9">
        <f t="shared" si="44"/>
        <v>4786.8516203301097</v>
      </c>
      <c r="NN35" s="9">
        <f t="shared" si="44"/>
        <v>4738.9831041268089</v>
      </c>
      <c r="NO35" s="9">
        <f t="shared" si="44"/>
        <v>4691.5932730855411</v>
      </c>
      <c r="NP35" s="9">
        <f t="shared" si="44"/>
        <v>4644.6773403546858</v>
      </c>
      <c r="NQ35" s="9">
        <f t="shared" si="44"/>
        <v>4598.2305669511388</v>
      </c>
      <c r="NR35" s="9">
        <f t="shared" si="44"/>
        <v>4552.2482612816275</v>
      </c>
      <c r="NS35" s="9">
        <f t="shared" si="44"/>
        <v>4506.7257786688115</v>
      </c>
      <c r="NT35" s="9">
        <f t="shared" si="44"/>
        <v>4461.6585208821234</v>
      </c>
      <c r="NU35" s="9">
        <f t="shared" si="44"/>
        <v>4417.0419356733019</v>
      </c>
      <c r="NV35" s="9">
        <f t="shared" si="44"/>
        <v>4372.8715163165689</v>
      </c>
      <c r="NW35" s="9">
        <f t="shared" si="44"/>
        <v>4329.1428011534035</v>
      </c>
      <c r="NX35" s="9">
        <f t="shared" si="44"/>
        <v>4285.8513731418698</v>
      </c>
      <c r="NY35" s="9">
        <f t="shared" si="44"/>
        <v>4242.9928594104513</v>
      </c>
      <c r="NZ35" s="9">
        <f t="shared" si="44"/>
        <v>4200.562930816347</v>
      </c>
      <c r="OA35" s="9">
        <f t="shared" si="44"/>
        <v>4158.5573015081836</v>
      </c>
      <c r="OB35" s="9">
        <f t="shared" si="44"/>
        <v>4116.9717284931021</v>
      </c>
      <c r="OC35" s="9">
        <f t="shared" si="44"/>
        <v>4075.8020112081708</v>
      </c>
      <c r="OD35" s="9">
        <f t="shared" si="44"/>
        <v>4035.043991096089</v>
      </c>
      <c r="OE35" s="9">
        <f t="shared" si="44"/>
        <v>3994.6935511851279</v>
      </c>
      <c r="OF35" s="9">
        <f t="shared" si="44"/>
        <v>3954.7466156732767</v>
      </c>
      <c r="OG35" s="9">
        <f t="shared" si="44"/>
        <v>3915.1991495165439</v>
      </c>
      <c r="OH35" s="9">
        <f t="shared" si="44"/>
        <v>3876.0471580213784</v>
      </c>
      <c r="OI35" s="9">
        <f t="shared" si="44"/>
        <v>3837.2866864411644</v>
      </c>
      <c r="OJ35" s="9">
        <f t="shared" si="44"/>
        <v>3798.9138195767528</v>
      </c>
      <c r="OK35" s="9">
        <f t="shared" si="44"/>
        <v>3760.924681380985</v>
      </c>
      <c r="OL35" s="9">
        <f t="shared" si="44"/>
        <v>3723.3154345671751</v>
      </c>
      <c r="OM35" s="9">
        <f t="shared" si="44"/>
        <v>3686.0822802215034</v>
      </c>
      <c r="ON35" s="9">
        <f t="shared" si="44"/>
        <v>3649.2214574192885</v>
      </c>
      <c r="OO35" s="9">
        <f t="shared" si="44"/>
        <v>3612.7292428450955</v>
      </c>
      <c r="OP35" s="9">
        <f t="shared" si="44"/>
        <v>3576.6019504166447</v>
      </c>
      <c r="OQ35" s="9">
        <f t="shared" si="44"/>
        <v>3540.835930912478</v>
      </c>
      <c r="OR35" s="9">
        <f t="shared" si="44"/>
        <v>3505.427571603353</v>
      </c>
      <c r="OS35" s="9">
        <f t="shared" si="44"/>
        <v>3470.3732958873193</v>
      </c>
      <c r="OT35" s="9">
        <f t="shared" si="44"/>
        <v>3435.6695629284459</v>
      </c>
      <c r="OU35" s="9">
        <f t="shared" si="44"/>
        <v>3401.3128672991616</v>
      </c>
      <c r="OV35" s="9">
        <f t="shared" si="44"/>
        <v>3367.29973862617</v>
      </c>
      <c r="OW35" s="9">
        <f t="shared" si="44"/>
        <v>3333.6267412399084</v>
      </c>
      <c r="OX35" s="9">
        <f t="shared" si="44"/>
        <v>3300.2904738275092</v>
      </c>
      <c r="OY35" s="9">
        <f t="shared" si="44"/>
        <v>3267.2875690892342</v>
      </c>
      <c r="OZ35" s="9">
        <f t="shared" si="44"/>
        <v>3234.6146933983418</v>
      </c>
      <c r="PA35" s="9">
        <f t="shared" si="44"/>
        <v>3202.2685464643582</v>
      </c>
      <c r="PB35" s="9">
        <f t="shared" si="44"/>
        <v>3170.2458609997148</v>
      </c>
      <c r="PC35" s="9">
        <f t="shared" si="44"/>
        <v>3138.5434023897174</v>
      </c>
      <c r="PD35" s="9">
        <f t="shared" si="44"/>
        <v>3107.1579683658201</v>
      </c>
      <c r="PE35" s="9">
        <f t="shared" si="44"/>
        <v>3076.0863886821617</v>
      </c>
      <c r="PF35" s="9">
        <f t="shared" si="44"/>
        <v>3045.3255247953402</v>
      </c>
      <c r="PG35" s="9">
        <f t="shared" si="44"/>
        <v>3014.8722695473866</v>
      </c>
      <c r="PH35" s="9">
        <f t="shared" si="44"/>
        <v>2984.7235468519129</v>
      </c>
      <c r="PI35" s="9">
        <f t="shared" si="44"/>
        <v>2954.8763113833938</v>
      </c>
      <c r="PJ35" s="9">
        <f t="shared" si="44"/>
        <v>2925.3275482695599</v>
      </c>
      <c r="PK35" s="9">
        <f t="shared" si="44"/>
        <v>2896.0742727868642</v>
      </c>
      <c r="PL35" s="9">
        <f t="shared" si="44"/>
        <v>2867.1135300589954</v>
      </c>
      <c r="PM35" s="9">
        <f t="shared" si="44"/>
        <v>2838.4423947584055</v>
      </c>
      <c r="PN35" s="9">
        <f t="shared" si="44"/>
        <v>2810.0579708108216</v>
      </c>
      <c r="PO35" s="9">
        <f t="shared" ref="PO35:RZ35" si="45">PN35*(1+$AW$41)</f>
        <v>2781.9573911027132</v>
      </c>
      <c r="PP35" s="9">
        <f t="shared" si="45"/>
        <v>2754.1378171916863</v>
      </c>
      <c r="PQ35" s="9">
        <f t="shared" si="45"/>
        <v>2726.5964390197696</v>
      </c>
      <c r="PR35" s="9">
        <f t="shared" si="45"/>
        <v>2699.3304746295721</v>
      </c>
      <c r="PS35" s="9">
        <f t="shared" si="45"/>
        <v>2672.3371698832761</v>
      </c>
      <c r="PT35" s="9">
        <f t="shared" si="45"/>
        <v>2645.6137981844436</v>
      </c>
      <c r="PU35" s="9">
        <f t="shared" si="45"/>
        <v>2619.1576602025989</v>
      </c>
      <c r="PV35" s="9">
        <f t="shared" si="45"/>
        <v>2592.9660836005728</v>
      </c>
      <c r="PW35" s="9">
        <f t="shared" si="45"/>
        <v>2567.0364227645669</v>
      </c>
      <c r="PX35" s="9">
        <f t="shared" si="45"/>
        <v>2541.3660585369212</v>
      </c>
      <c r="PY35" s="9">
        <f t="shared" si="45"/>
        <v>2515.952397951552</v>
      </c>
      <c r="PZ35" s="9">
        <f t="shared" si="45"/>
        <v>2490.7928739720364</v>
      </c>
      <c r="QA35" s="9">
        <f t="shared" si="45"/>
        <v>2465.8849452323161</v>
      </c>
      <c r="QB35" s="9">
        <f t="shared" si="45"/>
        <v>2441.2260957799931</v>
      </c>
      <c r="QC35" s="9">
        <f t="shared" si="45"/>
        <v>2416.8138348221933</v>
      </c>
      <c r="QD35" s="9">
        <f t="shared" si="45"/>
        <v>2392.6456964739714</v>
      </c>
      <c r="QE35" s="9">
        <f t="shared" si="45"/>
        <v>2368.7192395092316</v>
      </c>
      <c r="QF35" s="9">
        <f t="shared" si="45"/>
        <v>2345.032047114139</v>
      </c>
      <c r="QG35" s="9">
        <f t="shared" si="45"/>
        <v>2321.5817266429976</v>
      </c>
      <c r="QH35" s="9">
        <f t="shared" si="45"/>
        <v>2298.3659093765677</v>
      </c>
      <c r="QI35" s="9">
        <f t="shared" si="45"/>
        <v>2275.382250282802</v>
      </c>
      <c r="QJ35" s="9">
        <f t="shared" si="45"/>
        <v>2252.6284277799741</v>
      </c>
      <c r="QK35" s="9">
        <f t="shared" si="45"/>
        <v>2230.1021435021744</v>
      </c>
      <c r="QL35" s="9">
        <f t="shared" si="45"/>
        <v>2207.8011220671528</v>
      </c>
      <c r="QM35" s="9">
        <f t="shared" si="45"/>
        <v>2185.7231108464812</v>
      </c>
      <c r="QN35" s="9">
        <f t="shared" si="45"/>
        <v>2163.8658797380162</v>
      </c>
      <c r="QO35" s="9">
        <f t="shared" si="45"/>
        <v>2142.227220940636</v>
      </c>
      <c r="QP35" s="9">
        <f t="shared" si="45"/>
        <v>2120.8049487312296</v>
      </c>
      <c r="QQ35" s="9">
        <f t="shared" si="45"/>
        <v>2099.5968992439175</v>
      </c>
      <c r="QR35" s="9">
        <f t="shared" si="45"/>
        <v>2078.6009302514785</v>
      </c>
      <c r="QS35" s="9">
        <f t="shared" si="45"/>
        <v>2057.8149209489638</v>
      </c>
      <c r="QT35" s="9">
        <f t="shared" si="45"/>
        <v>2037.2367717394741</v>
      </c>
      <c r="QU35" s="9">
        <f t="shared" si="45"/>
        <v>2016.8644040220793</v>
      </c>
      <c r="QV35" s="9">
        <f t="shared" si="45"/>
        <v>1996.6957599818584</v>
      </c>
      <c r="QW35" s="9">
        <f t="shared" si="45"/>
        <v>1976.7288023820397</v>
      </c>
      <c r="QX35" s="9">
        <f t="shared" si="45"/>
        <v>1956.9615143582193</v>
      </c>
      <c r="QY35" s="9">
        <f t="shared" si="45"/>
        <v>1937.3918992146371</v>
      </c>
      <c r="QZ35" s="9">
        <f t="shared" si="45"/>
        <v>1918.0179802224907</v>
      </c>
      <c r="RA35" s="9">
        <f t="shared" si="45"/>
        <v>1898.8378004202657</v>
      </c>
      <c r="RB35" s="9">
        <f t="shared" si="45"/>
        <v>1879.8494224160629</v>
      </c>
      <c r="RC35" s="9">
        <f t="shared" si="45"/>
        <v>1861.0509281919024</v>
      </c>
      <c r="RD35" s="9">
        <f t="shared" si="45"/>
        <v>1842.4404189099832</v>
      </c>
      <c r="RE35" s="9">
        <f t="shared" si="45"/>
        <v>1824.0160147208833</v>
      </c>
      <c r="RF35" s="9">
        <f t="shared" si="45"/>
        <v>1805.7758545736745</v>
      </c>
      <c r="RG35" s="9">
        <f t="shared" si="45"/>
        <v>1787.7180960279377</v>
      </c>
      <c r="RH35" s="9">
        <f t="shared" si="45"/>
        <v>1769.8409150676582</v>
      </c>
      <c r="RI35" s="9">
        <f t="shared" si="45"/>
        <v>1752.1425059169817</v>
      </c>
      <c r="RJ35" s="9">
        <f t="shared" si="45"/>
        <v>1734.6210808578119</v>
      </c>
      <c r="RK35" s="9">
        <f t="shared" si="45"/>
        <v>1717.2748700492336</v>
      </c>
      <c r="RL35" s="9">
        <f t="shared" si="45"/>
        <v>1700.1021213487413</v>
      </c>
      <c r="RM35" s="9">
        <f t="shared" si="45"/>
        <v>1683.101100135254</v>
      </c>
      <c r="RN35" s="9">
        <f t="shared" si="45"/>
        <v>1666.2700891339014</v>
      </c>
      <c r="RO35" s="9">
        <f t="shared" si="45"/>
        <v>1649.6073882425624</v>
      </c>
      <c r="RP35" s="9">
        <f t="shared" si="45"/>
        <v>1633.1113143601367</v>
      </c>
      <c r="RQ35" s="9">
        <f t="shared" si="45"/>
        <v>1616.7802012165353</v>
      </c>
      <c r="RR35" s="9">
        <f t="shared" si="45"/>
        <v>1600.6123992043699</v>
      </c>
      <c r="RS35" s="9">
        <f t="shared" si="45"/>
        <v>1584.6062752123262</v>
      </c>
      <c r="RT35" s="9">
        <f t="shared" si="45"/>
        <v>1568.7602124602029</v>
      </c>
      <c r="RU35" s="9">
        <f t="shared" si="45"/>
        <v>1553.0726103356008</v>
      </c>
      <c r="RV35" s="9">
        <f t="shared" si="45"/>
        <v>1537.5418842322447</v>
      </c>
      <c r="RW35" s="9">
        <f t="shared" si="45"/>
        <v>1522.1664653899222</v>
      </c>
      <c r="RX35" s="9">
        <f t="shared" si="45"/>
        <v>1506.9448007360229</v>
      </c>
      <c r="RY35" s="9">
        <f t="shared" si="45"/>
        <v>1491.8753527286626</v>
      </c>
      <c r="RZ35" s="9">
        <f t="shared" si="45"/>
        <v>1476.9565992013761</v>
      </c>
      <c r="SA35" s="9">
        <f t="shared" ref="SA35:UL35" si="46">RZ35*(1+$AW$41)</f>
        <v>1462.1870332093624</v>
      </c>
      <c r="SB35" s="9">
        <f t="shared" si="46"/>
        <v>1447.5651628772687</v>
      </c>
      <c r="SC35" s="9">
        <f t="shared" si="46"/>
        <v>1433.0895112484959</v>
      </c>
      <c r="SD35" s="9">
        <f t="shared" si="46"/>
        <v>1418.7586161360109</v>
      </c>
      <c r="SE35" s="9">
        <f t="shared" si="46"/>
        <v>1404.5710299746509</v>
      </c>
      <c r="SF35" s="9">
        <f t="shared" si="46"/>
        <v>1390.5253196749043</v>
      </c>
      <c r="SG35" s="9">
        <f t="shared" si="46"/>
        <v>1376.6200664781552</v>
      </c>
      <c r="SH35" s="9">
        <f t="shared" si="46"/>
        <v>1362.8538658133737</v>
      </c>
      <c r="SI35" s="9">
        <f t="shared" si="46"/>
        <v>1349.2253271552399</v>
      </c>
      <c r="SJ35" s="9">
        <f t="shared" si="46"/>
        <v>1335.7330738836874</v>
      </c>
      <c r="SK35" s="9">
        <f t="shared" si="46"/>
        <v>1322.3757431448505</v>
      </c>
      <c r="SL35" s="9">
        <f t="shared" si="46"/>
        <v>1309.1519857134019</v>
      </c>
      <c r="SM35" s="9">
        <f t="shared" si="46"/>
        <v>1296.0604658562679</v>
      </c>
      <c r="SN35" s="9">
        <f t="shared" si="46"/>
        <v>1283.0998611977052</v>
      </c>
      <c r="SO35" s="9">
        <f t="shared" si="46"/>
        <v>1270.2688625857281</v>
      </c>
      <c r="SP35" s="9">
        <f t="shared" si="46"/>
        <v>1257.5661739598709</v>
      </c>
      <c r="SQ35" s="9">
        <f t="shared" si="46"/>
        <v>1244.9905122202722</v>
      </c>
      <c r="SR35" s="9">
        <f t="shared" si="46"/>
        <v>1232.5406070980694</v>
      </c>
      <c r="SS35" s="9">
        <f t="shared" si="46"/>
        <v>1220.2152010270886</v>
      </c>
      <c r="ST35" s="9">
        <f t="shared" si="46"/>
        <v>1208.0130490168176</v>
      </c>
      <c r="SU35" s="9">
        <f t="shared" si="46"/>
        <v>1195.9329185266495</v>
      </c>
      <c r="SV35" s="9">
        <f t="shared" si="46"/>
        <v>1183.9735893413829</v>
      </c>
      <c r="SW35" s="9">
        <f t="shared" si="46"/>
        <v>1172.1338534479689</v>
      </c>
      <c r="SX35" s="9">
        <f t="shared" si="46"/>
        <v>1160.4125149134893</v>
      </c>
      <c r="SY35" s="9">
        <f t="shared" si="46"/>
        <v>1148.8083897643544</v>
      </c>
      <c r="SZ35" s="9">
        <f t="shared" si="46"/>
        <v>1137.3203058667109</v>
      </c>
      <c r="TA35" s="9">
        <f t="shared" si="46"/>
        <v>1125.9471028080438</v>
      </c>
      <c r="TB35" s="9">
        <f t="shared" si="46"/>
        <v>1114.6876317799633</v>
      </c>
      <c r="TC35" s="9">
        <f t="shared" si="46"/>
        <v>1103.5407554621636</v>
      </c>
      <c r="TD35" s="9">
        <f t="shared" si="46"/>
        <v>1092.505347907542</v>
      </c>
      <c r="TE35" s="9">
        <f t="shared" si="46"/>
        <v>1081.5802944284667</v>
      </c>
      <c r="TF35" s="9">
        <f t="shared" si="46"/>
        <v>1070.7644914841819</v>
      </c>
      <c r="TG35" s="9">
        <f t="shared" si="46"/>
        <v>1060.05684656934</v>
      </c>
      <c r="TH35" s="9">
        <f t="shared" si="46"/>
        <v>1049.4562781036466</v>
      </c>
      <c r="TI35" s="9">
        <f t="shared" si="46"/>
        <v>1038.9617153226102</v>
      </c>
      <c r="TJ35" s="9">
        <f t="shared" si="46"/>
        <v>1028.5720981693842</v>
      </c>
      <c r="TK35" s="9">
        <f t="shared" si="46"/>
        <v>1018.2863771876903</v>
      </c>
      <c r="TL35" s="9">
        <f t="shared" si="46"/>
        <v>1008.1035134158134</v>
      </c>
      <c r="TM35" s="9">
        <f t="shared" si="46"/>
        <v>998.02247828165525</v>
      </c>
      <c r="TN35" s="9">
        <f t="shared" si="46"/>
        <v>988.0422534988387</v>
      </c>
      <c r="TO35" s="9">
        <f t="shared" si="46"/>
        <v>978.16183096385032</v>
      </c>
      <c r="TP35" s="9">
        <f t="shared" si="46"/>
        <v>968.38021265421185</v>
      </c>
      <c r="TQ35" s="9">
        <f t="shared" si="46"/>
        <v>958.69641052766974</v>
      </c>
      <c r="TR35" s="9">
        <f t="shared" si="46"/>
        <v>949.10944642239303</v>
      </c>
      <c r="TS35" s="9">
        <f t="shared" si="46"/>
        <v>939.61835195816911</v>
      </c>
      <c r="TT35" s="9">
        <f t="shared" si="46"/>
        <v>930.22216843858746</v>
      </c>
      <c r="TU35" s="9">
        <f t="shared" si="46"/>
        <v>920.91994675420153</v>
      </c>
      <c r="TV35" s="9">
        <f t="shared" si="46"/>
        <v>911.71074728665951</v>
      </c>
      <c r="TW35" s="9">
        <f t="shared" si="46"/>
        <v>902.59363981379295</v>
      </c>
      <c r="TX35" s="9">
        <f t="shared" si="46"/>
        <v>893.56770341565505</v>
      </c>
      <c r="TY35" s="9">
        <f t="shared" si="46"/>
        <v>884.63202638149846</v>
      </c>
      <c r="TZ35" s="9">
        <f t="shared" si="46"/>
        <v>875.7857061176835</v>
      </c>
      <c r="UA35" s="9">
        <f t="shared" si="46"/>
        <v>867.02784905650662</v>
      </c>
      <c r="UB35" s="9">
        <f t="shared" si="46"/>
        <v>858.3575705659415</v>
      </c>
      <c r="UC35" s="9">
        <f t="shared" si="46"/>
        <v>849.77399486028207</v>
      </c>
      <c r="UD35" s="9">
        <f t="shared" si="46"/>
        <v>841.27625491167919</v>
      </c>
      <c r="UE35" s="9">
        <f t="shared" si="46"/>
        <v>832.8634923625624</v>
      </c>
      <c r="UF35" s="9">
        <f t="shared" si="46"/>
        <v>824.5348574389368</v>
      </c>
      <c r="UG35" s="9">
        <f t="shared" si="46"/>
        <v>816.28950886454743</v>
      </c>
      <c r="UH35" s="9">
        <f t="shared" si="46"/>
        <v>808.126613775902</v>
      </c>
      <c r="UI35" s="9">
        <f t="shared" si="46"/>
        <v>800.04534763814297</v>
      </c>
      <c r="UJ35" s="9">
        <f t="shared" si="46"/>
        <v>792.04489416176159</v>
      </c>
      <c r="UK35" s="9">
        <f t="shared" si="46"/>
        <v>784.12444522014391</v>
      </c>
      <c r="UL35" s="9">
        <f t="shared" si="46"/>
        <v>776.2832007679425</v>
      </c>
      <c r="UM35" s="9">
        <f t="shared" ref="UM35:WX35" si="47">UL35*(1+$AW$41)</f>
        <v>768.52036876026307</v>
      </c>
      <c r="UN35" s="9">
        <f t="shared" si="47"/>
        <v>760.8351650726604</v>
      </c>
      <c r="UO35" s="9">
        <f t="shared" si="47"/>
        <v>753.2268134219338</v>
      </c>
      <c r="UP35" s="9">
        <f t="shared" si="47"/>
        <v>745.6945452877145</v>
      </c>
      <c r="UQ35" s="9">
        <f t="shared" si="47"/>
        <v>738.2375998348374</v>
      </c>
      <c r="UR35" s="9">
        <f t="shared" si="47"/>
        <v>730.85522383648902</v>
      </c>
      <c r="US35" s="9">
        <f t="shared" si="47"/>
        <v>723.54667159812414</v>
      </c>
      <c r="UT35" s="9">
        <f t="shared" si="47"/>
        <v>716.31120488214287</v>
      </c>
      <c r="UU35" s="9">
        <f t="shared" si="47"/>
        <v>709.14809283332147</v>
      </c>
      <c r="UV35" s="9">
        <f t="shared" si="47"/>
        <v>702.05661190498824</v>
      </c>
      <c r="UW35" s="9">
        <f t="shared" si="47"/>
        <v>695.03604578593831</v>
      </c>
      <c r="UX35" s="9">
        <f t="shared" si="47"/>
        <v>688.08568532807897</v>
      </c>
      <c r="UY35" s="9">
        <f t="shared" si="47"/>
        <v>681.20482847479821</v>
      </c>
      <c r="UZ35" s="9">
        <f t="shared" si="47"/>
        <v>674.39278019005019</v>
      </c>
      <c r="VA35" s="9">
        <f t="shared" si="47"/>
        <v>667.64885238814963</v>
      </c>
      <c r="VB35" s="9">
        <f t="shared" si="47"/>
        <v>660.97236386426812</v>
      </c>
      <c r="VC35" s="9">
        <f t="shared" si="47"/>
        <v>654.36264022562546</v>
      </c>
      <c r="VD35" s="9">
        <f t="shared" si="47"/>
        <v>647.81901382336923</v>
      </c>
      <c r="VE35" s="9">
        <f t="shared" si="47"/>
        <v>641.34082368513555</v>
      </c>
      <c r="VF35" s="9">
        <f t="shared" si="47"/>
        <v>634.92741544828414</v>
      </c>
      <c r="VG35" s="9">
        <f t="shared" si="47"/>
        <v>628.57814129380131</v>
      </c>
      <c r="VH35" s="9">
        <f t="shared" si="47"/>
        <v>622.29235988086327</v>
      </c>
      <c r="VI35" s="9">
        <f t="shared" si="47"/>
        <v>616.06943628205465</v>
      </c>
      <c r="VJ35" s="9">
        <f t="shared" si="47"/>
        <v>609.9087419192341</v>
      </c>
      <c r="VK35" s="9">
        <f t="shared" si="47"/>
        <v>603.8096545000418</v>
      </c>
      <c r="VL35" s="9">
        <f t="shared" si="47"/>
        <v>597.77155795504143</v>
      </c>
      <c r="VM35" s="9">
        <f t="shared" si="47"/>
        <v>591.79384237549107</v>
      </c>
      <c r="VN35" s="9">
        <f t="shared" si="47"/>
        <v>585.87590395173618</v>
      </c>
      <c r="VO35" s="9">
        <f t="shared" si="47"/>
        <v>580.01714491221878</v>
      </c>
      <c r="VP35" s="9">
        <f t="shared" si="47"/>
        <v>574.21697346309656</v>
      </c>
      <c r="VQ35" s="9">
        <f t="shared" si="47"/>
        <v>568.47480372846564</v>
      </c>
      <c r="VR35" s="9">
        <f t="shared" si="47"/>
        <v>562.79005569118101</v>
      </c>
      <c r="VS35" s="9">
        <f t="shared" si="47"/>
        <v>557.16215513426914</v>
      </c>
      <c r="VT35" s="9">
        <f t="shared" si="47"/>
        <v>551.59053358292647</v>
      </c>
      <c r="VU35" s="9">
        <f t="shared" si="47"/>
        <v>546.07462824709717</v>
      </c>
      <c r="VV35" s="9">
        <f t="shared" si="47"/>
        <v>540.61388196462622</v>
      </c>
      <c r="VW35" s="9">
        <f t="shared" si="47"/>
        <v>535.20774314497999</v>
      </c>
      <c r="VX35" s="9">
        <f t="shared" si="47"/>
        <v>529.85566571353013</v>
      </c>
      <c r="VY35" s="9">
        <f t="shared" si="47"/>
        <v>524.55710905639478</v>
      </c>
      <c r="VZ35" s="9">
        <f t="shared" si="47"/>
        <v>519.31153796583078</v>
      </c>
      <c r="WA35" s="9">
        <f t="shared" si="47"/>
        <v>514.11842258617241</v>
      </c>
      <c r="WB35" s="9">
        <f t="shared" si="47"/>
        <v>508.97723836031071</v>
      </c>
      <c r="WC35" s="9">
        <f t="shared" si="47"/>
        <v>503.88746597670757</v>
      </c>
      <c r="WD35" s="9">
        <f t="shared" si="47"/>
        <v>498.84859131694049</v>
      </c>
      <c r="WE35" s="9">
        <f t="shared" si="47"/>
        <v>493.86010540377106</v>
      </c>
      <c r="WF35" s="9">
        <f t="shared" si="47"/>
        <v>488.92150434973337</v>
      </c>
      <c r="WG35" s="9">
        <f t="shared" si="47"/>
        <v>484.03228930623601</v>
      </c>
      <c r="WH35" s="9">
        <f t="shared" si="47"/>
        <v>479.19196641317365</v>
      </c>
      <c r="WI35" s="9">
        <f t="shared" si="47"/>
        <v>474.40004674904191</v>
      </c>
      <c r="WJ35" s="9">
        <f t="shared" si="47"/>
        <v>469.65604628155148</v>
      </c>
      <c r="WK35" s="9">
        <f t="shared" si="47"/>
        <v>464.95948581873597</v>
      </c>
      <c r="WL35" s="9">
        <f t="shared" si="47"/>
        <v>460.30989096054861</v>
      </c>
      <c r="WM35" s="9">
        <f t="shared" si="47"/>
        <v>455.70679205094314</v>
      </c>
      <c r="WN35" s="9">
        <f t="shared" si="47"/>
        <v>451.1497241304337</v>
      </c>
      <c r="WO35" s="9">
        <f t="shared" si="47"/>
        <v>446.63822688912933</v>
      </c>
      <c r="WP35" s="9">
        <f t="shared" si="47"/>
        <v>442.17184462023801</v>
      </c>
      <c r="WQ35" s="9">
        <f t="shared" si="47"/>
        <v>437.75012617403564</v>
      </c>
      <c r="WR35" s="9">
        <f t="shared" si="47"/>
        <v>433.37262491229529</v>
      </c>
      <c r="WS35" s="9">
        <f t="shared" si="47"/>
        <v>429.03889866317235</v>
      </c>
      <c r="WT35" s="9">
        <f t="shared" si="47"/>
        <v>424.74850967654061</v>
      </c>
      <c r="WU35" s="9">
        <f t="shared" si="47"/>
        <v>420.50102457977522</v>
      </c>
      <c r="WV35" s="9">
        <f t="shared" si="47"/>
        <v>416.29601433397744</v>
      </c>
      <c r="WW35" s="9">
        <f t="shared" si="47"/>
        <v>412.13305419063767</v>
      </c>
      <c r="WX35" s="9">
        <f t="shared" si="47"/>
        <v>408.01172364873128</v>
      </c>
      <c r="WY35" s="9">
        <f t="shared" ref="WY35:ZJ35" si="48">WX35*(1+$AW$41)</f>
        <v>403.93160641224398</v>
      </c>
      <c r="WZ35" s="9">
        <f t="shared" si="48"/>
        <v>399.89229034812155</v>
      </c>
      <c r="XA35" s="9">
        <f t="shared" si="48"/>
        <v>395.89336744464032</v>
      </c>
      <c r="XB35" s="9">
        <f t="shared" si="48"/>
        <v>391.93443377019389</v>
      </c>
      <c r="XC35" s="9">
        <f t="shared" si="48"/>
        <v>388.01508943249195</v>
      </c>
      <c r="XD35" s="9">
        <f t="shared" si="48"/>
        <v>384.13493853816703</v>
      </c>
      <c r="XE35" s="9">
        <f t="shared" si="48"/>
        <v>380.29358915278539</v>
      </c>
      <c r="XF35" s="9">
        <f t="shared" si="48"/>
        <v>376.49065326125753</v>
      </c>
      <c r="XG35" s="9">
        <f t="shared" si="48"/>
        <v>372.72574672864494</v>
      </c>
      <c r="XH35" s="9">
        <f t="shared" si="48"/>
        <v>368.99848926135849</v>
      </c>
      <c r="XI35" s="9">
        <f t="shared" si="48"/>
        <v>365.30850436874488</v>
      </c>
      <c r="XJ35" s="9">
        <f t="shared" si="48"/>
        <v>361.65541932505744</v>
      </c>
      <c r="XK35" s="9">
        <f t="shared" si="48"/>
        <v>358.03886513180686</v>
      </c>
      <c r="XL35" s="9">
        <f t="shared" si="48"/>
        <v>354.4584764804888</v>
      </c>
      <c r="XM35" s="9">
        <f t="shared" si="48"/>
        <v>350.91389171568392</v>
      </c>
      <c r="XN35" s="9">
        <f t="shared" si="48"/>
        <v>347.40475279852706</v>
      </c>
      <c r="XO35" s="9">
        <f t="shared" si="48"/>
        <v>343.93070527054181</v>
      </c>
      <c r="XP35" s="9">
        <f t="shared" si="48"/>
        <v>340.49139821783638</v>
      </c>
      <c r="XQ35" s="9">
        <f t="shared" si="48"/>
        <v>337.08648423565802</v>
      </c>
      <c r="XR35" s="9">
        <f t="shared" si="48"/>
        <v>333.71561939330144</v>
      </c>
      <c r="XS35" s="9">
        <f t="shared" si="48"/>
        <v>330.37846319936841</v>
      </c>
      <c r="XT35" s="9">
        <f t="shared" si="48"/>
        <v>327.07467856737475</v>
      </c>
      <c r="XU35" s="9">
        <f t="shared" si="48"/>
        <v>323.80393178170101</v>
      </c>
      <c r="XV35" s="9">
        <f t="shared" si="48"/>
        <v>320.56589246388398</v>
      </c>
      <c r="XW35" s="9">
        <f t="shared" si="48"/>
        <v>317.36023353924514</v>
      </c>
      <c r="XX35" s="9">
        <f t="shared" si="48"/>
        <v>314.1866312038527</v>
      </c>
      <c r="XY35" s="9">
        <f t="shared" si="48"/>
        <v>311.04476489181417</v>
      </c>
      <c r="XZ35" s="9">
        <f t="shared" si="48"/>
        <v>307.93431724289604</v>
      </c>
      <c r="YA35" s="9">
        <f t="shared" si="48"/>
        <v>304.85497407046711</v>
      </c>
      <c r="YB35" s="9">
        <f t="shared" si="48"/>
        <v>301.80642432976242</v>
      </c>
      <c r="YC35" s="9">
        <f t="shared" si="48"/>
        <v>298.78836008646482</v>
      </c>
      <c r="YD35" s="9">
        <f t="shared" si="48"/>
        <v>295.80047648560014</v>
      </c>
      <c r="YE35" s="9">
        <f t="shared" si="48"/>
        <v>292.84247172074413</v>
      </c>
      <c r="YF35" s="9">
        <f t="shared" si="48"/>
        <v>289.91404700353667</v>
      </c>
      <c r="YG35" s="9">
        <f t="shared" si="48"/>
        <v>287.01490653350129</v>
      </c>
      <c r="YH35" s="9">
        <f t="shared" si="48"/>
        <v>284.14475746816629</v>
      </c>
      <c r="YI35" s="9">
        <f t="shared" si="48"/>
        <v>281.30330989348465</v>
      </c>
      <c r="YJ35" s="9">
        <f t="shared" si="48"/>
        <v>278.4902767945498</v>
      </c>
      <c r="YK35" s="9">
        <f t="shared" si="48"/>
        <v>275.70537402660432</v>
      </c>
      <c r="YL35" s="9">
        <f t="shared" si="48"/>
        <v>272.94832028633829</v>
      </c>
      <c r="YM35" s="9">
        <f t="shared" si="48"/>
        <v>270.21883708347491</v>
      </c>
      <c r="YN35" s="9">
        <f t="shared" si="48"/>
        <v>267.51664871264018</v>
      </c>
      <c r="YO35" s="9">
        <f t="shared" si="48"/>
        <v>264.84148222551374</v>
      </c>
      <c r="YP35" s="9">
        <f t="shared" si="48"/>
        <v>262.19306740325862</v>
      </c>
      <c r="YQ35" s="9">
        <f t="shared" si="48"/>
        <v>259.57113672922605</v>
      </c>
      <c r="YR35" s="9">
        <f t="shared" si="48"/>
        <v>256.97542536193379</v>
      </c>
      <c r="YS35" s="9">
        <f t="shared" si="48"/>
        <v>254.40567110831444</v>
      </c>
      <c r="YT35" s="9">
        <f t="shared" si="48"/>
        <v>251.86161439723128</v>
      </c>
      <c r="YU35" s="9">
        <f t="shared" si="48"/>
        <v>249.34299825325897</v>
      </c>
      <c r="YV35" s="9">
        <f t="shared" si="48"/>
        <v>246.84956827072637</v>
      </c>
      <c r="YW35" s="9">
        <f t="shared" si="48"/>
        <v>244.38107258801909</v>
      </c>
      <c r="YX35" s="9">
        <f t="shared" si="48"/>
        <v>241.93726186213891</v>
      </c>
      <c r="YY35" s="9">
        <f t="shared" si="48"/>
        <v>239.51788924351752</v>
      </c>
      <c r="YZ35" s="9">
        <f t="shared" si="48"/>
        <v>237.12271035108233</v>
      </c>
      <c r="ZA35" s="9">
        <f t="shared" si="48"/>
        <v>234.75148324757151</v>
      </c>
      <c r="ZB35" s="9">
        <f t="shared" si="48"/>
        <v>232.40396841509579</v>
      </c>
      <c r="ZC35" s="9">
        <f t="shared" si="48"/>
        <v>230.07992873094483</v>
      </c>
      <c r="ZD35" s="9">
        <f t="shared" si="48"/>
        <v>227.77912944363538</v>
      </c>
      <c r="ZE35" s="9">
        <f t="shared" si="48"/>
        <v>225.50133814919903</v>
      </c>
      <c r="ZF35" s="9">
        <f t="shared" si="48"/>
        <v>223.24632476770702</v>
      </c>
      <c r="ZG35" s="9">
        <f t="shared" si="48"/>
        <v>221.01386152002996</v>
      </c>
      <c r="ZH35" s="9">
        <f t="shared" si="48"/>
        <v>218.80372290482967</v>
      </c>
      <c r="ZI35" s="9">
        <f t="shared" si="48"/>
        <v>216.61568567578138</v>
      </c>
      <c r="ZJ35" s="9">
        <f t="shared" si="48"/>
        <v>214.44952881902356</v>
      </c>
      <c r="ZK35" s="9">
        <f t="shared" ref="ZK35:ABV35" si="49">ZJ35*(1+$AW$41)</f>
        <v>212.30503353083333</v>
      </c>
      <c r="ZL35" s="9">
        <f t="shared" si="49"/>
        <v>210.18198319552499</v>
      </c>
      <c r="ZM35" s="9">
        <f t="shared" si="49"/>
        <v>208.08016336356974</v>
      </c>
      <c r="ZN35" s="9">
        <f t="shared" si="49"/>
        <v>205.99936172993404</v>
      </c>
      <c r="ZO35" s="9">
        <f t="shared" si="49"/>
        <v>203.9393681126347</v>
      </c>
      <c r="ZP35" s="9">
        <f t="shared" si="49"/>
        <v>201.89997443150835</v>
      </c>
      <c r="ZQ35" s="9">
        <f t="shared" si="49"/>
        <v>199.88097468719326</v>
      </c>
      <c r="ZR35" s="9">
        <f t="shared" si="49"/>
        <v>197.88216494032133</v>
      </c>
      <c r="ZS35" s="9">
        <f t="shared" si="49"/>
        <v>195.90334329091812</v>
      </c>
      <c r="ZT35" s="9">
        <f t="shared" si="49"/>
        <v>193.94430985800892</v>
      </c>
      <c r="ZU35" s="9">
        <f t="shared" si="49"/>
        <v>192.00486675942884</v>
      </c>
      <c r="ZV35" s="9">
        <f t="shared" si="49"/>
        <v>190.08481809183453</v>
      </c>
      <c r="ZW35" s="9">
        <f t="shared" si="49"/>
        <v>188.18396991091618</v>
      </c>
      <c r="ZX35" s="9">
        <f t="shared" si="49"/>
        <v>186.30213021180703</v>
      </c>
      <c r="ZY35" s="9">
        <f t="shared" si="49"/>
        <v>184.43910890968894</v>
      </c>
      <c r="ZZ35" s="9">
        <f t="shared" si="49"/>
        <v>182.59471782059205</v>
      </c>
      <c r="AAA35" s="9">
        <f t="shared" si="49"/>
        <v>180.76877064238613</v>
      </c>
      <c r="AAB35" s="9">
        <f t="shared" si="49"/>
        <v>178.96108293596228</v>
      </c>
      <c r="AAC35" s="9">
        <f t="shared" si="49"/>
        <v>177.17147210660266</v>
      </c>
      <c r="AAD35" s="9">
        <f t="shared" si="49"/>
        <v>175.39975738553665</v>
      </c>
      <c r="AAE35" s="9">
        <f t="shared" si="49"/>
        <v>173.64575981168127</v>
      </c>
      <c r="AAF35" s="9">
        <f t="shared" si="49"/>
        <v>171.90930221356447</v>
      </c>
      <c r="AAG35" s="9">
        <f t="shared" si="49"/>
        <v>170.19020919142883</v>
      </c>
      <c r="AAH35" s="9">
        <f t="shared" si="49"/>
        <v>168.48830709951454</v>
      </c>
      <c r="AAI35" s="9">
        <f t="shared" si="49"/>
        <v>166.8034240285194</v>
      </c>
      <c r="AAJ35" s="9">
        <f t="shared" si="49"/>
        <v>165.13538978823419</v>
      </c>
      <c r="AAK35" s="9">
        <f t="shared" si="49"/>
        <v>163.48403589035186</v>
      </c>
      <c r="AAL35" s="9">
        <f t="shared" si="49"/>
        <v>161.84919553144834</v>
      </c>
      <c r="AAM35" s="9">
        <f t="shared" si="49"/>
        <v>160.23070357613386</v>
      </c>
      <c r="AAN35" s="9">
        <f t="shared" si="49"/>
        <v>158.62839654037253</v>
      </c>
      <c r="AAO35" s="9">
        <f t="shared" si="49"/>
        <v>157.0421125749688</v>
      </c>
      <c r="AAP35" s="9">
        <f t="shared" si="49"/>
        <v>155.47169144921912</v>
      </c>
      <c r="AAQ35" s="9">
        <f t="shared" si="49"/>
        <v>153.91697453472693</v>
      </c>
      <c r="AAR35" s="9">
        <f t="shared" si="49"/>
        <v>152.37780478937967</v>
      </c>
      <c r="AAS35" s="9">
        <f t="shared" si="49"/>
        <v>150.85402674148588</v>
      </c>
      <c r="AAT35" s="9">
        <f t="shared" si="49"/>
        <v>149.34548647407101</v>
      </c>
      <c r="AAU35" s="9">
        <f t="shared" si="49"/>
        <v>147.85203160933031</v>
      </c>
      <c r="AAV35" s="9">
        <f t="shared" si="49"/>
        <v>146.37351129323702</v>
      </c>
      <c r="AAW35" s="9">
        <f t="shared" si="49"/>
        <v>144.90977618030465</v>
      </c>
      <c r="AAX35" s="9">
        <f t="shared" si="49"/>
        <v>143.4606784185016</v>
      </c>
      <c r="AAY35" s="9">
        <f t="shared" si="49"/>
        <v>142.02607163431659</v>
      </c>
      <c r="AAZ35" s="9">
        <f t="shared" si="49"/>
        <v>140.60581091797343</v>
      </c>
      <c r="ABA35" s="9">
        <f t="shared" si="49"/>
        <v>139.1997528087937</v>
      </c>
      <c r="ABB35" s="9">
        <f t="shared" si="49"/>
        <v>137.80775528070578</v>
      </c>
      <c r="ABC35" s="9">
        <f t="shared" si="49"/>
        <v>136.42967772789871</v>
      </c>
      <c r="ABD35" s="9">
        <f t="shared" si="49"/>
        <v>135.06538095061973</v>
      </c>
      <c r="ABE35" s="9">
        <f t="shared" si="49"/>
        <v>133.71472714111351</v>
      </c>
      <c r="ABF35" s="9">
        <f t="shared" si="49"/>
        <v>132.37757986970237</v>
      </c>
      <c r="ABG35" s="9">
        <f t="shared" si="49"/>
        <v>131.05380407100535</v>
      </c>
      <c r="ABH35" s="9">
        <f t="shared" si="49"/>
        <v>129.7432660302953</v>
      </c>
      <c r="ABI35" s="9">
        <f t="shared" si="49"/>
        <v>128.44583336999236</v>
      </c>
      <c r="ABJ35" s="9">
        <f t="shared" si="49"/>
        <v>127.16137503629243</v>
      </c>
      <c r="ABK35" s="9">
        <f t="shared" si="49"/>
        <v>125.8897612859295</v>
      </c>
      <c r="ABL35" s="9">
        <f t="shared" si="49"/>
        <v>124.63086367307019</v>
      </c>
      <c r="ABM35" s="9">
        <f t="shared" si="49"/>
        <v>123.38455503633949</v>
      </c>
      <c r="ABN35" s="9">
        <f t="shared" si="49"/>
        <v>122.15070948597609</v>
      </c>
      <c r="ABO35" s="9">
        <f t="shared" si="49"/>
        <v>120.92920239111633</v>
      </c>
      <c r="ABP35" s="9">
        <f t="shared" si="49"/>
        <v>119.71991036720517</v>
      </c>
      <c r="ABQ35" s="9">
        <f t="shared" si="49"/>
        <v>118.52271126353313</v>
      </c>
      <c r="ABR35" s="9">
        <f t="shared" si="49"/>
        <v>117.33748415089779</v>
      </c>
      <c r="ABS35" s="9">
        <f t="shared" si="49"/>
        <v>116.16410930938882</v>
      </c>
      <c r="ABT35" s="9">
        <f t="shared" si="49"/>
        <v>115.00246821629493</v>
      </c>
      <c r="ABU35" s="9">
        <f t="shared" si="49"/>
        <v>113.85244353413198</v>
      </c>
      <c r="ABV35" s="9">
        <f t="shared" si="49"/>
        <v>112.71391909879065</v>
      </c>
      <c r="ABW35" s="9">
        <f t="shared" ref="ABW35:AEH35" si="50">ABV35*(1+$AW$41)</f>
        <v>111.58677990780275</v>
      </c>
      <c r="ABX35" s="9">
        <f t="shared" si="50"/>
        <v>110.47091210872472</v>
      </c>
      <c r="ABY35" s="9">
        <f t="shared" si="50"/>
        <v>109.36620298763746</v>
      </c>
      <c r="ABZ35" s="9">
        <f t="shared" si="50"/>
        <v>108.27254095776109</v>
      </c>
      <c r="ACA35" s="9">
        <f t="shared" si="50"/>
        <v>107.18981554818349</v>
      </c>
      <c r="ACB35" s="9">
        <f t="shared" si="50"/>
        <v>106.11791739270166</v>
      </c>
      <c r="ACC35" s="9">
        <f t="shared" si="50"/>
        <v>105.05673821877464</v>
      </c>
      <c r="ACD35" s="9">
        <f t="shared" si="50"/>
        <v>104.00617083658689</v>
      </c>
      <c r="ACE35" s="9">
        <f t="shared" si="50"/>
        <v>102.96610912822102</v>
      </c>
      <c r="ACF35" s="9">
        <f t="shared" si="50"/>
        <v>101.93644803693881</v>
      </c>
      <c r="ACG35" s="9">
        <f t="shared" si="50"/>
        <v>100.91708355656942</v>
      </c>
      <c r="ACH35" s="9">
        <f t="shared" si="50"/>
        <v>99.907912721003726</v>
      </c>
      <c r="ACI35" s="9">
        <f t="shared" si="50"/>
        <v>98.908833593793688</v>
      </c>
      <c r="ACJ35" s="9">
        <f t="shared" si="50"/>
        <v>97.919745257855752</v>
      </c>
      <c r="ACK35" s="9">
        <f t="shared" si="50"/>
        <v>96.940547805277191</v>
      </c>
      <c r="ACL35" s="9">
        <f t="shared" si="50"/>
        <v>95.971142327224413</v>
      </c>
      <c r="ACM35" s="9">
        <f t="shared" si="50"/>
        <v>95.011430903952174</v>
      </c>
      <c r="ACN35" s="9">
        <f t="shared" si="50"/>
        <v>94.061316594912654</v>
      </c>
      <c r="ACO35" s="9">
        <f t="shared" si="50"/>
        <v>93.120703428963523</v>
      </c>
      <c r="ACP35" s="9">
        <f t="shared" si="50"/>
        <v>92.189496394673881</v>
      </c>
      <c r="ACQ35" s="9">
        <f t="shared" si="50"/>
        <v>91.26760143072714</v>
      </c>
      <c r="ACR35" s="9">
        <f t="shared" si="50"/>
        <v>90.354925416419874</v>
      </c>
      <c r="ACS35" s="9">
        <f t="shared" si="50"/>
        <v>89.45137616225567</v>
      </c>
      <c r="ACT35" s="9">
        <f t="shared" si="50"/>
        <v>88.556862400633108</v>
      </c>
      <c r="ACU35" s="9">
        <f t="shared" si="50"/>
        <v>87.671293776626783</v>
      </c>
      <c r="ACV35" s="9">
        <f t="shared" si="50"/>
        <v>86.794580838860512</v>
      </c>
      <c r="ACW35" s="9">
        <f t="shared" si="50"/>
        <v>85.9266350304719</v>
      </c>
      <c r="ACX35" s="9">
        <f t="shared" si="50"/>
        <v>85.067368680167178</v>
      </c>
      <c r="ACY35" s="9">
        <f t="shared" si="50"/>
        <v>84.216694993365508</v>
      </c>
      <c r="ACZ35" s="9">
        <f t="shared" si="50"/>
        <v>83.374528043431852</v>
      </c>
      <c r="ADA35" s="9">
        <f t="shared" si="50"/>
        <v>82.540782762997537</v>
      </c>
      <c r="ADB35" s="9">
        <f t="shared" si="50"/>
        <v>81.715374935367564</v>
      </c>
      <c r="ADC35" s="9">
        <f t="shared" si="50"/>
        <v>80.898221186013885</v>
      </c>
      <c r="ADD35" s="9">
        <f t="shared" si="50"/>
        <v>80.089238974153744</v>
      </c>
      <c r="ADE35" s="9">
        <f t="shared" si="50"/>
        <v>79.28834658441221</v>
      </c>
      <c r="ADF35" s="9">
        <f t="shared" si="50"/>
        <v>78.495463118568082</v>
      </c>
      <c r="ADG35" s="9">
        <f t="shared" si="50"/>
        <v>77.710508487382398</v>
      </c>
      <c r="ADH35" s="9">
        <f t="shared" si="50"/>
        <v>76.933403402508574</v>
      </c>
      <c r="ADI35" s="9">
        <f t="shared" si="50"/>
        <v>76.164069368483482</v>
      </c>
      <c r="ADJ35" s="9">
        <f t="shared" si="50"/>
        <v>75.402428674798642</v>
      </c>
      <c r="ADK35" s="9">
        <f t="shared" si="50"/>
        <v>74.64840438805065</v>
      </c>
      <c r="ADL35" s="9">
        <f t="shared" si="50"/>
        <v>73.901920344170136</v>
      </c>
      <c r="ADM35" s="9">
        <f t="shared" si="50"/>
        <v>73.162901140728437</v>
      </c>
      <c r="ADN35" s="9">
        <f t="shared" si="50"/>
        <v>72.431272129321158</v>
      </c>
      <c r="ADO35" s="9">
        <f t="shared" si="50"/>
        <v>71.706959408027942</v>
      </c>
      <c r="ADP35" s="9">
        <f t="shared" si="50"/>
        <v>70.989889813947656</v>
      </c>
      <c r="ADQ35" s="9">
        <f t="shared" si="50"/>
        <v>70.279990915808185</v>
      </c>
      <c r="ADR35" s="9">
        <f t="shared" si="50"/>
        <v>69.577191006650096</v>
      </c>
      <c r="ADS35" s="9">
        <f t="shared" si="50"/>
        <v>68.881419096583599</v>
      </c>
      <c r="ADT35" s="9">
        <f t="shared" si="50"/>
        <v>68.192604905617756</v>
      </c>
      <c r="ADU35" s="9">
        <f t="shared" si="50"/>
        <v>67.510678856561583</v>
      </c>
      <c r="ADV35" s="9">
        <f t="shared" si="50"/>
        <v>66.835572067995969</v>
      </c>
      <c r="ADW35" s="9">
        <f t="shared" si="50"/>
        <v>66.167216347316014</v>
      </c>
      <c r="ADX35" s="9">
        <f t="shared" si="50"/>
        <v>65.505544183842858</v>
      </c>
      <c r="ADY35" s="9">
        <f t="shared" si="50"/>
        <v>64.85048874200443</v>
      </c>
      <c r="ADZ35" s="9">
        <f t="shared" si="50"/>
        <v>64.201983854584384</v>
      </c>
      <c r="AEA35" s="9">
        <f t="shared" si="50"/>
        <v>63.559964016038542</v>
      </c>
      <c r="AEB35" s="9">
        <f t="shared" si="50"/>
        <v>62.924364375878156</v>
      </c>
      <c r="AEC35" s="9">
        <f t="shared" si="50"/>
        <v>62.295120732119372</v>
      </c>
      <c r="AED35" s="9">
        <f t="shared" si="50"/>
        <v>61.672169524798178</v>
      </c>
      <c r="AEE35" s="9">
        <f t="shared" si="50"/>
        <v>61.055447829550197</v>
      </c>
      <c r="AEF35" s="9">
        <f t="shared" si="50"/>
        <v>60.444893351254692</v>
      </c>
      <c r="AEG35" s="9">
        <f t="shared" si="50"/>
        <v>59.840444417742141</v>
      </c>
      <c r="AEH35" s="9">
        <f t="shared" si="50"/>
        <v>59.242039973564722</v>
      </c>
      <c r="AEI35" s="9">
        <f t="shared" ref="AEI35:AGT35" si="51">AEH35*(1+$AW$41)</f>
        <v>58.649619573829078</v>
      </c>
      <c r="AEJ35" s="9">
        <f t="shared" si="51"/>
        <v>58.063123378090786</v>
      </c>
      <c r="AEK35" s="9">
        <f t="shared" si="51"/>
        <v>57.48249214430988</v>
      </c>
      <c r="AEL35" s="9">
        <f t="shared" si="51"/>
        <v>56.907667222866777</v>
      </c>
      <c r="AEM35" s="9">
        <f t="shared" si="51"/>
        <v>56.338590550638109</v>
      </c>
      <c r="AEN35" s="9">
        <f t="shared" si="51"/>
        <v>55.77520464513173</v>
      </c>
      <c r="AEO35" s="9">
        <f t="shared" si="51"/>
        <v>55.21745259868041</v>
      </c>
      <c r="AEP35" s="9">
        <f t="shared" si="51"/>
        <v>54.665278072693603</v>
      </c>
      <c r="AEQ35" s="9">
        <f t="shared" si="51"/>
        <v>54.118625291966666</v>
      </c>
      <c r="AER35" s="9">
        <f t="shared" si="51"/>
        <v>53.577439039047</v>
      </c>
      <c r="AES35" s="9">
        <f t="shared" si="51"/>
        <v>53.041664648656528</v>
      </c>
      <c r="AET35" s="9">
        <f t="shared" si="51"/>
        <v>52.511248002169964</v>
      </c>
      <c r="AEU35" s="9">
        <f t="shared" si="51"/>
        <v>51.986135522148267</v>
      </c>
      <c r="AEV35" s="9">
        <f t="shared" si="51"/>
        <v>51.46627416692678</v>
      </c>
      <c r="AEW35" s="9">
        <f t="shared" si="51"/>
        <v>50.951611425257511</v>
      </c>
      <c r="AEX35" s="9">
        <f t="shared" si="51"/>
        <v>50.442095311004934</v>
      </c>
      <c r="AEY35" s="9">
        <f t="shared" si="51"/>
        <v>49.937674357894885</v>
      </c>
      <c r="AEZ35" s="9">
        <f t="shared" si="51"/>
        <v>49.438297614315935</v>
      </c>
      <c r="AFA35" s="9">
        <f t="shared" si="51"/>
        <v>48.943914638172778</v>
      </c>
      <c r="AFB35" s="9">
        <f t="shared" si="51"/>
        <v>48.454475491791051</v>
      </c>
      <c r="AFC35" s="9">
        <f t="shared" si="51"/>
        <v>47.969930736873138</v>
      </c>
      <c r="AFD35" s="9">
        <f t="shared" si="51"/>
        <v>47.490231429504405</v>
      </c>
      <c r="AFE35" s="9">
        <f t="shared" si="51"/>
        <v>47.015329115209362</v>
      </c>
      <c r="AFF35" s="9">
        <f t="shared" si="51"/>
        <v>46.545175824057267</v>
      </c>
      <c r="AFG35" s="9">
        <f t="shared" si="51"/>
        <v>46.079724065816691</v>
      </c>
      <c r="AFH35" s="9">
        <f t="shared" si="51"/>
        <v>45.618926825158525</v>
      </c>
      <c r="AFI35" s="9">
        <f t="shared" si="51"/>
        <v>45.16273755690694</v>
      </c>
      <c r="AFJ35" s="9">
        <f t="shared" si="51"/>
        <v>44.711110181337872</v>
      </c>
      <c r="AFK35" s="9">
        <f t="shared" si="51"/>
        <v>44.263999079524496</v>
      </c>
      <c r="AFL35" s="9">
        <f t="shared" si="51"/>
        <v>43.821359088729253</v>
      </c>
      <c r="AFM35" s="9">
        <f t="shared" si="51"/>
        <v>43.383145497841959</v>
      </c>
      <c r="AFN35" s="9">
        <f t="shared" si="51"/>
        <v>42.949314042863541</v>
      </c>
      <c r="AFO35" s="9">
        <f t="shared" si="51"/>
        <v>42.519820902434908</v>
      </c>
      <c r="AFP35" s="9">
        <f t="shared" si="51"/>
        <v>42.094622693410557</v>
      </c>
      <c r="AFQ35" s="9">
        <f t="shared" si="51"/>
        <v>41.673676466476451</v>
      </c>
      <c r="AFR35" s="9">
        <f t="shared" si="51"/>
        <v>41.256939701811689</v>
      </c>
      <c r="AFS35" s="9">
        <f t="shared" si="51"/>
        <v>40.844370304793571</v>
      </c>
      <c r="AFT35" s="9">
        <f t="shared" si="51"/>
        <v>40.435926601745635</v>
      </c>
      <c r="AFU35" s="9">
        <f t="shared" si="51"/>
        <v>40.031567335728177</v>
      </c>
      <c r="AFV35" s="9">
        <f t="shared" si="51"/>
        <v>39.631251662370893</v>
      </c>
      <c r="AFW35" s="9">
        <f t="shared" si="51"/>
        <v>39.234939145747184</v>
      </c>
      <c r="AFX35" s="9">
        <f t="shared" si="51"/>
        <v>38.842589754289712</v>
      </c>
      <c r="AFY35" s="9">
        <f t="shared" si="51"/>
        <v>38.454163856746817</v>
      </c>
      <c r="AFZ35" s="9">
        <f t="shared" si="51"/>
        <v>38.069622218179347</v>
      </c>
      <c r="AGA35" s="9">
        <f t="shared" si="51"/>
        <v>37.68892599599755</v>
      </c>
      <c r="AGB35" s="9">
        <f t="shared" si="51"/>
        <v>37.312036736037577</v>
      </c>
      <c r="AGC35" s="9">
        <f t="shared" si="51"/>
        <v>36.938916368677198</v>
      </c>
      <c r="AGD35" s="9">
        <f t="shared" si="51"/>
        <v>36.569527204990429</v>
      </c>
      <c r="AGE35" s="9">
        <f t="shared" si="51"/>
        <v>36.203831932940524</v>
      </c>
      <c r="AGF35" s="9">
        <f t="shared" si="51"/>
        <v>35.841793613611117</v>
      </c>
      <c r="AGG35" s="9">
        <f t="shared" si="51"/>
        <v>35.483375677475003</v>
      </c>
      <c r="AGH35" s="9">
        <f t="shared" si="51"/>
        <v>35.128541920700251</v>
      </c>
      <c r="AGI35" s="9">
        <f t="shared" si="51"/>
        <v>34.777256501493248</v>
      </c>
      <c r="AGJ35" s="9">
        <f t="shared" si="51"/>
        <v>34.429483936478313</v>
      </c>
      <c r="AGK35" s="9">
        <f t="shared" si="51"/>
        <v>34.085189097113528</v>
      </c>
      <c r="AGL35" s="9">
        <f t="shared" si="51"/>
        <v>33.74433720614239</v>
      </c>
      <c r="AGM35" s="9">
        <f t="shared" si="51"/>
        <v>33.406893834080968</v>
      </c>
      <c r="AGN35" s="9">
        <f t="shared" si="51"/>
        <v>33.072824895740155</v>
      </c>
      <c r="AGO35" s="9">
        <f t="shared" si="51"/>
        <v>32.742096646782755</v>
      </c>
      <c r="AGP35" s="9">
        <f t="shared" si="51"/>
        <v>32.414675680314929</v>
      </c>
      <c r="AGQ35" s="9">
        <f t="shared" si="51"/>
        <v>32.090528923511776</v>
      </c>
      <c r="AGR35" s="9">
        <f t="shared" si="51"/>
        <v>31.769623634276659</v>
      </c>
      <c r="AGS35" s="9">
        <f t="shared" si="51"/>
        <v>31.451927397933893</v>
      </c>
      <c r="AGT35" s="9">
        <f t="shared" si="51"/>
        <v>31.137408123954554</v>
      </c>
      <c r="AGU35" s="9">
        <f t="shared" ref="AGU35:AJF35" si="52">AGT35*(1+$AW$41)</f>
        <v>30.826034042715008</v>
      </c>
      <c r="AGV35" s="9">
        <f t="shared" si="52"/>
        <v>30.517773702287858</v>
      </c>
      <c r="AGW35" s="9">
        <f t="shared" si="52"/>
        <v>30.212595965264978</v>
      </c>
      <c r="AGX35" s="9">
        <f t="shared" si="52"/>
        <v>29.910470005612328</v>
      </c>
      <c r="AGY35" s="9">
        <f t="shared" si="52"/>
        <v>29.611365305556205</v>
      </c>
      <c r="AGZ35" s="9">
        <f t="shared" si="52"/>
        <v>29.315251652500642</v>
      </c>
      <c r="AHA35" s="9">
        <f t="shared" si="52"/>
        <v>29.022099135975637</v>
      </c>
      <c r="AHB35" s="9">
        <f t="shared" si="52"/>
        <v>28.73187814461588</v>
      </c>
      <c r="AHC35" s="9">
        <f t="shared" si="52"/>
        <v>28.44455936316972</v>
      </c>
      <c r="AHD35" s="9">
        <f t="shared" si="52"/>
        <v>28.160113769538022</v>
      </c>
      <c r="AHE35" s="9">
        <f t="shared" si="52"/>
        <v>27.878512631842643</v>
      </c>
      <c r="AHF35" s="9">
        <f t="shared" si="52"/>
        <v>27.599727505524218</v>
      </c>
      <c r="AHG35" s="9">
        <f t="shared" si="52"/>
        <v>27.323730230468975</v>
      </c>
      <c r="AHH35" s="9">
        <f t="shared" si="52"/>
        <v>27.050492928164285</v>
      </c>
      <c r="AHI35" s="9">
        <f t="shared" si="52"/>
        <v>26.779987998882643</v>
      </c>
      <c r="AHJ35" s="9">
        <f t="shared" si="52"/>
        <v>26.512188118893818</v>
      </c>
      <c r="AHK35" s="9">
        <f t="shared" si="52"/>
        <v>26.247066237704878</v>
      </c>
      <c r="AHL35" s="9">
        <f t="shared" si="52"/>
        <v>25.98459557532783</v>
      </c>
      <c r="AHM35" s="9">
        <f t="shared" si="52"/>
        <v>25.724749619574553</v>
      </c>
      <c r="AHN35" s="9">
        <f t="shared" si="52"/>
        <v>25.467502123378807</v>
      </c>
      <c r="AHO35" s="9">
        <f t="shared" si="52"/>
        <v>25.21282710214502</v>
      </c>
      <c r="AHP35" s="9">
        <f t="shared" si="52"/>
        <v>24.960698831123569</v>
      </c>
      <c r="AHQ35" s="9">
        <f t="shared" si="52"/>
        <v>24.711091842812333</v>
      </c>
      <c r="AHR35" s="9">
        <f t="shared" si="52"/>
        <v>24.463980924384209</v>
      </c>
      <c r="AHS35" s="9">
        <f t="shared" si="52"/>
        <v>24.219341115140367</v>
      </c>
      <c r="AHT35" s="9">
        <f t="shared" si="52"/>
        <v>23.977147703988962</v>
      </c>
      <c r="AHU35" s="9">
        <f t="shared" si="52"/>
        <v>23.73737622694907</v>
      </c>
      <c r="AHV35" s="9">
        <f t="shared" si="52"/>
        <v>23.500002464679579</v>
      </c>
      <c r="AHW35" s="9">
        <f t="shared" si="52"/>
        <v>23.265002440032784</v>
      </c>
      <c r="AHX35" s="9">
        <f t="shared" si="52"/>
        <v>23.032352415632456</v>
      </c>
      <c r="AHY35" s="9">
        <f t="shared" si="52"/>
        <v>22.80202889147613</v>
      </c>
      <c r="AHZ35" s="9">
        <f t="shared" si="52"/>
        <v>22.574008602561367</v>
      </c>
      <c r="AIA35" s="9">
        <f t="shared" si="52"/>
        <v>22.348268516535754</v>
      </c>
      <c r="AIB35" s="9">
        <f t="shared" si="52"/>
        <v>22.124785831370396</v>
      </c>
      <c r="AIC35" s="9">
        <f t="shared" si="52"/>
        <v>21.903537973056693</v>
      </c>
      <c r="AID35" s="9">
        <f t="shared" si="52"/>
        <v>21.684502593326126</v>
      </c>
      <c r="AIE35" s="9">
        <f t="shared" si="52"/>
        <v>21.467657567392866</v>
      </c>
      <c r="AIF35" s="9">
        <f t="shared" si="52"/>
        <v>21.252980991718935</v>
      </c>
      <c r="AIG35" s="9">
        <f t="shared" si="52"/>
        <v>21.040451181801746</v>
      </c>
      <c r="AIH35" s="9">
        <f t="shared" si="52"/>
        <v>20.83004666998373</v>
      </c>
      <c r="AII35" s="9">
        <f t="shared" si="52"/>
        <v>20.621746203283891</v>
      </c>
      <c r="AIJ35" s="9">
        <f t="shared" si="52"/>
        <v>20.415528741251052</v>
      </c>
      <c r="AIK35" s="9">
        <f t="shared" si="52"/>
        <v>20.21137345383854</v>
      </c>
      <c r="AIL35" s="9">
        <f t="shared" si="52"/>
        <v>20.009259719300154</v>
      </c>
      <c r="AIM35" s="9">
        <f t="shared" si="52"/>
        <v>19.809167122107151</v>
      </c>
      <c r="AIN35" s="9">
        <f t="shared" si="52"/>
        <v>19.61107545088608</v>
      </c>
      <c r="AIO35" s="9">
        <f t="shared" si="52"/>
        <v>19.414964696377218</v>
      </c>
      <c r="AIP35" s="9">
        <f t="shared" si="52"/>
        <v>19.220815049413446</v>
      </c>
      <c r="AIQ35" s="9">
        <f t="shared" si="52"/>
        <v>19.02860689891931</v>
      </c>
      <c r="AIR35" s="9">
        <f t="shared" si="52"/>
        <v>18.838320829930119</v>
      </c>
      <c r="AIS35" s="9">
        <f t="shared" si="52"/>
        <v>18.649937621630816</v>
      </c>
      <c r="AIT35" s="9">
        <f t="shared" si="52"/>
        <v>18.463438245414508</v>
      </c>
      <c r="AIU35" s="9">
        <f t="shared" si="52"/>
        <v>18.278803862960363</v>
      </c>
      <c r="AIV35" s="9">
        <f t="shared" si="52"/>
        <v>18.09601582433076</v>
      </c>
      <c r="AIW35" s="9">
        <f t="shared" si="52"/>
        <v>17.915055666087451</v>
      </c>
      <c r="AIX35" s="9">
        <f t="shared" si="52"/>
        <v>17.735905109426575</v>
      </c>
      <c r="AIY35" s="9">
        <f t="shared" si="52"/>
        <v>17.558546058332308</v>
      </c>
      <c r="AIZ35" s="9">
        <f t="shared" si="52"/>
        <v>17.382960597748983</v>
      </c>
      <c r="AJA35" s="9">
        <f t="shared" si="52"/>
        <v>17.209130991771492</v>
      </c>
      <c r="AJB35" s="9">
        <f t="shared" si="52"/>
        <v>17.037039681853777</v>
      </c>
      <c r="AJC35" s="9">
        <f t="shared" si="52"/>
        <v>16.86666928503524</v>
      </c>
      <c r="AJD35" s="9">
        <f t="shared" si="52"/>
        <v>16.698002592184888</v>
      </c>
      <c r="AJE35" s="9">
        <f t="shared" si="52"/>
        <v>16.53102256626304</v>
      </c>
      <c r="AJF35" s="9">
        <f t="shared" si="52"/>
        <v>16.36571234060041</v>
      </c>
      <c r="AJG35" s="9">
        <f t="shared" ref="AJG35:ALR35" si="53">AJF35*(1+$AW$41)</f>
        <v>16.202055217194406</v>
      </c>
      <c r="AJH35" s="9">
        <f t="shared" si="53"/>
        <v>16.040034665022461</v>
      </c>
      <c r="AJI35" s="9">
        <f t="shared" si="53"/>
        <v>15.879634318372236</v>
      </c>
      <c r="AJJ35" s="9">
        <f t="shared" si="53"/>
        <v>15.720837975188514</v>
      </c>
      <c r="AJK35" s="9">
        <f t="shared" si="53"/>
        <v>15.563629595436629</v>
      </c>
      <c r="AJL35" s="9">
        <f t="shared" si="53"/>
        <v>15.407993299482262</v>
      </c>
      <c r="AJM35" s="9">
        <f t="shared" si="53"/>
        <v>15.25391336648744</v>
      </c>
      <c r="AJN35" s="9">
        <f t="shared" si="53"/>
        <v>15.101374232822566</v>
      </c>
      <c r="AJO35" s="9">
        <f t="shared" si="53"/>
        <v>14.95036049049434</v>
      </c>
      <c r="AJP35" s="9">
        <f t="shared" si="53"/>
        <v>14.800856885589397</v>
      </c>
      <c r="AJQ35" s="9">
        <f t="shared" si="53"/>
        <v>14.652848316733502</v>
      </c>
      <c r="AJR35" s="9">
        <f t="shared" si="53"/>
        <v>14.506319833566167</v>
      </c>
      <c r="AJS35" s="9">
        <f t="shared" si="53"/>
        <v>14.361256635230506</v>
      </c>
      <c r="AJT35" s="9">
        <f t="shared" si="53"/>
        <v>14.217644068878201</v>
      </c>
      <c r="AJU35" s="9">
        <f t="shared" si="53"/>
        <v>14.075467628189418</v>
      </c>
      <c r="AJV35" s="9">
        <f t="shared" si="53"/>
        <v>13.934712951907525</v>
      </c>
      <c r="AJW35" s="9">
        <f t="shared" si="53"/>
        <v>13.795365822388449</v>
      </c>
      <c r="AJX35" s="9">
        <f t="shared" si="53"/>
        <v>13.657412164164565</v>
      </c>
      <c r="AJY35" s="9">
        <f t="shared" si="53"/>
        <v>13.52083804252292</v>
      </c>
      <c r="AJZ35" s="9">
        <f t="shared" si="53"/>
        <v>13.38562966209769</v>
      </c>
      <c r="AKA35" s="9">
        <f t="shared" si="53"/>
        <v>13.251773365476714</v>
      </c>
      <c r="AKB35" s="9">
        <f t="shared" si="53"/>
        <v>13.119255631821947</v>
      </c>
      <c r="AKC35" s="9">
        <f t="shared" si="53"/>
        <v>12.988063075503726</v>
      </c>
      <c r="AKD35" s="9">
        <f t="shared" si="53"/>
        <v>12.858182444748689</v>
      </c>
      <c r="AKE35" s="9">
        <f t="shared" si="53"/>
        <v>12.729600620301202</v>
      </c>
      <c r="AKF35" s="9">
        <f t="shared" si="53"/>
        <v>12.602304614098189</v>
      </c>
      <c r="AKG35" s="9">
        <f t="shared" si="53"/>
        <v>12.476281567957207</v>
      </c>
      <c r="AKH35" s="9">
        <f t="shared" si="53"/>
        <v>12.351518752277634</v>
      </c>
      <c r="AKI35" s="9">
        <f t="shared" si="53"/>
        <v>12.228003564754857</v>
      </c>
      <c r="AKJ35" s="9">
        <f t="shared" si="53"/>
        <v>12.105723529107308</v>
      </c>
      <c r="AKK35" s="9">
        <f t="shared" si="53"/>
        <v>11.984666293816236</v>
      </c>
      <c r="AKL35" s="9">
        <f t="shared" si="53"/>
        <v>11.864819630878074</v>
      </c>
      <c r="AKM35" s="9">
        <f t="shared" si="53"/>
        <v>11.746171434569293</v>
      </c>
      <c r="AKN35" s="9">
        <f t="shared" si="53"/>
        <v>11.6287097202236</v>
      </c>
      <c r="AKO35" s="9">
        <f t="shared" si="53"/>
        <v>11.512422623021365</v>
      </c>
      <c r="AKP35" s="9">
        <f t="shared" si="53"/>
        <v>11.397298396791152</v>
      </c>
      <c r="AKQ35" s="9">
        <f t="shared" si="53"/>
        <v>11.28332541282324</v>
      </c>
      <c r="AKR35" s="9">
        <f t="shared" si="53"/>
        <v>11.170492158695007</v>
      </c>
      <c r="AKS35" s="9">
        <f t="shared" si="53"/>
        <v>11.058787237108056</v>
      </c>
      <c r="AKT35" s="9">
        <f t="shared" si="53"/>
        <v>10.948199364736976</v>
      </c>
      <c r="AKU35" s="9">
        <f t="shared" si="53"/>
        <v>10.838717371089606</v>
      </c>
      <c r="AKV35" s="9">
        <f t="shared" si="53"/>
        <v>10.730330197378709</v>
      </c>
      <c r="AKW35" s="9">
        <f t="shared" si="53"/>
        <v>10.623026895404923</v>
      </c>
      <c r="AKX35" s="9">
        <f t="shared" si="53"/>
        <v>10.516796626450873</v>
      </c>
      <c r="AKY35" s="9">
        <f t="shared" si="53"/>
        <v>10.411628660186365</v>
      </c>
      <c r="AKZ35" s="9">
        <f t="shared" si="53"/>
        <v>10.307512373584501</v>
      </c>
      <c r="ALA35" s="9">
        <f t="shared" si="53"/>
        <v>10.204437249848656</v>
      </c>
      <c r="ALB35" s="9">
        <f t="shared" si="53"/>
        <v>10.102392877350169</v>
      </c>
      <c r="ALC35" s="9">
        <f t="shared" si="53"/>
        <v>10.001368948576667</v>
      </c>
      <c r="ALD35" s="9">
        <f t="shared" si="53"/>
        <v>9.9013552590909004</v>
      </c>
      <c r="ALE35" s="9">
        <f t="shared" si="53"/>
        <v>9.8023417064999911</v>
      </c>
      <c r="ALF35" s="9">
        <f t="shared" si="53"/>
        <v>9.7043182894349904</v>
      </c>
      <c r="ALG35" s="9">
        <f t="shared" si="53"/>
        <v>9.6072751065406408</v>
      </c>
      <c r="ALH35" s="9">
        <f t="shared" si="53"/>
        <v>9.5112023554752341</v>
      </c>
      <c r="ALI35" s="9">
        <f t="shared" si="53"/>
        <v>9.4160903319204809</v>
      </c>
      <c r="ALJ35" s="9">
        <f t="shared" si="53"/>
        <v>9.3219294286012762</v>
      </c>
      <c r="ALK35" s="9">
        <f t="shared" si="53"/>
        <v>9.2287101343152624</v>
      </c>
      <c r="ALL35" s="9">
        <f t="shared" si="53"/>
        <v>9.1364230329721092</v>
      </c>
      <c r="ALM35" s="9">
        <f t="shared" si="53"/>
        <v>9.0450588026423873</v>
      </c>
      <c r="ALN35" s="9">
        <f t="shared" si="53"/>
        <v>8.9546082146159627</v>
      </c>
      <c r="ALO35" s="9">
        <f t="shared" si="53"/>
        <v>8.8650621324698022</v>
      </c>
      <c r="ALP35" s="9">
        <f t="shared" si="53"/>
        <v>8.7764115111451044</v>
      </c>
      <c r="ALQ35" s="9">
        <f t="shared" si="53"/>
        <v>8.6886473960336534</v>
      </c>
      <c r="ALR35" s="9">
        <f t="shared" si="53"/>
        <v>8.601760922073316</v>
      </c>
      <c r="ALS35" s="9">
        <f t="shared" ref="ALS35:AOD35" si="54">ALR35*(1+$AW$41)</f>
        <v>8.5157433128525835</v>
      </c>
      <c r="ALT35" s="9">
        <f t="shared" si="54"/>
        <v>8.4305858797240578</v>
      </c>
      <c r="ALU35" s="9">
        <f t="shared" si="54"/>
        <v>8.3462800209268178</v>
      </c>
      <c r="ALV35" s="9">
        <f t="shared" si="54"/>
        <v>8.2628172207175492</v>
      </c>
      <c r="ALW35" s="9">
        <f t="shared" si="54"/>
        <v>8.180189048510373</v>
      </c>
      <c r="ALX35" s="9">
        <f t="shared" si="54"/>
        <v>8.09838715802527</v>
      </c>
      <c r="ALY35" s="9">
        <f t="shared" si="54"/>
        <v>8.0174032864450169</v>
      </c>
      <c r="ALZ35" s="9">
        <f t="shared" si="54"/>
        <v>7.9372292535805666</v>
      </c>
      <c r="AMA35" s="9">
        <f t="shared" si="54"/>
        <v>7.8578569610447611</v>
      </c>
      <c r="AMB35" s="9">
        <f t="shared" si="54"/>
        <v>7.7792783914343131</v>
      </c>
      <c r="AMC35" s="9">
        <f t="shared" si="54"/>
        <v>7.7014856075199702</v>
      </c>
      <c r="AMD35" s="9">
        <f t="shared" si="54"/>
        <v>7.62447075144477</v>
      </c>
      <c r="AME35" s="9">
        <f t="shared" si="54"/>
        <v>7.5482260439303221</v>
      </c>
      <c r="AMF35" s="9">
        <f t="shared" si="54"/>
        <v>7.4727437834910191</v>
      </c>
      <c r="AMG35" s="9">
        <f t="shared" si="54"/>
        <v>7.3980163456561092</v>
      </c>
      <c r="AMH35" s="9">
        <f t="shared" si="54"/>
        <v>7.3240361821995483</v>
      </c>
      <c r="AMI35" s="9">
        <f t="shared" si="54"/>
        <v>7.2507958203775527</v>
      </c>
      <c r="AMJ35" s="9">
        <f t="shared" si="54"/>
        <v>7.1782878621737769</v>
      </c>
      <c r="AMK35" s="9">
        <f t="shared" si="54"/>
        <v>7.1065049835520391</v>
      </c>
      <c r="AML35" s="9">
        <f t="shared" si="54"/>
        <v>7.0354399337165185</v>
      </c>
      <c r="AMM35" s="9">
        <f t="shared" si="54"/>
        <v>6.9650855343793534</v>
      </c>
      <c r="AMN35" s="9">
        <f t="shared" si="54"/>
        <v>6.8954346790355601</v>
      </c>
      <c r="AMO35" s="9">
        <f t="shared" si="54"/>
        <v>6.8264803322452048</v>
      </c>
      <c r="AMP35" s="9">
        <f t="shared" si="54"/>
        <v>6.7582155289227526</v>
      </c>
      <c r="AMQ35" s="9">
        <f t="shared" si="54"/>
        <v>6.6906333736335251</v>
      </c>
      <c r="AMR35" s="9">
        <f t="shared" si="54"/>
        <v>6.6237270398971901</v>
      </c>
      <c r="AMS35" s="9">
        <f t="shared" si="54"/>
        <v>6.5574897694982184</v>
      </c>
      <c r="AMT35" s="9">
        <f t="shared" si="54"/>
        <v>6.4919148718032362</v>
      </c>
      <c r="AMU35" s="9">
        <f t="shared" si="54"/>
        <v>6.4269957230852039</v>
      </c>
      <c r="AMV35" s="9">
        <f t="shared" si="54"/>
        <v>6.3627257658543517</v>
      </c>
      <c r="AMW35" s="9">
        <f t="shared" si="54"/>
        <v>6.299098508195808</v>
      </c>
      <c r="AMX35" s="9">
        <f t="shared" si="54"/>
        <v>6.2361075231138496</v>
      </c>
      <c r="AMY35" s="9">
        <f t="shared" si="54"/>
        <v>6.1737464478827109</v>
      </c>
      <c r="AMZ35" s="9">
        <f t="shared" si="54"/>
        <v>6.112008983403884</v>
      </c>
      <c r="ANA35" s="9">
        <f t="shared" si="54"/>
        <v>6.0508888935698453</v>
      </c>
      <c r="ANB35" s="9">
        <f t="shared" si="54"/>
        <v>5.9903800046341464</v>
      </c>
      <c r="ANC35" s="9">
        <f t="shared" si="54"/>
        <v>5.930476204587805</v>
      </c>
      <c r="AND35" s="9">
        <f t="shared" si="54"/>
        <v>5.871171442541927</v>
      </c>
      <c r="ANE35" s="9">
        <f t="shared" si="54"/>
        <v>5.812459728116508</v>
      </c>
      <c r="ANF35" s="9">
        <f t="shared" si="54"/>
        <v>5.7543351308353428</v>
      </c>
      <c r="ANG35" s="9">
        <f t="shared" si="54"/>
        <v>5.6967917795269889</v>
      </c>
      <c r="ANH35" s="9">
        <f t="shared" si="54"/>
        <v>5.6398238617317187</v>
      </c>
      <c r="ANI35" s="9">
        <f t="shared" si="54"/>
        <v>5.583425623114401</v>
      </c>
      <c r="ANJ35" s="9">
        <f t="shared" si="54"/>
        <v>5.5275913668832573</v>
      </c>
      <c r="ANK35" s="9">
        <f t="shared" si="54"/>
        <v>5.4723154532144243</v>
      </c>
      <c r="ANL35" s="9">
        <f t="shared" si="54"/>
        <v>5.4175922986822798</v>
      </c>
      <c r="ANM35" s="9">
        <f t="shared" si="54"/>
        <v>5.3634163756954569</v>
      </c>
      <c r="ANN35" s="9">
        <f t="shared" si="54"/>
        <v>5.3097822119385025</v>
      </c>
      <c r="ANO35" s="9">
        <f t="shared" si="54"/>
        <v>5.2566843898191173</v>
      </c>
      <c r="ANP35" s="9">
        <f t="shared" si="54"/>
        <v>5.2041175459209263</v>
      </c>
      <c r="ANQ35" s="9">
        <f t="shared" si="54"/>
        <v>5.1520763704617174</v>
      </c>
      <c r="ANR35" s="9">
        <f t="shared" si="54"/>
        <v>5.1005556067571005</v>
      </c>
      <c r="ANS35" s="9">
        <f t="shared" si="54"/>
        <v>5.0495500506895299</v>
      </c>
      <c r="ANT35" s="9">
        <f t="shared" si="54"/>
        <v>4.9990545501826347</v>
      </c>
      <c r="ANU35" s="9">
        <f t="shared" si="54"/>
        <v>4.9490640046808085</v>
      </c>
      <c r="ANV35" s="9">
        <f t="shared" si="54"/>
        <v>4.8995733646340005</v>
      </c>
      <c r="ANW35" s="9">
        <f t="shared" si="54"/>
        <v>4.8505776309876607</v>
      </c>
      <c r="ANX35" s="9">
        <f t="shared" si="54"/>
        <v>4.8020718546777843</v>
      </c>
      <c r="ANY35" s="9">
        <f t="shared" si="54"/>
        <v>4.7540511361310065</v>
      </c>
      <c r="ANZ35" s="9">
        <f t="shared" si="54"/>
        <v>4.7065106247696962</v>
      </c>
      <c r="AOA35" s="9">
        <f t="shared" si="54"/>
        <v>4.6594455185219994</v>
      </c>
      <c r="AOB35" s="9">
        <f t="shared" si="54"/>
        <v>4.6128510633367794</v>
      </c>
      <c r="AOC35" s="9">
        <f t="shared" si="54"/>
        <v>4.5667225527034114</v>
      </c>
      <c r="AOD35" s="9">
        <f t="shared" si="54"/>
        <v>4.5210553271763771</v>
      </c>
      <c r="AOE35" s="9">
        <f t="shared" ref="AOE35:AQP35" si="55">AOD35*(1+$AW$41)</f>
        <v>4.4758447739046137</v>
      </c>
      <c r="AOF35" s="9">
        <f t="shared" si="55"/>
        <v>4.4310863261655671</v>
      </c>
      <c r="AOG35" s="9">
        <f t="shared" si="55"/>
        <v>4.3867754629039117</v>
      </c>
      <c r="AOH35" s="9">
        <f t="shared" si="55"/>
        <v>4.3429077082748728</v>
      </c>
      <c r="AOI35" s="9">
        <f t="shared" si="55"/>
        <v>4.299478631192124</v>
      </c>
      <c r="AOJ35" s="9">
        <f t="shared" si="55"/>
        <v>4.2564838448802025</v>
      </c>
      <c r="AOK35" s="9">
        <f t="shared" si="55"/>
        <v>4.2139190064314</v>
      </c>
      <c r="AOL35" s="9">
        <f t="shared" si="55"/>
        <v>4.1717798163670858</v>
      </c>
      <c r="AOM35" s="9">
        <f t="shared" si="55"/>
        <v>4.1300620182034153</v>
      </c>
      <c r="AON35" s="9">
        <f t="shared" si="55"/>
        <v>4.0887613980213811</v>
      </c>
      <c r="AOO35" s="9">
        <f t="shared" si="55"/>
        <v>4.0478737840411672</v>
      </c>
      <c r="AOP35" s="9">
        <f t="shared" si="55"/>
        <v>4.007395046200755</v>
      </c>
      <c r="AOQ35" s="9">
        <f t="shared" si="55"/>
        <v>3.9673210957387472</v>
      </c>
      <c r="AOR35" s="9">
        <f t="shared" si="55"/>
        <v>3.9276478847813596</v>
      </c>
      <c r="AOS35" s="9">
        <f t="shared" si="55"/>
        <v>3.8883714059335461</v>
      </c>
      <c r="AOT35" s="9">
        <f t="shared" si="55"/>
        <v>3.8494876918742107</v>
      </c>
      <c r="AOU35" s="9">
        <f t="shared" si="55"/>
        <v>3.8109928149554686</v>
      </c>
      <c r="AOV35" s="9">
        <f t="shared" si="55"/>
        <v>3.7728828868059137</v>
      </c>
      <c r="AOW35" s="9">
        <f t="shared" si="55"/>
        <v>3.7351540579378546</v>
      </c>
      <c r="AOX35" s="9">
        <f t="shared" si="55"/>
        <v>3.6978025173584759</v>
      </c>
      <c r="AOY35" s="9">
        <f t="shared" si="55"/>
        <v>3.6608244921848909</v>
      </c>
      <c r="AOZ35" s="9">
        <f t="shared" si="55"/>
        <v>3.6242162472630421</v>
      </c>
      <c r="APA35" s="9">
        <f t="shared" si="55"/>
        <v>3.5879740847904116</v>
      </c>
      <c r="APB35" s="9">
        <f t="shared" si="55"/>
        <v>3.5520943439425072</v>
      </c>
      <c r="APC35" s="9">
        <f t="shared" si="55"/>
        <v>3.516573400503082</v>
      </c>
      <c r="APD35" s="9">
        <f t="shared" si="55"/>
        <v>3.4814076664980513</v>
      </c>
      <c r="APE35" s="9">
        <f t="shared" si="55"/>
        <v>3.4465935898330708</v>
      </c>
      <c r="APF35" s="9">
        <f t="shared" si="55"/>
        <v>3.41212765393474</v>
      </c>
      <c r="APG35" s="9">
        <f t="shared" si="55"/>
        <v>3.3780063773953928</v>
      </c>
      <c r="APH35" s="9">
        <f t="shared" si="55"/>
        <v>3.344226313621439</v>
      </c>
      <c r="API35" s="9">
        <f t="shared" si="55"/>
        <v>3.3107840504852244</v>
      </c>
      <c r="APJ35" s="9">
        <f t="shared" si="55"/>
        <v>3.2776762099803722</v>
      </c>
      <c r="APK35" s="9">
        <f t="shared" si="55"/>
        <v>3.2448994478805684</v>
      </c>
      <c r="APL35" s="9">
        <f t="shared" si="55"/>
        <v>3.2124504534017628</v>
      </c>
      <c r="APM35" s="9">
        <f t="shared" si="55"/>
        <v>3.1803259488677451</v>
      </c>
      <c r="APN35" s="9">
        <f t="shared" si="55"/>
        <v>3.1485226893790674</v>
      </c>
      <c r="APO35" s="9">
        <f t="shared" si="55"/>
        <v>3.1170374624852766</v>
      </c>
      <c r="APP35" s="9">
        <f t="shared" si="55"/>
        <v>3.0858670878604237</v>
      </c>
      <c r="APQ35" s="9">
        <f t="shared" si="55"/>
        <v>3.0550084169818197</v>
      </c>
      <c r="APR35" s="9">
        <f t="shared" si="55"/>
        <v>3.0244583328120016</v>
      </c>
      <c r="APS35" s="9">
        <f t="shared" si="55"/>
        <v>2.9942137494838814</v>
      </c>
      <c r="APT35" s="9">
        <f t="shared" si="55"/>
        <v>2.9642716119890427</v>
      </c>
      <c r="APU35" s="9">
        <f t="shared" si="55"/>
        <v>2.9346288958691522</v>
      </c>
      <c r="APV35" s="9">
        <f t="shared" si="55"/>
        <v>2.9052826069104607</v>
      </c>
      <c r="APW35" s="9">
        <f t="shared" si="55"/>
        <v>2.8762297808413559</v>
      </c>
      <c r="APX35" s="9">
        <f t="shared" si="55"/>
        <v>2.8474674830329425</v>
      </c>
      <c r="APY35" s="9">
        <f t="shared" si="55"/>
        <v>2.818992808202613</v>
      </c>
      <c r="APZ35" s="9">
        <f t="shared" si="55"/>
        <v>2.7908028801205869</v>
      </c>
      <c r="AQA35" s="9">
        <f t="shared" si="55"/>
        <v>2.762894851319381</v>
      </c>
      <c r="AQB35" s="9">
        <f t="shared" si="55"/>
        <v>2.7352659028061872</v>
      </c>
      <c r="AQC35" s="9">
        <f t="shared" si="55"/>
        <v>2.7079132437781253</v>
      </c>
      <c r="AQD35" s="9">
        <f t="shared" si="55"/>
        <v>2.680834111340344</v>
      </c>
      <c r="AQE35" s="9">
        <f t="shared" si="55"/>
        <v>2.6540257702269408</v>
      </c>
      <c r="AQF35" s="9">
        <f t="shared" si="55"/>
        <v>2.6274855125246712</v>
      </c>
      <c r="AQG35" s="9">
        <f t="shared" si="55"/>
        <v>2.6012106573994247</v>
      </c>
      <c r="AQH35" s="9">
        <f t="shared" si="55"/>
        <v>2.5751985508254305</v>
      </c>
      <c r="AQI35" s="9">
        <f t="shared" si="55"/>
        <v>2.5494465653171763</v>
      </c>
      <c r="AQJ35" s="9">
        <f t="shared" si="55"/>
        <v>2.5239520996640046</v>
      </c>
      <c r="AQK35" s="9">
        <f t="shared" si="55"/>
        <v>2.4987125786673645</v>
      </c>
      <c r="AQL35" s="9">
        <f t="shared" si="55"/>
        <v>2.4737254528806907</v>
      </c>
      <c r="AQM35" s="9">
        <f t="shared" si="55"/>
        <v>2.4489881983518837</v>
      </c>
      <c r="AQN35" s="9">
        <f t="shared" si="55"/>
        <v>2.4244983163683651</v>
      </c>
      <c r="AQO35" s="9">
        <f t="shared" si="55"/>
        <v>2.4002533332046814</v>
      </c>
      <c r="AQP35" s="9">
        <f t="shared" si="55"/>
        <v>2.3762507998726345</v>
      </c>
      <c r="AQQ35" s="9">
        <f t="shared" ref="AQQ35:ATB35" si="56">AQP35*(1+$AW$41)</f>
        <v>2.3524882918739083</v>
      </c>
      <c r="AQR35" s="9">
        <f t="shared" si="56"/>
        <v>2.3289634089551692</v>
      </c>
      <c r="AQS35" s="9">
        <f t="shared" si="56"/>
        <v>2.3056737748656175</v>
      </c>
      <c r="AQT35" s="9">
        <f t="shared" si="56"/>
        <v>2.2826170371169612</v>
      </c>
      <c r="AQU35" s="9">
        <f t="shared" si="56"/>
        <v>2.2597908667457913</v>
      </c>
      <c r="AQV35" s="9">
        <f t="shared" si="56"/>
        <v>2.2371929580783334</v>
      </c>
      <c r="AQW35" s="9">
        <f t="shared" si="56"/>
        <v>2.2148210284975502</v>
      </c>
      <c r="AQX35" s="9">
        <f t="shared" si="56"/>
        <v>2.1926728182125745</v>
      </c>
      <c r="AQY35" s="9">
        <f t="shared" si="56"/>
        <v>2.1707460900304487</v>
      </c>
      <c r="AQZ35" s="9">
        <f t="shared" si="56"/>
        <v>2.1490386291301444</v>
      </c>
      <c r="ARA35" s="9">
        <f t="shared" si="56"/>
        <v>2.1275482428388428</v>
      </c>
      <c r="ARB35" s="9">
        <f t="shared" si="56"/>
        <v>2.1062727604104543</v>
      </c>
      <c r="ARC35" s="9">
        <f t="shared" si="56"/>
        <v>2.0852100328063496</v>
      </c>
      <c r="ARD35" s="9">
        <f t="shared" si="56"/>
        <v>2.0643579324782859</v>
      </c>
      <c r="ARE35" s="9">
        <f t="shared" si="56"/>
        <v>2.0437143531535029</v>
      </c>
      <c r="ARF35" s="9">
        <f t="shared" si="56"/>
        <v>2.023277209621968</v>
      </c>
      <c r="ARG35" s="9">
        <f t="shared" si="56"/>
        <v>2.0030444375257481</v>
      </c>
      <c r="ARH35" s="9">
        <f t="shared" si="56"/>
        <v>1.9830139931504907</v>
      </c>
      <c r="ARI35" s="9">
        <f t="shared" si="56"/>
        <v>1.9631838532189858</v>
      </c>
      <c r="ARJ35" s="9">
        <f t="shared" si="56"/>
        <v>1.9435520146867959</v>
      </c>
      <c r="ARK35" s="9">
        <f t="shared" si="56"/>
        <v>1.9241164945399281</v>
      </c>
      <c r="ARL35" s="9">
        <f t="shared" si="56"/>
        <v>1.9048753295945287</v>
      </c>
      <c r="ARM35" s="9">
        <f t="shared" si="56"/>
        <v>1.8858265762985833</v>
      </c>
      <c r="ARN35" s="9">
        <f t="shared" si="56"/>
        <v>1.8669683105355974</v>
      </c>
      <c r="ARO35" s="9">
        <f t="shared" si="56"/>
        <v>1.8482986274302415</v>
      </c>
      <c r="ARP35" s="9">
        <f t="shared" si="56"/>
        <v>1.8298156411559392</v>
      </c>
      <c r="ARQ35" s="9">
        <f t="shared" si="56"/>
        <v>1.8115174847443798</v>
      </c>
      <c r="ARR35" s="9">
        <f t="shared" si="56"/>
        <v>1.7934023098969361</v>
      </c>
      <c r="ARS35" s="9">
        <f t="shared" si="56"/>
        <v>1.7754682867979668</v>
      </c>
      <c r="ART35" s="9">
        <f t="shared" si="56"/>
        <v>1.757713603929987</v>
      </c>
      <c r="ARU35" s="9">
        <f t="shared" si="56"/>
        <v>1.7401364678906872</v>
      </c>
      <c r="ARV35" s="9">
        <f t="shared" si="56"/>
        <v>1.7227351032117804</v>
      </c>
      <c r="ARW35" s="9">
        <f t="shared" si="56"/>
        <v>1.7055077521796624</v>
      </c>
      <c r="ARX35" s="9">
        <f t="shared" si="56"/>
        <v>1.6884526746578659</v>
      </c>
      <c r="ARY35" s="9">
        <f t="shared" si="56"/>
        <v>1.6715681479112872</v>
      </c>
      <c r="ARZ35" s="9">
        <f t="shared" si="56"/>
        <v>1.6548524664321742</v>
      </c>
      <c r="ASA35" s="9">
        <f t="shared" si="56"/>
        <v>1.6383039417678524</v>
      </c>
      <c r="ASB35" s="9">
        <f t="shared" si="56"/>
        <v>1.6219209023501739</v>
      </c>
      <c r="ASC35" s="9">
        <f t="shared" si="56"/>
        <v>1.6057016933266721</v>
      </c>
      <c r="ASD35" s="9">
        <f t="shared" si="56"/>
        <v>1.5896446763934053</v>
      </c>
      <c r="ASE35" s="9">
        <f t="shared" si="56"/>
        <v>1.5737482296294714</v>
      </c>
      <c r="ASF35" s="9">
        <f t="shared" si="56"/>
        <v>1.5580107473331766</v>
      </c>
      <c r="ASG35" s="9">
        <f t="shared" si="56"/>
        <v>1.5424306398598449</v>
      </c>
      <c r="ASH35" s="9">
        <f t="shared" si="56"/>
        <v>1.5270063334612465</v>
      </c>
      <c r="ASI35" s="9">
        <f t="shared" si="56"/>
        <v>1.5117362701266339</v>
      </c>
      <c r="ASJ35" s="9">
        <f t="shared" si="56"/>
        <v>1.4966189074253675</v>
      </c>
      <c r="ASK35" s="9">
        <f t="shared" si="56"/>
        <v>1.4816527183511139</v>
      </c>
      <c r="ASL35" s="9">
        <f t="shared" si="56"/>
        <v>1.4668361911676027</v>
      </c>
      <c r="ASM35" s="9">
        <f t="shared" si="56"/>
        <v>1.4521678292559266</v>
      </c>
      <c r="ASN35" s="9">
        <f t="shared" si="56"/>
        <v>1.4376461509633673</v>
      </c>
      <c r="ASO35" s="9">
        <f t="shared" si="56"/>
        <v>1.4232696894537336</v>
      </c>
      <c r="ASP35" s="9">
        <f t="shared" si="56"/>
        <v>1.4090369925591961</v>
      </c>
      <c r="ASQ35" s="9">
        <f t="shared" si="56"/>
        <v>1.3949466226336042</v>
      </c>
      <c r="ASR35" s="9">
        <f t="shared" si="56"/>
        <v>1.3809971564072683</v>
      </c>
      <c r="ASS35" s="9">
        <f t="shared" si="56"/>
        <v>1.3671871848431956</v>
      </c>
      <c r="AST35" s="9">
        <f t="shared" si="56"/>
        <v>1.3535153129947637</v>
      </c>
      <c r="ASU35" s="9">
        <f t="shared" si="56"/>
        <v>1.339980159864816</v>
      </c>
      <c r="ASV35" s="9">
        <f t="shared" si="56"/>
        <v>1.3265803582661679</v>
      </c>
      <c r="ASW35" s="9">
        <f t="shared" si="56"/>
        <v>1.3133145546835063</v>
      </c>
      <c r="ASX35" s="9">
        <f t="shared" si="56"/>
        <v>1.3001814091366712</v>
      </c>
      <c r="ASY35" s="9">
        <f t="shared" si="56"/>
        <v>1.2871795950453044</v>
      </c>
      <c r="ASZ35" s="9">
        <f t="shared" si="56"/>
        <v>1.2743077990948515</v>
      </c>
      <c r="ATA35" s="9">
        <f t="shared" si="56"/>
        <v>1.2615647211039029</v>
      </c>
      <c r="ATB35" s="9">
        <f t="shared" si="56"/>
        <v>1.2489490738928639</v>
      </c>
      <c r="ATC35" s="9">
        <f t="shared" ref="ATC35:ATP35" si="57">ATB35*(1+$AW$41)</f>
        <v>1.2364595831539353</v>
      </c>
      <c r="ATD35" s="9">
        <f t="shared" si="57"/>
        <v>1.2240949873223961</v>
      </c>
      <c r="ATE35" s="9">
        <f t="shared" si="57"/>
        <v>1.2118540374491722</v>
      </c>
      <c r="ATF35" s="9">
        <f t="shared" si="57"/>
        <v>1.1997354970746805</v>
      </c>
      <c r="ATG35" s="9">
        <f t="shared" si="57"/>
        <v>1.1877381421039337</v>
      </c>
      <c r="ATH35" s="9">
        <f t="shared" si="57"/>
        <v>1.1758607606828944</v>
      </c>
      <c r="ATI35" s="9">
        <f t="shared" si="57"/>
        <v>1.1641021530760653</v>
      </c>
      <c r="ATJ35" s="9">
        <f t="shared" si="57"/>
        <v>1.1524611315453046</v>
      </c>
      <c r="ATK35" s="9">
        <f t="shared" si="57"/>
        <v>1.1409365202298516</v>
      </c>
      <c r="ATL35" s="9">
        <f t="shared" si="57"/>
        <v>1.129527155027553</v>
      </c>
      <c r="ATM35" s="9">
        <f t="shared" si="57"/>
        <v>1.1182318834772775</v>
      </c>
      <c r="ATN35" s="9">
        <f t="shared" si="57"/>
        <v>1.1070495646425047</v>
      </c>
      <c r="ATO35" s="9">
        <f t="shared" si="57"/>
        <v>1.0959790689960796</v>
      </c>
      <c r="ATP35" s="9">
        <f t="shared" si="57"/>
        <v>1.0850192783061188</v>
      </c>
    </row>
    <row r="36" spans="1:1212" x14ac:dyDescent="0.3">
      <c r="A36" s="7"/>
      <c r="B36" s="7" t="s">
        <v>13</v>
      </c>
      <c r="C36" s="7">
        <f>5157.787*4</f>
        <v>20631.148000000001</v>
      </c>
      <c r="D36" s="7">
        <f>5068.493*4</f>
        <v>20273.972000000002</v>
      </c>
      <c r="E36" s="7">
        <f>4926.609*4</f>
        <v>19706.436000000002</v>
      </c>
      <c r="F36" s="7">
        <f>4847.547*4</f>
        <v>19390.187999999998</v>
      </c>
      <c r="G36" s="7">
        <f>4773.252*4</f>
        <v>19093.008000000002</v>
      </c>
      <c r="H36" s="7">
        <f>4700.646*4</f>
        <v>18802.583999999999</v>
      </c>
      <c r="I36" s="7">
        <f>4601.38*4</f>
        <v>18405.52</v>
      </c>
      <c r="J36" s="7">
        <v>18081.492999999999</v>
      </c>
      <c r="K36" s="7">
        <v>17818.417000000001</v>
      </c>
      <c r="L36" s="7">
        <v>17618.764999999999</v>
      </c>
      <c r="M36" s="7">
        <v>17419.153999999999</v>
      </c>
      <c r="N36" s="7">
        <v>17256.521000000001</v>
      </c>
      <c r="O36" s="7">
        <v>17113.687999999998</v>
      </c>
      <c r="P36" s="7">
        <v>16929.156999999999</v>
      </c>
      <c r="Q36" s="7">
        <v>16781.735000000001</v>
      </c>
      <c r="R36" s="7">
        <v>16635.097000000002</v>
      </c>
      <c r="S36" s="7">
        <v>16519.291000000001</v>
      </c>
      <c r="T36" s="7">
        <v>16403.315999999999</v>
      </c>
      <c r="U36" s="7">
        <v>16262.203</v>
      </c>
      <c r="V36" s="7">
        <v>16118.465</v>
      </c>
      <c r="W36" s="7">
        <v>15955.718000000001</v>
      </c>
      <c r="X36" s="7">
        <v>15847.05</v>
      </c>
      <c r="Y36" s="7">
        <f>U36*0.97</f>
        <v>15774.33691</v>
      </c>
      <c r="Z36" s="7">
        <f>V36*0.97</f>
        <v>15634.911050000001</v>
      </c>
      <c r="AA36" s="7"/>
      <c r="AB36" s="7"/>
      <c r="AC36" s="7"/>
      <c r="AD36" s="7"/>
      <c r="AE36" s="7"/>
      <c r="AF36" s="7"/>
      <c r="AG36" s="7"/>
      <c r="AH36" s="7"/>
      <c r="AJ36" s="7">
        <f>F36</f>
        <v>19390.187999999998</v>
      </c>
      <c r="AK36" s="7">
        <f>J36</f>
        <v>18081.492999999999</v>
      </c>
      <c r="AL36" s="7">
        <f>N36</f>
        <v>17256.521000000001</v>
      </c>
      <c r="AM36" s="7">
        <f>R36</f>
        <v>16635.097000000002</v>
      </c>
      <c r="AN36" s="7">
        <f>V36</f>
        <v>16118.465</v>
      </c>
      <c r="AO36" s="7">
        <f>Z36</f>
        <v>15634.911050000001</v>
      </c>
      <c r="AP36" s="7">
        <f t="shared" ref="AO36:AS36" si="58">AO36*0.99</f>
        <v>15478.561939500001</v>
      </c>
      <c r="AQ36" s="7">
        <f t="shared" si="58"/>
        <v>15323.776320105</v>
      </c>
      <c r="AR36" s="7">
        <f t="shared" si="58"/>
        <v>15170.53855690395</v>
      </c>
      <c r="AS36" s="7">
        <f t="shared" si="58"/>
        <v>15018.833171334911</v>
      </c>
      <c r="AT36" s="7"/>
      <c r="AU36" s="7"/>
      <c r="AV36" s="7"/>
      <c r="AW36" s="7"/>
      <c r="AX36" s="7"/>
      <c r="AY36" s="7"/>
      <c r="AZ36" s="7"/>
      <c r="BA36" s="7"/>
    </row>
    <row r="37" spans="1:1212" x14ac:dyDescent="0.3">
      <c r="A37" s="7"/>
      <c r="B37" s="7" t="s">
        <v>14</v>
      </c>
      <c r="C37" s="10">
        <f t="shared" ref="C37:S37" si="59">C35/C36</f>
        <v>0.97255857987156114</v>
      </c>
      <c r="D37" s="10">
        <f t="shared" si="59"/>
        <v>0.68176083107937602</v>
      </c>
      <c r="E37" s="10">
        <f t="shared" si="59"/>
        <v>0.58452984598534197</v>
      </c>
      <c r="F37" s="10">
        <f t="shared" si="59"/>
        <v>0.72846121966429622</v>
      </c>
      <c r="G37" s="10">
        <f t="shared" si="59"/>
        <v>1.0456707502558003</v>
      </c>
      <c r="H37" s="10">
        <f t="shared" si="59"/>
        <v>0.61486229765015277</v>
      </c>
      <c r="I37" s="10">
        <f t="shared" si="59"/>
        <v>0.54570585346135292</v>
      </c>
      <c r="J37" s="10">
        <f t="shared" si="59"/>
        <v>0.75690652315049434</v>
      </c>
      <c r="K37" s="10">
        <f t="shared" si="59"/>
        <v>1.2479223042091785</v>
      </c>
      <c r="L37" s="10">
        <f t="shared" si="59"/>
        <v>0.63846699811252383</v>
      </c>
      <c r="M37" s="10">
        <f t="shared" si="59"/>
        <v>0.64601300384622584</v>
      </c>
      <c r="N37" s="10">
        <f t="shared" si="59"/>
        <v>0.73438904632051849</v>
      </c>
      <c r="O37" s="10">
        <f t="shared" si="59"/>
        <v>1.6802339741147556</v>
      </c>
      <c r="P37" s="10">
        <f t="shared" si="59"/>
        <v>1.3958166966021994</v>
      </c>
      <c r="Q37" s="10">
        <f t="shared" si="59"/>
        <v>1.2956943963183782</v>
      </c>
      <c r="R37" s="10">
        <f t="shared" si="59"/>
        <v>1.2354000701047909</v>
      </c>
      <c r="S37" s="10">
        <f t="shared" si="59"/>
        <v>2.0963369432743812</v>
      </c>
      <c r="T37" s="10">
        <f>T35/T36</f>
        <v>1.5246917147727936</v>
      </c>
      <c r="U37" s="10">
        <f t="shared" ref="U37:Z37" si="60">U35/U36</f>
        <v>1.1955329791418789</v>
      </c>
      <c r="V37" s="10">
        <f t="shared" si="60"/>
        <v>1.2855442500262897</v>
      </c>
      <c r="W37" s="10">
        <f t="shared" si="60"/>
        <v>1.8800783518485347</v>
      </c>
      <c r="X37" s="10">
        <f t="shared" si="60"/>
        <v>1.5245739743359175</v>
      </c>
      <c r="Y37" s="10">
        <f t="shared" si="60"/>
        <v>1.0420871060246684</v>
      </c>
      <c r="Z37" s="10">
        <f t="shared" si="60"/>
        <v>1.2486310307470538</v>
      </c>
      <c r="AA37" s="7"/>
      <c r="AB37" s="7"/>
      <c r="AC37" s="7"/>
      <c r="AD37" s="7"/>
      <c r="AE37" s="7"/>
      <c r="AF37" s="7"/>
      <c r="AG37" s="7"/>
      <c r="AH37" s="7"/>
      <c r="AJ37" s="10">
        <f>AJ35/AJ36</f>
        <v>3.070161052590104</v>
      </c>
      <c r="AK37" s="10">
        <f>AK35/AK36</f>
        <v>3.0559423383898667</v>
      </c>
      <c r="AL37" s="10">
        <f>AL35/AL36</f>
        <v>3.3269162422715448</v>
      </c>
      <c r="AM37" s="10">
        <f>AM35/AM36</f>
        <v>5.6915808786687565</v>
      </c>
      <c r="AN37" s="10">
        <f t="shared" ref="AN37:AS37" si="61">AN35/AN36</f>
        <v>6.1918427095880411</v>
      </c>
      <c r="AO37" s="10">
        <f>AO35/AO36</f>
        <v>5.7639258651234835</v>
      </c>
      <c r="AP37" s="10">
        <f t="shared" si="61"/>
        <v>6.2776830921244358</v>
      </c>
      <c r="AQ37" s="10">
        <f t="shared" si="61"/>
        <v>7.0780298856833488</v>
      </c>
      <c r="AR37" s="10">
        <f t="shared" si="61"/>
        <v>7.9712208238020921</v>
      </c>
      <c r="AS37" s="10">
        <f t="shared" si="61"/>
        <v>8.9645638771190495</v>
      </c>
      <c r="AT37" s="10"/>
      <c r="AU37" s="10"/>
      <c r="AV37" s="10"/>
      <c r="AW37" s="10"/>
      <c r="AX37" s="10"/>
      <c r="AY37" s="10"/>
      <c r="AZ37" s="10"/>
      <c r="BA37" s="10"/>
    </row>
    <row r="38" spans="1:1212" x14ac:dyDescent="0.3">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J38" s="7"/>
      <c r="AK38" s="7"/>
      <c r="AL38" s="7"/>
      <c r="AM38" s="7"/>
      <c r="AQ38" s="7"/>
      <c r="AR38" s="7"/>
      <c r="AS38" s="7"/>
    </row>
    <row r="39" spans="1:1212" x14ac:dyDescent="0.3">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J39" s="7"/>
      <c r="AK39" s="7"/>
      <c r="AL39" s="10">
        <f>Main!$C$4/DCF!AL37</f>
        <v>55.291443067530608</v>
      </c>
      <c r="AM39" s="10">
        <f>Main!$C$4/DCF!AM37</f>
        <v>32.319667228031264</v>
      </c>
      <c r="AN39" s="10">
        <f>Main!$C$4/DCF!AN37</f>
        <v>29.708441998236523</v>
      </c>
      <c r="AO39" s="10">
        <f>Main!$C$4/DCF!AO37</f>
        <v>31.914012134168754</v>
      </c>
      <c r="AP39" s="10">
        <f>Main!$C$4/DCF!AP37</f>
        <v>29.302211867109289</v>
      </c>
      <c r="AQ39" s="10">
        <f>Main!$C$4/DCF!AQ37</f>
        <v>25.988870204133157</v>
      </c>
      <c r="AR39" s="10">
        <f>Main!$C$4/DCF!AR37</f>
        <v>23.076766290393646</v>
      </c>
      <c r="AS39" s="10">
        <f>Main!$C$4/DCF!AS37</f>
        <v>20.519681996969179</v>
      </c>
      <c r="AT39" s="10"/>
      <c r="AU39" s="10"/>
      <c r="AV39" s="10"/>
    </row>
    <row r="40" spans="1:1212" x14ac:dyDescent="0.3">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J40" s="7"/>
      <c r="AK40" s="7"/>
      <c r="AL40" s="7"/>
      <c r="AM40" s="7"/>
      <c r="AQ40" s="7"/>
      <c r="AR40" s="7"/>
      <c r="AS40" s="7"/>
    </row>
    <row r="41" spans="1:1212" x14ac:dyDescent="0.3">
      <c r="A41" s="7"/>
      <c r="B41" s="7" t="s">
        <v>2</v>
      </c>
      <c r="C41" s="5">
        <f>C27/C23</f>
        <v>0.38408480853521798</v>
      </c>
      <c r="D41" s="5">
        <f>D27/D23</f>
        <v>0.38310679294044525</v>
      </c>
      <c r="E41" s="5">
        <f t="shared" ref="E41:M41" si="62">E27/E23</f>
        <v>0.38338496198254013</v>
      </c>
      <c r="F41" s="5">
        <f t="shared" si="62"/>
        <v>0.38289348171701115</v>
      </c>
      <c r="G41" s="5">
        <f t="shared" si="62"/>
        <v>0.37991934527339583</v>
      </c>
      <c r="H41" s="5">
        <f t="shared" si="62"/>
        <v>0.37612686374213566</v>
      </c>
      <c r="I41" s="5">
        <f t="shared" si="62"/>
        <v>0.37590365923916075</v>
      </c>
      <c r="J41" s="5">
        <f t="shared" si="62"/>
        <v>0.37965334166146159</v>
      </c>
      <c r="K41" s="5">
        <f t="shared" si="62"/>
        <v>0.38354806739345887</v>
      </c>
      <c r="L41" s="5">
        <f t="shared" si="62"/>
        <v>0.38361943305952362</v>
      </c>
      <c r="M41" s="5">
        <f t="shared" si="62"/>
        <v>0.37999497361146017</v>
      </c>
      <c r="N41" s="5">
        <f>N27/N23</f>
        <v>0.38160375900336951</v>
      </c>
      <c r="O41" s="5">
        <f>O27/O23</f>
        <v>0.39777815665969724</v>
      </c>
      <c r="P41" s="5">
        <f t="shared" ref="P41:R41" si="63">P27/P23</f>
        <v>0.42506474370423292</v>
      </c>
      <c r="Q41" s="5">
        <f t="shared" si="63"/>
        <v>0.43292727853230839</v>
      </c>
      <c r="R41" s="5">
        <f t="shared" si="63"/>
        <v>0.42195297504798462</v>
      </c>
      <c r="S41" s="5">
        <f t="shared" ref="S41:T41" si="64">S27/S23</f>
        <v>0.43763766186615033</v>
      </c>
      <c r="T41" s="5">
        <f t="shared" si="64"/>
        <v>0.43749871502292398</v>
      </c>
      <c r="U41" s="5">
        <f t="shared" ref="U41:V41" si="65">U27/U23</f>
        <v>0.43256307332537758</v>
      </c>
      <c r="V41" s="5">
        <f t="shared" si="65"/>
        <v>0.4225922392563175</v>
      </c>
      <c r="W41" s="5">
        <f t="shared" ref="W41:Z41" si="66">W27/W23</f>
        <v>0.42962254809908323</v>
      </c>
      <c r="X41" s="5">
        <f t="shared" si="66"/>
        <v>0.44261672782487665</v>
      </c>
      <c r="Y41" s="5">
        <f t="shared" si="66"/>
        <v>0.41519255516186881</v>
      </c>
      <c r="Z41" s="5">
        <f t="shared" si="66"/>
        <v>0.42137279845662751</v>
      </c>
      <c r="AA41" s="7"/>
      <c r="AB41" s="7"/>
      <c r="AC41" s="7"/>
      <c r="AD41" s="7"/>
      <c r="AE41" s="7"/>
      <c r="AF41" s="7"/>
      <c r="AG41" s="7"/>
      <c r="AH41" s="7"/>
      <c r="AJ41" s="5">
        <f>AJ27/AJ23</f>
        <v>0.38343718820007905</v>
      </c>
      <c r="AK41" s="5">
        <f>AK27/AK23</f>
        <v>0.37817768109034722</v>
      </c>
      <c r="AL41" s="5">
        <f t="shared" ref="AL41:AS41" si="67">AL27/AL23</f>
        <v>0.38233247727810865</v>
      </c>
      <c r="AM41" s="5">
        <f t="shared" si="67"/>
        <v>0.41779359625167778</v>
      </c>
      <c r="AN41" s="5">
        <f t="shared" si="67"/>
        <v>0.43309630561360085</v>
      </c>
      <c r="AO41" s="5">
        <f t="shared" si="67"/>
        <v>0.42782537549584082</v>
      </c>
      <c r="AP41" s="5">
        <f t="shared" si="67"/>
        <v>0.43872393977211055</v>
      </c>
      <c r="AQ41" s="5">
        <f t="shared" si="67"/>
        <v>0.45476039863576456</v>
      </c>
      <c r="AR41" s="5">
        <f t="shared" si="67"/>
        <v>0.47033867296045706</v>
      </c>
      <c r="AS41" s="5">
        <f t="shared" si="67"/>
        <v>0.48547185373301543</v>
      </c>
      <c r="AT41" s="5"/>
      <c r="AU41" s="5"/>
      <c r="AV41" s="1" t="s">
        <v>43</v>
      </c>
      <c r="AW41" s="11">
        <v>-0.01</v>
      </c>
      <c r="AX41" s="5"/>
      <c r="AY41" s="5"/>
      <c r="AZ41" s="5"/>
      <c r="BA41" s="5"/>
    </row>
    <row r="42" spans="1:1212" x14ac:dyDescent="0.3">
      <c r="A42" s="7"/>
      <c r="B42" s="7" t="s">
        <v>7</v>
      </c>
      <c r="C42" s="5">
        <f>C31/C23</f>
        <v>0.29757738439060855</v>
      </c>
      <c r="D42" s="5">
        <f>D31/D23</f>
        <v>0.25997350213455028</v>
      </c>
      <c r="E42" s="5">
        <f t="shared" ref="E42:M42" si="68">E31/E23</f>
        <v>0.23677837228949591</v>
      </c>
      <c r="F42" s="5">
        <f t="shared" si="68"/>
        <v>0.25624801271860098</v>
      </c>
      <c r="G42" s="5">
        <f t="shared" si="68"/>
        <v>0.27690665401494485</v>
      </c>
      <c r="H42" s="5">
        <f t="shared" si="68"/>
        <v>0.2312333017323106</v>
      </c>
      <c r="I42" s="5">
        <f t="shared" si="68"/>
        <v>0.2145366016837332</v>
      </c>
      <c r="J42" s="5">
        <f t="shared" si="68"/>
        <v>0.24398813241723921</v>
      </c>
      <c r="K42" s="5">
        <f t="shared" si="68"/>
        <v>0.2784717759940753</v>
      </c>
      <c r="L42" s="5">
        <f t="shared" si="68"/>
        <v>0.22041397287054346</v>
      </c>
      <c r="M42" s="5">
        <f t="shared" si="68"/>
        <v>0.21933484124989527</v>
      </c>
      <c r="N42" s="5">
        <f>N31/N23</f>
        <v>0.2283687285542057</v>
      </c>
      <c r="O42" s="5">
        <f t="shared" ref="O42:R42" si="69">O31/O23</f>
        <v>0.30091799100853384</v>
      </c>
      <c r="P42" s="5">
        <f t="shared" si="69"/>
        <v>0.30700794784782998</v>
      </c>
      <c r="Q42" s="5">
        <f t="shared" si="69"/>
        <v>0.29626445956234498</v>
      </c>
      <c r="R42" s="5">
        <f t="shared" si="69"/>
        <v>0.28534069097888676</v>
      </c>
      <c r="S42" s="5">
        <f t="shared" ref="S42:T42" si="70">S31/S23</f>
        <v>0.33472911371979508</v>
      </c>
      <c r="T42" s="5">
        <f t="shared" si="70"/>
        <v>0.30817862209338187</v>
      </c>
      <c r="U42" s="5">
        <f t="shared" ref="U42:V42" si="71">U31/U23</f>
        <v>0.27816150146457891</v>
      </c>
      <c r="V42" s="5">
        <f t="shared" si="71"/>
        <v>0.27615202005635303</v>
      </c>
      <c r="W42" s="5">
        <f t="shared" ref="W42:Z42" si="72">W31/W23</f>
        <v>0.30742441572630896</v>
      </c>
      <c r="X42" s="5">
        <f t="shared" si="72"/>
        <v>0.29859968788223878</v>
      </c>
      <c r="Y42" s="5">
        <f t="shared" si="72"/>
        <v>0.2560644045706375</v>
      </c>
      <c r="Z42" s="5">
        <f t="shared" si="72"/>
        <v>0.27462330877200941</v>
      </c>
      <c r="AA42" s="7"/>
      <c r="AB42" s="7"/>
      <c r="AC42" s="7"/>
      <c r="AD42" s="7"/>
      <c r="AE42" s="7"/>
      <c r="AF42" s="7"/>
      <c r="AG42" s="7"/>
      <c r="AH42" s="7"/>
      <c r="AJ42" s="5">
        <f>AJ31/AJ23</f>
        <v>0.26694026619477024</v>
      </c>
      <c r="AK42" s="5">
        <f>AK31/AK23</f>
        <v>0.24572017188496928</v>
      </c>
      <c r="AL42" s="5">
        <f t="shared" ref="AL42:AS42" si="73">AL31/AL23</f>
        <v>0.24147314354406862</v>
      </c>
      <c r="AM42" s="5">
        <f t="shared" si="73"/>
        <v>0.29782377527561593</v>
      </c>
      <c r="AN42" s="5">
        <f t="shared" si="73"/>
        <v>0.30288744395528594</v>
      </c>
      <c r="AO42" s="5">
        <f t="shared" si="73"/>
        <v>0.28661816593404471</v>
      </c>
      <c r="AP42" s="5">
        <f t="shared" si="73"/>
        <v>0.29886156077756959</v>
      </c>
      <c r="AQ42" s="5">
        <f t="shared" si="73"/>
        <v>0.31756206495540534</v>
      </c>
      <c r="AR42" s="5">
        <f t="shared" si="73"/>
        <v>0.3370602916709653</v>
      </c>
      <c r="AS42" s="5">
        <f t="shared" si="73"/>
        <v>0.35727074411169474</v>
      </c>
      <c r="AT42" s="5"/>
      <c r="AU42" s="5"/>
      <c r="AV42" s="1" t="s">
        <v>35</v>
      </c>
      <c r="AW42" s="11">
        <f>WACC!C18</f>
        <v>6.4470447930679395E-2</v>
      </c>
      <c r="AX42" s="5"/>
      <c r="AY42" s="5"/>
      <c r="AZ42" s="5"/>
      <c r="BA42" s="5"/>
    </row>
    <row r="43" spans="1:1212" x14ac:dyDescent="0.3">
      <c r="A43" s="7"/>
      <c r="B43" s="7" t="s">
        <v>11</v>
      </c>
      <c r="C43" s="5">
        <f>C35/C23</f>
        <v>0.22725470875380835</v>
      </c>
      <c r="D43" s="5">
        <f>D35/D23</f>
        <v>0.22608240509020724</v>
      </c>
      <c r="E43" s="5">
        <f t="shared" ref="E43:L43" si="74">E35/E23</f>
        <v>0.21625833098657654</v>
      </c>
      <c r="F43" s="5">
        <f t="shared" si="74"/>
        <v>0.22456279809220986</v>
      </c>
      <c r="G43" s="5">
        <f t="shared" si="74"/>
        <v>0.23680464950776894</v>
      </c>
      <c r="H43" s="5">
        <f t="shared" si="74"/>
        <v>0.19927604929759546</v>
      </c>
      <c r="I43" s="5">
        <f t="shared" si="74"/>
        <v>0.18666022412607555</v>
      </c>
      <c r="J43" s="5">
        <f t="shared" si="74"/>
        <v>0.2137101811367895</v>
      </c>
      <c r="K43" s="5">
        <f t="shared" si="74"/>
        <v>0.2421720994565395</v>
      </c>
      <c r="L43" s="5">
        <f t="shared" si="74"/>
        <v>0.19290724195290929</v>
      </c>
      <c r="M43" s="5">
        <f>M35/M23</f>
        <v>0.18853983412917819</v>
      </c>
      <c r="N43" s="5">
        <f>N35/N23</f>
        <v>0.19587931620761073</v>
      </c>
      <c r="O43" s="5">
        <f t="shared" ref="O43:R43" si="75">O35/O23</f>
        <v>0.25803354301456405</v>
      </c>
      <c r="P43" s="5">
        <f t="shared" si="75"/>
        <v>0.26377478121093051</v>
      </c>
      <c r="Q43" s="5">
        <f t="shared" si="75"/>
        <v>0.26701377802883319</v>
      </c>
      <c r="R43" s="5">
        <f t="shared" si="75"/>
        <v>0.2465331094049904</v>
      </c>
      <c r="S43" s="5">
        <f t="shared" ref="S43:T43" si="76">S35/S23</f>
        <v>0.27939812013393039</v>
      </c>
      <c r="T43" s="5">
        <f t="shared" si="76"/>
        <v>0.25709821336787353</v>
      </c>
      <c r="U43" s="5">
        <f t="shared" ref="U43:V43" si="77">U35/U23</f>
        <v>0.23435673043310551</v>
      </c>
      <c r="V43" s="5">
        <f t="shared" si="77"/>
        <v>0.22986044860559537</v>
      </c>
      <c r="W43" s="5">
        <f t="shared" ref="W43:Z43" si="78">W35/W23</f>
        <v>0.2560561312460522</v>
      </c>
      <c r="X43" s="5">
        <f t="shared" si="78"/>
        <v>0.25475557805052934</v>
      </c>
      <c r="Y43" s="5">
        <f t="shared" si="78"/>
        <v>0.20219273671208629</v>
      </c>
      <c r="Z43" s="5">
        <f t="shared" si="78"/>
        <v>0.21487106350540056</v>
      </c>
      <c r="AA43" s="7"/>
      <c r="AB43" s="7"/>
      <c r="AC43" s="7"/>
      <c r="AD43" s="7"/>
      <c r="AE43" s="7"/>
      <c r="AF43" s="7"/>
      <c r="AG43" s="7"/>
      <c r="AH43" s="7"/>
      <c r="AJ43" s="5">
        <f>AJ35/AJ23</f>
        <v>0.22414202074587247</v>
      </c>
      <c r="AK43" s="5">
        <f>AK35/AK23</f>
        <v>0.21238094505984456</v>
      </c>
      <c r="AL43" s="5">
        <f t="shared" ref="AL43:AS43" si="79">AL35/AL23</f>
        <v>0.20913611278072236</v>
      </c>
      <c r="AM43" s="5">
        <f t="shared" si="79"/>
        <v>0.25881793355694238</v>
      </c>
      <c r="AN43" s="5">
        <f t="shared" si="79"/>
        <v>0.25309640705199732</v>
      </c>
      <c r="AO43" s="5">
        <f t="shared" si="79"/>
        <v>0.23459468263839672</v>
      </c>
      <c r="AP43" s="5">
        <f t="shared" si="79"/>
        <v>0.24090458252823757</v>
      </c>
      <c r="AQ43" s="5">
        <f t="shared" si="79"/>
        <v>0.25609668735805957</v>
      </c>
      <c r="AR43" s="5">
        <f t="shared" si="79"/>
        <v>0.27193324472169428</v>
      </c>
      <c r="AS43" s="5">
        <f t="shared" si="79"/>
        <v>0.28834506706656277</v>
      </c>
      <c r="AT43" s="5"/>
      <c r="AU43" s="5"/>
      <c r="AV43" s="1" t="s">
        <v>36</v>
      </c>
      <c r="AW43" s="7">
        <f>NPV(AW42,AM35:JO35)</f>
        <v>1732647.3700170999</v>
      </c>
      <c r="AX43" s="5"/>
      <c r="BA43" s="5"/>
    </row>
    <row r="44" spans="1:1212" x14ac:dyDescent="0.3">
      <c r="A44" s="7"/>
      <c r="B44" s="7" t="s">
        <v>12</v>
      </c>
      <c r="C44" s="5">
        <f>C34/C33</f>
        <v>0.25767665556788755</v>
      </c>
      <c r="D44" s="5">
        <f>D34/D33</f>
        <v>0.14510143493320138</v>
      </c>
      <c r="E44" s="5">
        <f t="shared" ref="E44:L44" si="80">E34/E33</f>
        <v>0.13286660644384221</v>
      </c>
      <c r="F44" s="5">
        <f t="shared" si="80"/>
        <v>0.13982096096461846</v>
      </c>
      <c r="G44" s="5">
        <f t="shared" si="80"/>
        <v>0.16485401154521878</v>
      </c>
      <c r="H44" s="5">
        <f t="shared" si="80"/>
        <v>0.16182121365910243</v>
      </c>
      <c r="I44" s="5">
        <f t="shared" si="80"/>
        <v>0.15674586516665268</v>
      </c>
      <c r="J44" s="5">
        <f t="shared" si="80"/>
        <v>0.15136107149500838</v>
      </c>
      <c r="K44" s="5">
        <f t="shared" si="80"/>
        <v>0.14206343082027933</v>
      </c>
      <c r="L44" s="5">
        <f t="shared" si="80"/>
        <v>0.14358583936048724</v>
      </c>
      <c r="M44" s="5">
        <f>M34/M33</f>
        <v>0.14341173783968944</v>
      </c>
      <c r="N44" s="5">
        <f>N34/N33</f>
        <v>0.14952016643178309</v>
      </c>
      <c r="O44" s="5">
        <f t="shared" ref="O44:R44" si="81">O34/O33</f>
        <v>0.14366121683194855</v>
      </c>
      <c r="P44" s="5">
        <f t="shared" si="81"/>
        <v>0.1564028417407447</v>
      </c>
      <c r="Q44" s="5">
        <f t="shared" si="81"/>
        <v>0.10771882309491568</v>
      </c>
      <c r="R44" s="5">
        <f t="shared" si="81"/>
        <v>0.11600997935306263</v>
      </c>
      <c r="S44" s="5">
        <f t="shared" ref="S44:T44" si="82">S34/S33</f>
        <v>0.16030164157028201</v>
      </c>
      <c r="T44" s="5">
        <f t="shared" si="82"/>
        <v>0.17017817445834302</v>
      </c>
      <c r="U44" s="5">
        <f t="shared" ref="U44:V44" si="83">U34/U33</f>
        <v>0.15711436746726784</v>
      </c>
      <c r="V44" s="5">
        <f t="shared" si="83"/>
        <v>0.15963012531938192</v>
      </c>
      <c r="W44" s="5">
        <f t="shared" ref="W44:Z44" si="84">W34/W33</f>
        <v>0.15790360160570419</v>
      </c>
      <c r="X44" s="5">
        <f t="shared" si="84"/>
        <v>0.14875625396377987</v>
      </c>
      <c r="Y44" s="5">
        <f t="shared" si="84"/>
        <v>0.21</v>
      </c>
      <c r="Z44" s="5">
        <f t="shared" si="84"/>
        <v>0.21</v>
      </c>
      <c r="AJ44" s="5">
        <f>AJ34/AJ33</f>
        <v>0.18342180705869443</v>
      </c>
      <c r="AK44" s="5">
        <f>AK34/AK33</f>
        <v>0.15943836804235059</v>
      </c>
      <c r="AL44" s="5">
        <f t="shared" ref="AL44:AS44" si="85">AL34/AL33</f>
        <v>0.14428164731484103</v>
      </c>
      <c r="AM44" s="5">
        <f t="shared" si="85"/>
        <v>0.13302260844085087</v>
      </c>
      <c r="AN44" s="5">
        <f t="shared" si="85"/>
        <v>0.16204461684424407</v>
      </c>
      <c r="AO44" s="5">
        <f t="shared" si="85"/>
        <v>0.1771849917160149</v>
      </c>
      <c r="AP44" s="5">
        <f t="shared" si="85"/>
        <v>0.19</v>
      </c>
      <c r="AQ44" s="5">
        <f t="shared" si="85"/>
        <v>0.19</v>
      </c>
      <c r="AR44" s="5">
        <f t="shared" si="85"/>
        <v>0.19</v>
      </c>
      <c r="AS44" s="5">
        <f t="shared" si="85"/>
        <v>0.19</v>
      </c>
      <c r="AT44" s="5"/>
      <c r="AU44" s="5"/>
      <c r="AV44" s="1" t="s">
        <v>37</v>
      </c>
      <c r="AW44" s="7">
        <f>Main!C7-Main!C8</f>
        <v>56718</v>
      </c>
      <c r="AX44" s="5"/>
      <c r="BA44" s="5"/>
    </row>
    <row r="45" spans="1:1212" x14ac:dyDescent="0.3">
      <c r="A45" s="7"/>
      <c r="B45" s="7" t="s">
        <v>3</v>
      </c>
      <c r="D45" s="11">
        <f>D28/C28-1</f>
        <v>-8.5118872908717114E-3</v>
      </c>
      <c r="E45" s="11">
        <f t="shared" ref="E45:N45" si="86">E28/D28-1</f>
        <v>9.5618709295441029E-2</v>
      </c>
      <c r="F45" s="11">
        <f t="shared" si="86"/>
        <v>1.3239664955417396E-2</v>
      </c>
      <c r="G45" s="11">
        <f t="shared" si="86"/>
        <v>4.053333333333331E-2</v>
      </c>
      <c r="H45" s="11">
        <f t="shared" si="86"/>
        <v>1.178882624295241E-2</v>
      </c>
      <c r="I45" s="11">
        <f t="shared" si="86"/>
        <v>7.8267477203647351E-2</v>
      </c>
      <c r="J45" s="11">
        <f t="shared" si="86"/>
        <v>-3.4531360112755483E-2</v>
      </c>
      <c r="K45" s="11">
        <f t="shared" si="86"/>
        <v>8.2968369829683697E-2</v>
      </c>
      <c r="L45" s="11">
        <f t="shared" si="86"/>
        <v>2.5612221972590499E-2</v>
      </c>
      <c r="M45" s="11">
        <f t="shared" si="86"/>
        <v>4.2278203723986829E-2</v>
      </c>
      <c r="N45" s="11">
        <f t="shared" si="86"/>
        <v>4.6237915090374004E-2</v>
      </c>
      <c r="O45" s="11">
        <f t="shared" ref="O45:R46" si="87">O28/N28-1</f>
        <v>3.7163519485737151E-2</v>
      </c>
      <c r="P45" s="11">
        <f t="shared" si="87"/>
        <v>1.9174898314933131E-2</v>
      </c>
      <c r="Q45" s="11">
        <f t="shared" si="87"/>
        <v>8.6469023185100635E-2</v>
      </c>
      <c r="R45" s="11">
        <f t="shared" si="87"/>
        <v>9.62043029560955E-3</v>
      </c>
      <c r="S45" s="11">
        <f t="shared" ref="S45:S46" si="88">S28/R28-1</f>
        <v>9.2515592515592493E-2</v>
      </c>
      <c r="T45" s="11">
        <f t="shared" ref="T45:T46" si="89">T28/S28-1</f>
        <v>1.2844909609895261E-2</v>
      </c>
      <c r="U45" s="11">
        <f t="shared" ref="U45:U46" si="90">U28/T28-1</f>
        <v>6.4192891811492014E-2</v>
      </c>
      <c r="V45" s="11">
        <f t="shared" ref="V45:V46" si="91">V28/U28-1</f>
        <v>-5.2964543180814561E-3</v>
      </c>
      <c r="W45" s="11">
        <f t="shared" ref="W45:W46" si="92">W28/V28-1</f>
        <v>0.14021594438692508</v>
      </c>
      <c r="X45" s="11">
        <f>X28/W28-1</f>
        <v>-3.2689064729536921E-2</v>
      </c>
      <c r="Y45" s="11">
        <f t="shared" ref="Y45:Y46" si="93">Y28/X28-1</f>
        <v>-7.9392517098028637E-2</v>
      </c>
      <c r="Z45" s="11">
        <f t="shared" ref="Z45:Z46" si="94">Z28/Y28-1</f>
        <v>-5.2964543180815671E-3</v>
      </c>
      <c r="AK45" s="11">
        <f>AK28/AJ28-1</f>
        <v>0.13915425681371163</v>
      </c>
      <c r="AL45" s="11">
        <f t="shared" ref="AL45:AS45" si="95">AL28/AK28-1</f>
        <v>0.15631744465684161</v>
      </c>
      <c r="AM45" s="11">
        <f t="shared" si="95"/>
        <v>0.16862201365187723</v>
      </c>
      <c r="AN45" s="11">
        <f t="shared" si="95"/>
        <v>0.19791001186456136</v>
      </c>
      <c r="AO45" s="11">
        <f t="shared" si="95"/>
        <v>9.937069064035664E-2</v>
      </c>
      <c r="AP45" s="11">
        <f t="shared" si="95"/>
        <v>4.0000000000000036E-2</v>
      </c>
      <c r="AQ45" s="11">
        <f t="shared" si="95"/>
        <v>3.0000000000000027E-2</v>
      </c>
      <c r="AR45" s="11">
        <f t="shared" si="95"/>
        <v>2.0000000000000018E-2</v>
      </c>
      <c r="AS45" s="11">
        <f t="shared" si="95"/>
        <v>1.0000000000000009E-2</v>
      </c>
      <c r="AT45" s="11"/>
      <c r="AU45" s="11"/>
      <c r="AV45" s="1" t="s">
        <v>40</v>
      </c>
      <c r="AW45" s="7">
        <f>AW43+AW44</f>
        <v>1789365.3700170999</v>
      </c>
      <c r="AX45" s="11"/>
      <c r="BA45" s="11"/>
    </row>
    <row r="46" spans="1:1212" x14ac:dyDescent="0.3">
      <c r="A46" s="7"/>
      <c r="B46" s="7" t="s">
        <v>4</v>
      </c>
      <c r="D46" s="11">
        <f>D29/C29-1</f>
        <v>-1.9144410304892445E-2</v>
      </c>
      <c r="E46" s="11">
        <f t="shared" ref="E46:N46" si="96">E29/D29-1</f>
        <v>-1.0120481927710867E-2</v>
      </c>
      <c r="F46" s="11">
        <f t="shared" si="96"/>
        <v>2.6290165530671761E-2</v>
      </c>
      <c r="G46" s="11">
        <f t="shared" si="96"/>
        <v>0.13448766603415563</v>
      </c>
      <c r="H46" s="11">
        <f t="shared" si="96"/>
        <v>-6.7948985992055233E-2</v>
      </c>
      <c r="I46" s="11">
        <f t="shared" si="96"/>
        <v>-7.1781067743382776E-3</v>
      </c>
      <c r="J46" s="11">
        <f t="shared" si="96"/>
        <v>3.4342521464076015E-2</v>
      </c>
      <c r="K46" s="11">
        <f t="shared" si="96"/>
        <v>0.13521188291830488</v>
      </c>
      <c r="L46" s="11">
        <f t="shared" si="96"/>
        <v>-4.7142582258995591E-2</v>
      </c>
      <c r="M46" s="11">
        <f t="shared" si="96"/>
        <v>-2.4434571890145418E-2</v>
      </c>
      <c r="N46" s="11">
        <f t="shared" si="96"/>
        <v>2.1734630511281328E-2</v>
      </c>
      <c r="O46" s="11">
        <f t="shared" si="87"/>
        <v>0.14080226904376003</v>
      </c>
      <c r="P46" s="11">
        <f t="shared" si="87"/>
        <v>-5.6295507014739843E-2</v>
      </c>
      <c r="Q46" s="11">
        <f t="shared" si="87"/>
        <v>1.8441851712457602E-2</v>
      </c>
      <c r="R46" s="11">
        <f t="shared" si="87"/>
        <v>3.7694013303769314E-2</v>
      </c>
      <c r="S46" s="11">
        <f t="shared" si="88"/>
        <v>0.14832621082621089</v>
      </c>
      <c r="T46" s="11">
        <f t="shared" si="89"/>
        <v>-3.969607691114907E-2</v>
      </c>
      <c r="U46" s="11">
        <f t="shared" si="90"/>
        <v>-2.9226546100435957E-2</v>
      </c>
      <c r="V46" s="11">
        <f t="shared" si="91"/>
        <v>7.1190951430472493E-2</v>
      </c>
      <c r="W46" s="11">
        <f t="shared" si="92"/>
        <v>2.5931677018633525E-2</v>
      </c>
      <c r="X46" s="11">
        <f t="shared" ref="X46" si="97">X29/W29-1</f>
        <v>-6.1449977296806457E-2</v>
      </c>
      <c r="Y46" s="11">
        <f t="shared" si="93"/>
        <v>-2.0783744557329453E-2</v>
      </c>
      <c r="Z46" s="11">
        <f t="shared" si="94"/>
        <v>7.1190951430472271E-2</v>
      </c>
      <c r="AK46" s="11">
        <f>AK29/AJ29-1</f>
        <v>9.2187967674348892E-2</v>
      </c>
      <c r="AL46" s="11">
        <f t="shared" ref="AL46:AS46" si="98">AL29/AK29-1</f>
        <v>9.1586736092080123E-2</v>
      </c>
      <c r="AM46" s="11">
        <f t="shared" si="98"/>
        <v>0.10328379192608961</v>
      </c>
      <c r="AN46" s="11">
        <f t="shared" si="98"/>
        <v>0.14203795567287125</v>
      </c>
      <c r="AO46" s="11">
        <f t="shared" si="98"/>
        <v>1.1577269466804596E-2</v>
      </c>
      <c r="AP46" s="11">
        <f t="shared" si="98"/>
        <v>4.0000000000000036E-2</v>
      </c>
      <c r="AQ46" s="11">
        <f t="shared" si="98"/>
        <v>3.0000000000000027E-2</v>
      </c>
      <c r="AR46" s="11">
        <f t="shared" si="98"/>
        <v>2.0000000000000018E-2</v>
      </c>
      <c r="AS46" s="11">
        <f t="shared" si="98"/>
        <v>1.0000000000000009E-2</v>
      </c>
      <c r="AT46" s="11"/>
      <c r="AU46" s="11"/>
      <c r="AV46" s="1" t="s">
        <v>41</v>
      </c>
      <c r="AW46" s="10">
        <f>AW45/Main!C5</f>
        <v>109.08558793948126</v>
      </c>
      <c r="AX46" s="11"/>
      <c r="BA46" s="11"/>
    </row>
    <row r="47" spans="1:1212" x14ac:dyDescent="0.3">
      <c r="A47" s="7"/>
      <c r="O47" s="7"/>
      <c r="P47" s="7"/>
      <c r="Q47" s="7"/>
      <c r="R47" s="7"/>
      <c r="S47" s="7"/>
      <c r="T47" s="7"/>
      <c r="U47" s="7"/>
      <c r="V47" s="7"/>
      <c r="AS47" s="7"/>
      <c r="AV47" s="1" t="s">
        <v>42</v>
      </c>
      <c r="AW47" s="1">
        <f>Main!C4</f>
        <v>183.95</v>
      </c>
    </row>
    <row r="48" spans="1:1212" x14ac:dyDescent="0.3">
      <c r="A48" s="7"/>
      <c r="B48" s="9" t="s">
        <v>15</v>
      </c>
      <c r="C48" s="9"/>
      <c r="D48" s="9"/>
      <c r="E48" s="9"/>
      <c r="F48" s="9"/>
      <c r="G48" s="12">
        <f t="shared" ref="G48:N48" si="99">G23/C23-1</f>
        <v>-4.5111163965433243E-2</v>
      </c>
      <c r="H48" s="12">
        <f t="shared" si="99"/>
        <v>-5.1065639465462831E-2</v>
      </c>
      <c r="I48" s="12">
        <f t="shared" si="99"/>
        <v>1.0213085515817122E-2</v>
      </c>
      <c r="J48" s="12">
        <f t="shared" si="99"/>
        <v>1.8124006359300449E-2</v>
      </c>
      <c r="K48" s="12">
        <f t="shared" si="99"/>
        <v>8.9064167951607098E-2</v>
      </c>
      <c r="L48" s="12">
        <f t="shared" si="99"/>
        <v>5.1366026027750422E-3</v>
      </c>
      <c r="M48" s="12">
        <f t="shared" si="99"/>
        <v>0.10920106301919752</v>
      </c>
      <c r="N48" s="12">
        <f t="shared" si="99"/>
        <v>1.0274828232354816E-2</v>
      </c>
      <c r="O48" s="12">
        <f>O23/K23-1</f>
        <v>0.21368126422635836</v>
      </c>
      <c r="P48" s="12">
        <f>P23/L23-1</f>
        <v>0.53626121105070901</v>
      </c>
      <c r="Q48" s="12">
        <f>Q23/M23-1</f>
        <v>0.36439641450950822</v>
      </c>
      <c r="R48" s="12">
        <f>R23/N23-1</f>
        <v>0.28844786546724777</v>
      </c>
      <c r="S48" s="12">
        <f t="shared" ref="S48:T48" si="100">S23/O23-1</f>
        <v>0.11222283042740866</v>
      </c>
      <c r="T48" s="12">
        <f t="shared" si="100"/>
        <v>8.5885872477228009E-2</v>
      </c>
      <c r="U48" s="12">
        <f t="shared" ref="U48" si="101">U23/Q23-1</f>
        <v>1.8726821720657316E-2</v>
      </c>
      <c r="V48" s="12">
        <f t="shared" ref="V48" si="102">V23/R23-1</f>
        <v>8.1405950095969182E-2</v>
      </c>
      <c r="W48" s="12">
        <f t="shared" ref="W48" si="103">W23/S23-1</f>
        <v>-5.4790431239662762E-2</v>
      </c>
      <c r="X48" s="12">
        <f t="shared" ref="X48" si="104">X23/T23-1</f>
        <v>-2.5103312156911084E-2</v>
      </c>
      <c r="Y48" s="12">
        <f t="shared" ref="Y48" si="105">Y23/U23-1</f>
        <v>-1.9999999999999907E-2</v>
      </c>
      <c r="Z48" s="12">
        <f t="shared" ref="Z48" si="106">Z23/V23-1</f>
        <v>7.8714529762828889E-3</v>
      </c>
      <c r="AK48" s="12">
        <f>AK23/AJ23-1</f>
        <v>-2.04107758052674E-2</v>
      </c>
      <c r="AL48" s="12">
        <f>AL23/AK23-1</f>
        <v>5.5120803769784787E-2</v>
      </c>
      <c r="AM48" s="12">
        <f t="shared" ref="AM48:AS48" si="107">AM23/AL23-1</f>
        <v>0.33259384733074704</v>
      </c>
      <c r="AN48" s="12">
        <f t="shared" si="107"/>
        <v>7.7937876041846099E-2</v>
      </c>
      <c r="AO48" s="12">
        <f t="shared" si="107"/>
        <v>-2.5822665395305533E-2</v>
      </c>
      <c r="AP48" s="12">
        <f t="shared" si="107"/>
        <v>5.0000000000000044E-2</v>
      </c>
      <c r="AQ48" s="12">
        <f t="shared" si="107"/>
        <v>5.0000000000000044E-2</v>
      </c>
      <c r="AR48" s="12">
        <f t="shared" si="107"/>
        <v>5.0000000000000044E-2</v>
      </c>
      <c r="AS48" s="12">
        <f t="shared" si="107"/>
        <v>5.0000000000000044E-2</v>
      </c>
      <c r="AT48" s="12"/>
      <c r="AU48" s="12"/>
      <c r="AV48" s="1" t="s">
        <v>59</v>
      </c>
      <c r="AW48" s="13">
        <f>AW46/AW47-1</f>
        <v>-0.40698239771959088</v>
      </c>
      <c r="AX48" s="12"/>
      <c r="BA48" s="12"/>
    </row>
    <row r="49" spans="1:53" x14ac:dyDescent="0.3">
      <c r="A49" s="7"/>
      <c r="B49" s="7" t="s">
        <v>70</v>
      </c>
      <c r="C49" s="9"/>
      <c r="D49" s="9"/>
      <c r="E49" s="9"/>
      <c r="F49" s="9"/>
      <c r="G49" s="5">
        <f>G26/C26-1</f>
        <v>-3.865320608300693E-2</v>
      </c>
      <c r="H49" s="5">
        <f t="shared" ref="H49:N49" si="108">H26/D26-1</f>
        <v>-4.03287816518626E-2</v>
      </c>
      <c r="I49" s="5">
        <f t="shared" si="108"/>
        <v>2.2469857508220725E-2</v>
      </c>
      <c r="J49" s="5">
        <f t="shared" si="108"/>
        <v>2.3469703215168947E-2</v>
      </c>
      <c r="K49" s="5">
        <f t="shared" si="108"/>
        <v>8.2690946651619246E-2</v>
      </c>
      <c r="L49" s="5">
        <f t="shared" si="108"/>
        <v>-6.9348510802895724E-3</v>
      </c>
      <c r="M49" s="5">
        <f t="shared" si="108"/>
        <v>0.10192960514561378</v>
      </c>
      <c r="N49" s="5">
        <f t="shared" si="108"/>
        <v>7.0984469000932027E-3</v>
      </c>
      <c r="O49" s="5">
        <f t="shared" ref="O49:R49" si="109">O26/K26-1</f>
        <v>0.18566481749761499</v>
      </c>
      <c r="P49" s="5">
        <f t="shared" si="109"/>
        <v>0.43296330300753971</v>
      </c>
      <c r="Q49" s="5">
        <f t="shared" si="109"/>
        <v>0.2479124442642886</v>
      </c>
      <c r="R49" s="5">
        <f t="shared" si="109"/>
        <v>0.20437901472168751</v>
      </c>
      <c r="S49" s="5">
        <f t="shared" ref="S49" si="110">S26/O26-1</f>
        <v>3.8607679814039342E-2</v>
      </c>
      <c r="T49" s="5">
        <f t="shared" ref="T49" si="111">T26/P26-1</f>
        <v>6.2401708571983239E-2</v>
      </c>
      <c r="U49" s="5">
        <f t="shared" ref="U49" si="112">U26/Q26-1</f>
        <v>1.9381103965005808E-2</v>
      </c>
      <c r="V49" s="5">
        <f t="shared" ref="V49" si="113">V26/R26-1</f>
        <v>8.0210019507740871E-2</v>
      </c>
      <c r="W49" s="5">
        <f t="shared" ref="W49" si="114">W26/S26-1</f>
        <v>-4.1318756994060402E-2</v>
      </c>
      <c r="X49" s="5">
        <f t="shared" ref="X49" si="115">X26/T26-1</f>
        <v>-3.3973574078473678E-2</v>
      </c>
      <c r="Y49" s="5">
        <f t="shared" ref="Y49" si="116">Y26/U26-1</f>
        <v>1.0000000000000009E-2</v>
      </c>
      <c r="Z49" s="5">
        <f t="shared" ref="Z49" si="117">Z26/V26-1</f>
        <v>1.0000000000000009E-2</v>
      </c>
      <c r="AK49" s="5">
        <f>AK26/AJ26-1</f>
        <v>-1.2054520139720082E-2</v>
      </c>
      <c r="AL49" s="5">
        <f t="shared" ref="AL49:AS49" si="118">AL26/AK26-1</f>
        <v>4.8070860787973846E-2</v>
      </c>
      <c r="AM49" s="5">
        <f t="shared" si="118"/>
        <v>0.25608785142634716</v>
      </c>
      <c r="AN49" s="5">
        <f t="shared" si="118"/>
        <v>4.960536385874792E-2</v>
      </c>
      <c r="AO49" s="5">
        <f t="shared" si="118"/>
        <v>-1.6765005860091442E-2</v>
      </c>
      <c r="AP49" s="5">
        <f t="shared" si="118"/>
        <v>3.0000000000000027E-2</v>
      </c>
      <c r="AQ49" s="5">
        <f t="shared" si="118"/>
        <v>2.0000000000000018E-2</v>
      </c>
      <c r="AR49" s="5">
        <f t="shared" si="118"/>
        <v>2.0000000000000018E-2</v>
      </c>
      <c r="AS49" s="5">
        <f t="shared" si="118"/>
        <v>2.0000000000000018E-2</v>
      </c>
      <c r="AT49" s="5"/>
      <c r="AU49" s="5"/>
      <c r="AV49" s="5"/>
      <c r="AW49" s="12"/>
      <c r="AX49" s="12"/>
      <c r="BA49" s="12"/>
    </row>
    <row r="50" spans="1:53" x14ac:dyDescent="0.3">
      <c r="A50" s="7"/>
      <c r="B50" s="7" t="s">
        <v>75</v>
      </c>
      <c r="C50" s="9"/>
      <c r="D50" s="9"/>
      <c r="E50" s="9"/>
      <c r="F50" s="9"/>
      <c r="G50" s="5">
        <f>G28/C28-1</f>
        <v>0.14528911065453487</v>
      </c>
      <c r="H50" s="5">
        <f t="shared" ref="H50:R50" si="119">H28/D28-1</f>
        <v>0.1687388987566607</v>
      </c>
      <c r="I50" s="5">
        <f t="shared" si="119"/>
        <v>0.15022966765738999</v>
      </c>
      <c r="J50" s="5">
        <f t="shared" si="119"/>
        <v>9.6000000000000085E-2</v>
      </c>
      <c r="K50" s="5">
        <f t="shared" si="119"/>
        <v>0.1406970784213224</v>
      </c>
      <c r="L50" s="5">
        <f t="shared" si="119"/>
        <v>0.15628166160081047</v>
      </c>
      <c r="M50" s="5">
        <f t="shared" si="119"/>
        <v>0.11768851303735017</v>
      </c>
      <c r="N50" s="5">
        <f t="shared" si="119"/>
        <v>0.21119221411192224</v>
      </c>
      <c r="O50" s="5">
        <f t="shared" si="119"/>
        <v>0.15996405302179295</v>
      </c>
      <c r="P50" s="5">
        <f t="shared" si="119"/>
        <v>0.15268346111719611</v>
      </c>
      <c r="Q50" s="5">
        <f t="shared" si="119"/>
        <v>0.20155527532576722</v>
      </c>
      <c r="R50" s="5">
        <f t="shared" si="119"/>
        <v>0.15950180795500191</v>
      </c>
      <c r="S50" s="5">
        <f t="shared" ref="S50:S52" si="120">S28/O28-1</f>
        <v>0.22138291690877399</v>
      </c>
      <c r="T50" s="5">
        <f t="shared" ref="T50:T52" si="121">T28/P28-1</f>
        <v>0.2137970353477765</v>
      </c>
      <c r="U50" s="5">
        <f t="shared" ref="U50:U52" si="122">U28/Q28-1</f>
        <v>0.1889102676228791</v>
      </c>
      <c r="V50" s="5">
        <f t="shared" ref="V50:V52" si="123">V28/R28-1</f>
        <v>0.17134442134442129</v>
      </c>
      <c r="W50" s="5">
        <f t="shared" ref="W50:W52" si="124">W28/S28-1</f>
        <v>0.22248652077386621</v>
      </c>
      <c r="X50" s="5">
        <f t="shared" ref="X50:X52" si="125">X28/T28-1</f>
        <v>0.1675277908251136</v>
      </c>
      <c r="Y50" s="5">
        <f t="shared" ref="Y50:Y52" si="126">Y28/U28-1</f>
        <v>1.0000000000000009E-2</v>
      </c>
      <c r="Z50" s="5">
        <f t="shared" ref="Z50:Z52" si="127">Z28/V28-1</f>
        <v>1.0000000000000009E-2</v>
      </c>
      <c r="AK50" s="5">
        <f>AK28/AJ28-1</f>
        <v>0.13915425681371163</v>
      </c>
      <c r="AL50" s="5">
        <f t="shared" ref="AL50:AS50" si="128">AL28/AK28-1</f>
        <v>0.15631744465684161</v>
      </c>
      <c r="AM50" s="5">
        <f t="shared" si="128"/>
        <v>0.16862201365187723</v>
      </c>
      <c r="AN50" s="5">
        <f t="shared" si="128"/>
        <v>0.19791001186456136</v>
      </c>
      <c r="AO50" s="5">
        <f t="shared" si="128"/>
        <v>9.937069064035664E-2</v>
      </c>
      <c r="AP50" s="5">
        <f>AP28/AO28-1</f>
        <v>4.0000000000000036E-2</v>
      </c>
      <c r="AQ50" s="5">
        <f t="shared" si="128"/>
        <v>3.0000000000000027E-2</v>
      </c>
      <c r="AR50" s="5">
        <f t="shared" si="128"/>
        <v>2.0000000000000018E-2</v>
      </c>
      <c r="AS50" s="5">
        <f t="shared" si="128"/>
        <v>1.0000000000000009E-2</v>
      </c>
      <c r="AT50" s="5"/>
      <c r="AU50" s="5"/>
      <c r="AV50" s="5"/>
      <c r="AW50" s="12"/>
      <c r="AX50" s="12"/>
      <c r="BA50" s="12"/>
    </row>
    <row r="51" spans="1:53" x14ac:dyDescent="0.3">
      <c r="A51" s="7"/>
      <c r="B51" s="7" t="s">
        <v>76</v>
      </c>
      <c r="C51" s="9"/>
      <c r="D51" s="9"/>
      <c r="E51" s="9"/>
      <c r="F51" s="9"/>
      <c r="G51" s="5">
        <f>G29/C29-1</f>
        <v>0.13046561096667464</v>
      </c>
      <c r="H51" s="5">
        <f t="shared" ref="H51:R51" si="129">H29/D29-1</f>
        <v>7.4216867469879544E-2</v>
      </c>
      <c r="I51" s="5">
        <f t="shared" si="129"/>
        <v>7.7409931840311641E-2</v>
      </c>
      <c r="J51" s="5">
        <f t="shared" si="129"/>
        <v>8.5863377609108227E-2</v>
      </c>
      <c r="K51" s="5">
        <f t="shared" si="129"/>
        <v>8.6556554463725677E-2</v>
      </c>
      <c r="L51" s="5">
        <f t="shared" si="129"/>
        <v>0.11081202332884699</v>
      </c>
      <c r="M51" s="5">
        <f t="shared" si="129"/>
        <v>9.1504744690465323E-2</v>
      </c>
      <c r="N51" s="5">
        <f t="shared" si="129"/>
        <v>7.8200087374399319E-2</v>
      </c>
      <c r="O51" s="5">
        <f t="shared" si="129"/>
        <v>8.3509717144506501E-2</v>
      </c>
      <c r="P51" s="5">
        <f t="shared" si="129"/>
        <v>7.310177705977372E-2</v>
      </c>
      <c r="Q51" s="5">
        <f t="shared" si="129"/>
        <v>0.12026495549575666</v>
      </c>
      <c r="R51" s="5">
        <f t="shared" si="129"/>
        <v>0.13776337115072934</v>
      </c>
      <c r="S51" s="5">
        <f t="shared" si="120"/>
        <v>0.14526727046705745</v>
      </c>
      <c r="T51" s="5">
        <f t="shared" si="121"/>
        <v>0.16541211893112528</v>
      </c>
      <c r="U51" s="5">
        <f t="shared" si="122"/>
        <v>0.11086474501108645</v>
      </c>
      <c r="V51" s="5">
        <f t="shared" si="123"/>
        <v>0.14672364672364679</v>
      </c>
      <c r="W51" s="5">
        <f t="shared" si="124"/>
        <v>2.4499922468599777E-2</v>
      </c>
      <c r="X51" s="5">
        <f t="shared" si="125"/>
        <v>1.2917810431132271E-3</v>
      </c>
      <c r="Y51" s="5">
        <f t="shared" si="126"/>
        <v>1.0000000000000009E-2</v>
      </c>
      <c r="Z51" s="5">
        <f t="shared" si="127"/>
        <v>1.0000000000000009E-2</v>
      </c>
      <c r="AK51" s="5">
        <f>AK29/AJ29-1</f>
        <v>9.2187967674348892E-2</v>
      </c>
      <c r="AL51" s="5">
        <f t="shared" ref="AL51:AS51" si="130">AL29/AK29-1</f>
        <v>9.1586736092080123E-2</v>
      </c>
      <c r="AM51" s="5">
        <f t="shared" si="130"/>
        <v>0.10328379192608961</v>
      </c>
      <c r="AN51" s="5">
        <f t="shared" si="130"/>
        <v>0.14203795567287125</v>
      </c>
      <c r="AO51" s="5">
        <f t="shared" si="130"/>
        <v>1.1577269466804596E-2</v>
      </c>
      <c r="AP51" s="5">
        <f t="shared" si="130"/>
        <v>4.0000000000000036E-2</v>
      </c>
      <c r="AQ51" s="5">
        <f t="shared" si="130"/>
        <v>3.0000000000000027E-2</v>
      </c>
      <c r="AR51" s="5">
        <f t="shared" si="130"/>
        <v>2.0000000000000018E-2</v>
      </c>
      <c r="AS51" s="5">
        <f t="shared" si="130"/>
        <v>1.0000000000000009E-2</v>
      </c>
      <c r="AT51" s="5"/>
      <c r="AU51" s="5"/>
      <c r="AV51" s="5"/>
      <c r="AW51" s="12"/>
      <c r="AX51" s="12"/>
      <c r="AZ51" s="10"/>
      <c r="BA51" s="12"/>
    </row>
    <row r="52" spans="1:53" x14ac:dyDescent="0.3">
      <c r="A52" s="7"/>
      <c r="B52" s="7" t="s">
        <v>71</v>
      </c>
      <c r="C52" s="9"/>
      <c r="D52" s="9"/>
      <c r="E52" s="9"/>
      <c r="F52" s="9"/>
      <c r="G52" s="5">
        <f>G30/C30-1</f>
        <v>0.13707776904948932</v>
      </c>
      <c r="H52" s="5">
        <f t="shared" ref="H52:R52" si="131">H30/D30-1</f>
        <v>0.11663124335812958</v>
      </c>
      <c r="I52" s="5">
        <f t="shared" si="131"/>
        <v>0.1119221411192215</v>
      </c>
      <c r="J52" s="5">
        <f t="shared" si="131"/>
        <v>9.0635199598292804E-2</v>
      </c>
      <c r="K52" s="5">
        <f t="shared" si="131"/>
        <v>0.11088082901554408</v>
      </c>
      <c r="L52" s="5">
        <f t="shared" si="131"/>
        <v>0.13216749940518668</v>
      </c>
      <c r="M52" s="5">
        <f t="shared" si="131"/>
        <v>0.10434181734423587</v>
      </c>
      <c r="N52" s="5">
        <f t="shared" si="131"/>
        <v>0.1411141804788214</v>
      </c>
      <c r="O52" s="5">
        <f t="shared" si="131"/>
        <v>0.11878109452736307</v>
      </c>
      <c r="P52" s="5">
        <f t="shared" si="131"/>
        <v>0.11127456131133751</v>
      </c>
      <c r="Q52" s="5">
        <f t="shared" si="131"/>
        <v>0.16060068828866414</v>
      </c>
      <c r="R52" s="5">
        <f t="shared" si="131"/>
        <v>0.14867863627193878</v>
      </c>
      <c r="S52" s="5">
        <f t="shared" si="120"/>
        <v>0.1816750046322031</v>
      </c>
      <c r="T52" s="5">
        <f t="shared" si="121"/>
        <v>0.18948562783661127</v>
      </c>
      <c r="U52" s="5">
        <f t="shared" si="122"/>
        <v>0.15095695929553421</v>
      </c>
      <c r="V52" s="5">
        <f t="shared" si="123"/>
        <v>0.15920266947664219</v>
      </c>
      <c r="W52" s="5">
        <f t="shared" si="124"/>
        <v>0.12238337906703256</v>
      </c>
      <c r="X52" s="5">
        <f t="shared" si="125"/>
        <v>8.5691573926867992E-2</v>
      </c>
      <c r="Y52" s="5">
        <f t="shared" si="126"/>
        <v>1.0000000000000009E-2</v>
      </c>
      <c r="Z52" s="5">
        <f t="shared" si="127"/>
        <v>9.9999999999997868E-3</v>
      </c>
      <c r="AK52" s="5">
        <f>AK30/AJ30-1</f>
        <v>0.11379722698038197</v>
      </c>
      <c r="AL52" s="5">
        <f t="shared" ref="AL52:AS52" si="132">AL30/AK30-1</f>
        <v>0.12204747257849236</v>
      </c>
      <c r="AM52" s="5">
        <f t="shared" si="132"/>
        <v>0.13496948381090301</v>
      </c>
      <c r="AN52" s="5">
        <f t="shared" si="132"/>
        <v>0.16993642764372141</v>
      </c>
      <c r="AO52" s="5">
        <f t="shared" si="132"/>
        <v>5.6463141493816371E-2</v>
      </c>
      <c r="AP52" s="5">
        <f t="shared" si="132"/>
        <v>4.0000000000000036E-2</v>
      </c>
      <c r="AQ52" s="5">
        <f t="shared" si="132"/>
        <v>3.0000000000000027E-2</v>
      </c>
      <c r="AR52" s="5">
        <f t="shared" si="132"/>
        <v>2.0000000000000018E-2</v>
      </c>
      <c r="AS52" s="5">
        <f t="shared" si="132"/>
        <v>1.0000000000000009E-2</v>
      </c>
      <c r="AT52" s="5"/>
      <c r="AU52" s="5"/>
      <c r="AV52" s="5"/>
      <c r="AW52" s="12"/>
      <c r="AX52" s="12"/>
      <c r="AZ52" s="10"/>
      <c r="BA52" s="12"/>
    </row>
    <row r="53" spans="1:53" x14ac:dyDescent="0.3">
      <c r="A53" s="7"/>
      <c r="B53" s="7" t="s">
        <v>72</v>
      </c>
      <c r="C53" s="9"/>
      <c r="D53" s="9"/>
      <c r="E53" s="9"/>
      <c r="F53" s="9"/>
      <c r="G53" s="5">
        <f>G35/C35-1</f>
        <v>-4.9838026414154024E-3</v>
      </c>
      <c r="H53" s="5">
        <f t="shared" ref="H53:N53" si="133">H35/D35-1</f>
        <v>-0.16357980031833308</v>
      </c>
      <c r="I53" s="5">
        <f t="shared" si="133"/>
        <v>-0.12804930983592322</v>
      </c>
      <c r="J53" s="5">
        <f t="shared" si="133"/>
        <v>-3.1079646017699081E-2</v>
      </c>
      <c r="K53" s="5">
        <f t="shared" si="133"/>
        <v>0.11374906085649883</v>
      </c>
      <c r="L53" s="5">
        <f t="shared" si="133"/>
        <v>-2.6987284836951786E-2</v>
      </c>
      <c r="M53" s="5">
        <f t="shared" si="133"/>
        <v>0.12037037037037046</v>
      </c>
      <c r="N53" s="5">
        <f t="shared" si="133"/>
        <v>-7.4017243898874763E-2</v>
      </c>
      <c r="O53" s="5">
        <f t="shared" ref="O53:R55" si="134">O35/K35-1</f>
        <v>0.29317323259579053</v>
      </c>
      <c r="P53" s="5">
        <f t="shared" si="134"/>
        <v>1.1006311672148636</v>
      </c>
      <c r="Q53" s="5">
        <f t="shared" si="134"/>
        <v>0.93228472407358032</v>
      </c>
      <c r="R53" s="5">
        <f t="shared" si="134"/>
        <v>0.62163655014597974</v>
      </c>
      <c r="S53" s="5">
        <f t="shared" ref="S53:S55" si="135">S35/O35-1</f>
        <v>0.20431229351417146</v>
      </c>
      <c r="T53" s="5">
        <f t="shared" ref="T53:T55" si="136">T35/P35-1</f>
        <v>5.8400338552687225E-2</v>
      </c>
      <c r="U53" s="5">
        <f t="shared" ref="U53:U55" si="137">U35/Q35-1</f>
        <v>-0.10586828550404714</v>
      </c>
      <c r="V53" s="5">
        <f t="shared" ref="V53:V55" si="138">V35/R35-1</f>
        <v>8.2721035472725912E-3</v>
      </c>
      <c r="W53" s="5">
        <f t="shared" ref="W53:W55" si="139">W35/S35-1</f>
        <v>-0.13375685821542016</v>
      </c>
      <c r="X53" s="5">
        <f t="shared" ref="X53:X55" si="140">X35/T35-1</f>
        <v>-3.3986405437824829E-2</v>
      </c>
      <c r="Y53" s="5">
        <f t="shared" ref="Y53:Y55" si="141">Y35/U35-1</f>
        <v>-0.15449886328566975</v>
      </c>
      <c r="Z53" s="5">
        <f t="shared" ref="Z53:Z55" si="142">Z35/V35-1</f>
        <v>-5.7852656725061458E-2</v>
      </c>
      <c r="AK53" s="5">
        <f>AK35/AJ35-1</f>
        <v>-7.1811325191916797E-2</v>
      </c>
      <c r="AL53" s="5">
        <f t="shared" ref="AL53:AS53" si="143">AL35/AK35-1</f>
        <v>3.9000289561314627E-2</v>
      </c>
      <c r="AM53" s="5">
        <f t="shared" si="143"/>
        <v>0.64916131055024295</v>
      </c>
      <c r="AN53" s="5">
        <f t="shared" si="143"/>
        <v>5.410857625686516E-2</v>
      </c>
      <c r="AO53" s="5">
        <f t="shared" si="143"/>
        <v>-9.7036479865335146E-2</v>
      </c>
      <c r="AP53" s="5">
        <f t="shared" si="143"/>
        <v>7.8241880036749478E-2</v>
      </c>
      <c r="AQ53" s="5">
        <f t="shared" si="143"/>
        <v>0.11621588474533628</v>
      </c>
      <c r="AR53" s="5">
        <f t="shared" si="143"/>
        <v>0.11493010668493175</v>
      </c>
      <c r="AS53" s="5">
        <f t="shared" si="143"/>
        <v>0.11337001376844591</v>
      </c>
      <c r="AT53" s="5"/>
      <c r="AU53" s="5"/>
      <c r="AV53" s="5"/>
      <c r="AW53" s="5"/>
      <c r="AX53" s="12"/>
      <c r="AZ53" s="10"/>
      <c r="BA53" s="12"/>
    </row>
    <row r="54" spans="1:53" x14ac:dyDescent="0.3">
      <c r="A54" s="7"/>
      <c r="B54" s="7" t="s">
        <v>73</v>
      </c>
      <c r="C54" s="9"/>
      <c r="D54" s="9"/>
      <c r="E54" s="9"/>
      <c r="F54" s="9"/>
      <c r="G54" s="5">
        <f t="shared" ref="G54:N54" si="144">G36/C36-1</f>
        <v>-7.4554261352785534E-2</v>
      </c>
      <c r="H54" s="5">
        <f t="shared" si="144"/>
        <v>-7.2575221076560781E-2</v>
      </c>
      <c r="I54" s="5">
        <f t="shared" si="144"/>
        <v>-6.6014778116144424E-2</v>
      </c>
      <c r="J54" s="5">
        <f t="shared" si="144"/>
        <v>-6.7492641123438335E-2</v>
      </c>
      <c r="K54" s="5">
        <f t="shared" si="144"/>
        <v>-6.6756951026260558E-2</v>
      </c>
      <c r="L54" s="5">
        <f t="shared" si="144"/>
        <v>-6.2960442032860997E-2</v>
      </c>
      <c r="M54" s="5">
        <f t="shared" si="144"/>
        <v>-5.3590770594908577E-2</v>
      </c>
      <c r="N54" s="5">
        <f t="shared" si="144"/>
        <v>-4.5625214687747162E-2</v>
      </c>
      <c r="O54" s="5">
        <f t="shared" si="134"/>
        <v>-3.9550595319438497E-2</v>
      </c>
      <c r="P54" s="5">
        <f t="shared" si="134"/>
        <v>-3.9140541348953839E-2</v>
      </c>
      <c r="Q54" s="5">
        <f t="shared" si="134"/>
        <v>-3.6592994125891454E-2</v>
      </c>
      <c r="R54" s="5">
        <f t="shared" si="134"/>
        <v>-3.6010966521003773E-2</v>
      </c>
      <c r="S54" s="5">
        <f t="shared" si="135"/>
        <v>-3.4732256425382801E-2</v>
      </c>
      <c r="T54" s="5">
        <f t="shared" si="136"/>
        <v>-3.106126312137103E-2</v>
      </c>
      <c r="U54" s="5">
        <f t="shared" si="137"/>
        <v>-3.0958181618289227E-2</v>
      </c>
      <c r="V54" s="5">
        <f t="shared" si="138"/>
        <v>-3.1056747069163504E-2</v>
      </c>
      <c r="W54" s="5">
        <f t="shared" si="139"/>
        <v>-3.4116052559398646E-2</v>
      </c>
      <c r="X54" s="5">
        <f t="shared" si="140"/>
        <v>-3.3911801735697855E-2</v>
      </c>
      <c r="Y54" s="5">
        <f t="shared" si="141"/>
        <v>-3.0000000000000027E-2</v>
      </c>
      <c r="Z54" s="5">
        <f t="shared" si="142"/>
        <v>-2.9999999999999916E-2</v>
      </c>
      <c r="AK54" s="5">
        <f>AK36/AJ36-1</f>
        <v>-6.7492641123438335E-2</v>
      </c>
      <c r="AL54" s="5">
        <f t="shared" ref="AL54:AS54" si="145">AL36/AK36-1</f>
        <v>-4.5625214687747162E-2</v>
      </c>
      <c r="AM54" s="5">
        <f t="shared" si="145"/>
        <v>-3.6010966521003773E-2</v>
      </c>
      <c r="AN54" s="5">
        <f t="shared" si="145"/>
        <v>-3.1056747069163504E-2</v>
      </c>
      <c r="AO54" s="5">
        <f t="shared" si="145"/>
        <v>-2.9999999999999916E-2</v>
      </c>
      <c r="AP54" s="5">
        <f t="shared" si="145"/>
        <v>-1.0000000000000009E-2</v>
      </c>
      <c r="AQ54" s="5">
        <f t="shared" si="145"/>
        <v>-1.000000000000012E-2</v>
      </c>
      <c r="AR54" s="5">
        <f t="shared" si="145"/>
        <v>-1.0000000000000009E-2</v>
      </c>
      <c r="AS54" s="5">
        <f t="shared" si="145"/>
        <v>-1.0000000000000009E-2</v>
      </c>
      <c r="AT54" s="5"/>
      <c r="AU54" s="5"/>
      <c r="AV54" s="5"/>
      <c r="AW54" s="5"/>
      <c r="AX54" s="12"/>
      <c r="AZ54" s="10"/>
      <c r="BA54" s="12"/>
    </row>
    <row r="55" spans="1:53" x14ac:dyDescent="0.3">
      <c r="A55" s="7"/>
      <c r="B55" s="7" t="s">
        <v>74</v>
      </c>
      <c r="C55" s="9"/>
      <c r="D55" s="9"/>
      <c r="E55" s="9"/>
      <c r="F55" s="9"/>
      <c r="G55" s="5">
        <f t="shared" ref="G55:N55" si="146">G37/C37-1</f>
        <v>7.517508137545259E-2</v>
      </c>
      <c r="H55" s="5">
        <f t="shared" si="146"/>
        <v>-9.8126102849452779E-2</v>
      </c>
      <c r="I55" s="5">
        <f t="shared" si="146"/>
        <v>-6.6419179090065894E-2</v>
      </c>
      <c r="J55" s="5">
        <f t="shared" si="146"/>
        <v>3.9048480163853982E-2</v>
      </c>
      <c r="K55" s="5">
        <f t="shared" si="146"/>
        <v>0.19341800839690881</v>
      </c>
      <c r="L55" s="5">
        <f t="shared" si="146"/>
        <v>3.8390222579238076E-2</v>
      </c>
      <c r="M55" s="5">
        <f t="shared" si="146"/>
        <v>0.18381175453522358</v>
      </c>
      <c r="N55" s="5">
        <f t="shared" si="146"/>
        <v>-2.9749349676959747E-2</v>
      </c>
      <c r="O55" s="5">
        <f t="shared" si="134"/>
        <v>0.34642514878323105</v>
      </c>
      <c r="P55" s="5">
        <f t="shared" si="134"/>
        <v>1.1862002276211618</v>
      </c>
      <c r="Q55" s="5">
        <f t="shared" si="134"/>
        <v>1.0056785058568258</v>
      </c>
      <c r="R55" s="5">
        <f t="shared" si="134"/>
        <v>0.68221472841196218</v>
      </c>
      <c r="S55" s="5">
        <f t="shared" si="135"/>
        <v>0.24764584907221199</v>
      </c>
      <c r="T55" s="5">
        <f t="shared" si="136"/>
        <v>9.2329471688016973E-2</v>
      </c>
      <c r="U55" s="5">
        <f t="shared" si="137"/>
        <v>-7.7303272639829834E-2</v>
      </c>
      <c r="V55" s="5">
        <f t="shared" si="138"/>
        <v>4.058942615831751E-2</v>
      </c>
      <c r="W55" s="5">
        <f t="shared" si="139"/>
        <v>-0.10316022532525748</v>
      </c>
      <c r="X55" s="5">
        <f t="shared" si="140"/>
        <v>-7.7222454700431875E-5</v>
      </c>
      <c r="Y55" s="5">
        <f t="shared" si="141"/>
        <v>-0.12834934359347394</v>
      </c>
      <c r="Z55" s="5">
        <f t="shared" si="142"/>
        <v>-2.8714079098001499E-2</v>
      </c>
      <c r="AK55" s="5">
        <f>AK37/AJ37-1</f>
        <v>-4.6312600403297655E-3</v>
      </c>
      <c r="AL55" s="5">
        <f t="shared" ref="AL55:AS55" si="147">AL37/AK37-1</f>
        <v>8.8671144241697419E-2</v>
      </c>
      <c r="AM55" s="5">
        <f t="shared" si="147"/>
        <v>0.71076770925338084</v>
      </c>
      <c r="AN55" s="5">
        <f t="shared" si="147"/>
        <v>8.7895057908110363E-2</v>
      </c>
      <c r="AO55" s="5">
        <f t="shared" si="147"/>
        <v>-6.9109773057046575E-2</v>
      </c>
      <c r="AP55" s="5">
        <f t="shared" si="147"/>
        <v>8.9133212158332586E-2</v>
      </c>
      <c r="AQ55" s="5">
        <f t="shared" si="147"/>
        <v>0.12749079267205676</v>
      </c>
      <c r="AR55" s="5">
        <f t="shared" si="147"/>
        <v>0.12619202695447651</v>
      </c>
      <c r="AS55" s="5">
        <f t="shared" si="147"/>
        <v>0.12461617552368276</v>
      </c>
      <c r="AT55" s="5"/>
      <c r="AU55" s="5"/>
      <c r="AV55" s="5"/>
      <c r="AW55" s="5"/>
      <c r="AX55" s="12"/>
      <c r="AZ55" s="10"/>
      <c r="BA55" s="12"/>
    </row>
    <row r="56" spans="1:53" x14ac:dyDescent="0.3">
      <c r="A56" s="7"/>
      <c r="AS56" s="7"/>
    </row>
    <row r="57" spans="1:53" x14ac:dyDescent="0.3">
      <c r="A57" s="7"/>
      <c r="B57" s="34" t="s">
        <v>17</v>
      </c>
      <c r="C57" s="7"/>
      <c r="D57" s="7"/>
      <c r="E57" s="7"/>
      <c r="F57" s="7"/>
      <c r="G57" s="7"/>
      <c r="H57" s="7"/>
      <c r="AS57" s="7"/>
      <c r="AZ57" s="13"/>
    </row>
    <row r="58" spans="1:53" s="14" customFormat="1" x14ac:dyDescent="0.3">
      <c r="A58" s="9"/>
      <c r="B58" s="9" t="s">
        <v>37</v>
      </c>
      <c r="C58" s="9">
        <f t="shared" ref="C58:F58" si="148">C59-C73</f>
        <v>162697</v>
      </c>
      <c r="D58" s="9">
        <f t="shared" si="148"/>
        <v>145386</v>
      </c>
      <c r="E58" s="9">
        <f t="shared" si="148"/>
        <v>129143</v>
      </c>
      <c r="F58" s="9">
        <f t="shared" si="148"/>
        <v>122617</v>
      </c>
      <c r="G58" s="9">
        <f t="shared" ref="G58:N58" si="149">G59-G73</f>
        <v>130305</v>
      </c>
      <c r="H58" s="9">
        <f t="shared" si="149"/>
        <v>112781</v>
      </c>
      <c r="I58" s="9">
        <f t="shared" si="149"/>
        <v>102192</v>
      </c>
      <c r="J58" s="9">
        <f t="shared" si="149"/>
        <v>97851</v>
      </c>
      <c r="K58" s="9">
        <f t="shared" si="149"/>
        <v>98769</v>
      </c>
      <c r="L58" s="9">
        <f t="shared" si="149"/>
        <v>83337</v>
      </c>
      <c r="M58" s="9">
        <f t="shared" si="149"/>
        <v>80894</v>
      </c>
      <c r="N58" s="9">
        <f t="shared" si="149"/>
        <v>79394</v>
      </c>
      <c r="O58" s="9">
        <f>O59-O73</f>
        <v>83528</v>
      </c>
      <c r="P58" s="9">
        <f t="shared" ref="P58:Z58" si="150">P59-P73</f>
        <v>0</v>
      </c>
      <c r="Q58" s="9">
        <f t="shared" si="150"/>
        <v>0</v>
      </c>
      <c r="R58" s="9">
        <f t="shared" si="150"/>
        <v>65797</v>
      </c>
      <c r="S58" s="9">
        <f t="shared" si="150"/>
        <v>0</v>
      </c>
      <c r="T58" s="9">
        <f t="shared" si="150"/>
        <v>0</v>
      </c>
      <c r="U58" s="9">
        <f t="shared" si="150"/>
        <v>59617</v>
      </c>
      <c r="V58" s="9">
        <f t="shared" si="150"/>
        <v>49040</v>
      </c>
      <c r="W58" s="9">
        <f t="shared" si="150"/>
        <v>54340</v>
      </c>
      <c r="X58" s="9">
        <f t="shared" si="150"/>
        <v>56718</v>
      </c>
      <c r="Y58" s="9">
        <f t="shared" si="150"/>
        <v>0</v>
      </c>
      <c r="Z58" s="9">
        <f t="shared" si="150"/>
        <v>0</v>
      </c>
      <c r="AJ58" s="9">
        <f t="shared" ref="AJ58:AJ67" si="151">F58</f>
        <v>122617</v>
      </c>
      <c r="AK58" s="9">
        <f t="shared" ref="AK58:AK67" si="152">J58</f>
        <v>97851</v>
      </c>
      <c r="AL58" s="9">
        <f>N58</f>
        <v>79394</v>
      </c>
      <c r="AS58" s="9"/>
      <c r="AZ58" s="15"/>
    </row>
    <row r="59" spans="1:53" x14ac:dyDescent="0.3">
      <c r="A59" s="7"/>
      <c r="B59" s="7" t="s">
        <v>18</v>
      </c>
      <c r="C59" s="7">
        <f>27491+49662+207944</f>
        <v>285097</v>
      </c>
      <c r="D59" s="7">
        <f>45059+42881+179286</f>
        <v>267226</v>
      </c>
      <c r="E59" s="7">
        <f>31971+38999+172773</f>
        <v>243743</v>
      </c>
      <c r="F59" s="7">
        <f>25913+40388+170799</f>
        <v>237100</v>
      </c>
      <c r="G59" s="7">
        <f>44771+41656+158608</f>
        <v>245035</v>
      </c>
      <c r="H59" s="7">
        <f>37988+42104+145319</f>
        <v>225411</v>
      </c>
      <c r="I59" s="7">
        <f>50530+44084+115996</f>
        <v>210610</v>
      </c>
      <c r="J59" s="7">
        <f>48844+51713+105341</f>
        <v>205898</v>
      </c>
      <c r="K59" s="7">
        <f>39771+67391+99899</f>
        <v>207061</v>
      </c>
      <c r="L59" s="7">
        <f>40174+53877+98793</f>
        <v>192844</v>
      </c>
      <c r="M59" s="7">
        <f>33383+59642+100592</f>
        <v>193617</v>
      </c>
      <c r="N59" s="7">
        <f>38016+52927+100887</f>
        <v>191830</v>
      </c>
      <c r="O59" s="7">
        <f>36010+40816+118745</f>
        <v>195571</v>
      </c>
      <c r="P59" s="7"/>
      <c r="Q59" s="7"/>
      <c r="R59" s="7">
        <f>34940+27699+127877</f>
        <v>190516</v>
      </c>
      <c r="S59" s="7"/>
      <c r="T59" s="7"/>
      <c r="U59" s="7">
        <f>27502+20729+131077</f>
        <v>179308</v>
      </c>
      <c r="V59" s="7">
        <f>23646+24658+120805</f>
        <v>169109</v>
      </c>
      <c r="W59" s="7">
        <f>20535+30820+114095</f>
        <v>165450</v>
      </c>
      <c r="X59" s="7">
        <f>24687+31185+110461</f>
        <v>166333</v>
      </c>
      <c r="Y59" s="7"/>
      <c r="Z59" s="7"/>
      <c r="AA59" s="7"/>
      <c r="AB59" s="7"/>
      <c r="AC59" s="7"/>
      <c r="AD59" s="7"/>
      <c r="AE59" s="7"/>
      <c r="AF59" s="7"/>
      <c r="AG59" s="7"/>
      <c r="AH59" s="7"/>
      <c r="AJ59" s="7">
        <f t="shared" si="151"/>
        <v>237100</v>
      </c>
      <c r="AK59" s="7">
        <f t="shared" si="152"/>
        <v>205898</v>
      </c>
      <c r="AL59" s="7">
        <f t="shared" ref="AL59:AL67" si="153">N59</f>
        <v>191830</v>
      </c>
      <c r="AM59" s="7"/>
      <c r="AN59" s="7"/>
      <c r="AO59" s="7"/>
      <c r="AP59" s="7"/>
      <c r="AQ59" s="7"/>
      <c r="AR59" s="7"/>
      <c r="AS59" s="7"/>
    </row>
    <row r="60" spans="1:53" x14ac:dyDescent="0.3">
      <c r="A60" s="7"/>
      <c r="B60" s="7" t="s">
        <v>19</v>
      </c>
      <c r="C60" s="7">
        <v>23440</v>
      </c>
      <c r="D60" s="7">
        <v>14324</v>
      </c>
      <c r="E60" s="7">
        <v>14104</v>
      </c>
      <c r="F60" s="7">
        <v>23186</v>
      </c>
      <c r="G60" s="7">
        <v>18077</v>
      </c>
      <c r="H60" s="7">
        <v>15085</v>
      </c>
      <c r="I60" s="7">
        <v>14148</v>
      </c>
      <c r="J60" s="7">
        <v>22926</v>
      </c>
      <c r="K60" s="7">
        <v>20970</v>
      </c>
      <c r="L60" s="7">
        <v>15722</v>
      </c>
      <c r="M60" s="7">
        <v>17882</v>
      </c>
      <c r="N60" s="7">
        <v>16120</v>
      </c>
      <c r="O60" s="7">
        <v>27101</v>
      </c>
      <c r="P60" s="7"/>
      <c r="Q60" s="7"/>
      <c r="R60" s="7">
        <v>26278</v>
      </c>
      <c r="S60" s="7"/>
      <c r="T60" s="7"/>
      <c r="U60" s="7">
        <v>21803</v>
      </c>
      <c r="V60" s="7">
        <v>28184</v>
      </c>
      <c r="W60" s="7">
        <v>23752</v>
      </c>
      <c r="X60" s="7">
        <v>17936</v>
      </c>
      <c r="Y60" s="7"/>
      <c r="Z60" s="7"/>
      <c r="AA60" s="7"/>
      <c r="AB60" s="7"/>
      <c r="AC60" s="7"/>
      <c r="AD60" s="7"/>
      <c r="AE60" s="7"/>
      <c r="AF60" s="7"/>
      <c r="AG60" s="7"/>
      <c r="AH60" s="7"/>
      <c r="AJ60" s="7">
        <f t="shared" si="151"/>
        <v>23186</v>
      </c>
      <c r="AK60" s="7">
        <f t="shared" si="152"/>
        <v>22926</v>
      </c>
      <c r="AL60" s="7">
        <f t="shared" si="153"/>
        <v>16120</v>
      </c>
      <c r="AM60" s="7"/>
      <c r="AN60" s="7"/>
      <c r="AO60" s="7"/>
      <c r="AP60" s="7"/>
      <c r="AQ60" s="7"/>
      <c r="AR60" s="7"/>
      <c r="AS60" s="7"/>
    </row>
    <row r="61" spans="1:53" x14ac:dyDescent="0.3">
      <c r="A61" s="7"/>
      <c r="B61" s="7" t="s">
        <v>26</v>
      </c>
      <c r="C61" s="7">
        <v>4421</v>
      </c>
      <c r="D61" s="7">
        <v>7662</v>
      </c>
      <c r="E61" s="7">
        <v>5936</v>
      </c>
      <c r="F61" s="7">
        <v>3956</v>
      </c>
      <c r="G61" s="7">
        <v>4988</v>
      </c>
      <c r="H61" s="7">
        <v>4884</v>
      </c>
      <c r="I61" s="7">
        <v>3355</v>
      </c>
      <c r="J61" s="7">
        <v>4106</v>
      </c>
      <c r="K61" s="7">
        <v>4097</v>
      </c>
      <c r="L61" s="7">
        <v>3334</v>
      </c>
      <c r="M61" s="7">
        <v>3978</v>
      </c>
      <c r="N61" s="7">
        <v>4061</v>
      </c>
      <c r="O61" s="7">
        <v>4973</v>
      </c>
      <c r="P61" s="7"/>
      <c r="Q61" s="7"/>
      <c r="R61" s="7">
        <v>6580</v>
      </c>
      <c r="S61" s="7"/>
      <c r="T61" s="7"/>
      <c r="U61" s="7">
        <v>5433</v>
      </c>
      <c r="V61" s="7">
        <v>4946</v>
      </c>
      <c r="W61" s="7">
        <v>6820</v>
      </c>
      <c r="X61" s="7">
        <v>7482</v>
      </c>
      <c r="Y61" s="7"/>
      <c r="Z61" s="7"/>
      <c r="AA61" s="7"/>
      <c r="AB61" s="7"/>
      <c r="AC61" s="7"/>
      <c r="AD61" s="7"/>
      <c r="AE61" s="7"/>
      <c r="AF61" s="7"/>
      <c r="AG61" s="7"/>
      <c r="AH61" s="7"/>
      <c r="AJ61" s="7">
        <f t="shared" si="151"/>
        <v>3956</v>
      </c>
      <c r="AK61" s="7">
        <f t="shared" si="152"/>
        <v>4106</v>
      </c>
      <c r="AL61" s="7">
        <f t="shared" si="153"/>
        <v>4061</v>
      </c>
      <c r="AM61" s="7"/>
      <c r="AN61" s="7"/>
      <c r="AO61" s="7"/>
      <c r="AP61" s="7"/>
      <c r="AQ61" s="7"/>
      <c r="AR61" s="7"/>
      <c r="AS61" s="7"/>
    </row>
    <row r="62" spans="1:53" x14ac:dyDescent="0.3">
      <c r="A62" s="7"/>
      <c r="B62" s="7" t="s">
        <v>20</v>
      </c>
      <c r="C62" s="7">
        <v>27459</v>
      </c>
      <c r="D62" s="7">
        <v>8084</v>
      </c>
      <c r="E62" s="7">
        <v>12263</v>
      </c>
      <c r="F62" s="7">
        <v>25809</v>
      </c>
      <c r="G62" s="7">
        <v>18904</v>
      </c>
      <c r="H62" s="7">
        <v>11193</v>
      </c>
      <c r="I62" s="7">
        <v>12326</v>
      </c>
      <c r="J62" s="7">
        <v>22878</v>
      </c>
      <c r="K62" s="7">
        <v>18976</v>
      </c>
      <c r="L62" s="7">
        <v>14955</v>
      </c>
      <c r="M62" s="7">
        <v>14193</v>
      </c>
      <c r="N62" s="7">
        <v>21325</v>
      </c>
      <c r="O62" s="7">
        <v>31519</v>
      </c>
      <c r="P62" s="7"/>
      <c r="Q62" s="7"/>
      <c r="R62" s="7">
        <v>25228</v>
      </c>
      <c r="S62" s="7"/>
      <c r="T62" s="7"/>
      <c r="U62" s="7">
        <v>20439</v>
      </c>
      <c r="V62" s="7">
        <v>32748</v>
      </c>
      <c r="W62" s="7">
        <v>30428</v>
      </c>
      <c r="X62" s="7">
        <v>17963</v>
      </c>
      <c r="Y62" s="7"/>
      <c r="Z62" s="7"/>
      <c r="AA62" s="7"/>
      <c r="AB62" s="7"/>
      <c r="AC62" s="7"/>
      <c r="AD62" s="7"/>
      <c r="AE62" s="7"/>
      <c r="AF62" s="7"/>
      <c r="AG62" s="7"/>
      <c r="AH62" s="7"/>
      <c r="AJ62" s="7">
        <f t="shared" si="151"/>
        <v>25809</v>
      </c>
      <c r="AK62" s="7">
        <f t="shared" si="152"/>
        <v>22878</v>
      </c>
      <c r="AL62" s="7">
        <f t="shared" si="153"/>
        <v>21325</v>
      </c>
      <c r="AM62" s="7"/>
      <c r="AN62" s="7"/>
      <c r="AO62" s="7"/>
      <c r="AP62" s="7"/>
      <c r="AQ62" s="7"/>
      <c r="AR62" s="7"/>
      <c r="AS62" s="7"/>
    </row>
    <row r="63" spans="1:53" x14ac:dyDescent="0.3">
      <c r="A63" s="7"/>
      <c r="B63" s="7" t="s">
        <v>21</v>
      </c>
      <c r="C63" s="7">
        <v>11337</v>
      </c>
      <c r="D63" s="7">
        <v>12043</v>
      </c>
      <c r="E63" s="7">
        <v>12488</v>
      </c>
      <c r="F63" s="7">
        <v>12087</v>
      </c>
      <c r="G63" s="7">
        <v>12432</v>
      </c>
      <c r="H63" s="7">
        <v>12092</v>
      </c>
      <c r="I63" s="7">
        <v>10530</v>
      </c>
      <c r="J63" s="7">
        <v>12352</v>
      </c>
      <c r="K63" s="7">
        <v>12026</v>
      </c>
      <c r="L63" s="7">
        <v>15691</v>
      </c>
      <c r="M63" s="7">
        <v>10987</v>
      </c>
      <c r="N63" s="7">
        <v>11264</v>
      </c>
      <c r="O63" s="7">
        <v>13687</v>
      </c>
      <c r="P63" s="7"/>
      <c r="Q63" s="7"/>
      <c r="R63" s="7">
        <v>14111</v>
      </c>
      <c r="S63" s="7"/>
      <c r="T63" s="7"/>
      <c r="U63" s="7">
        <v>16386</v>
      </c>
      <c r="V63" s="7">
        <v>21223</v>
      </c>
      <c r="W63" s="7">
        <v>16422</v>
      </c>
      <c r="X63" s="7">
        <v>13660</v>
      </c>
      <c r="Y63" s="7"/>
      <c r="Z63" s="7"/>
      <c r="AA63" s="7"/>
      <c r="AB63" s="7"/>
      <c r="AC63" s="7"/>
      <c r="AD63" s="7"/>
      <c r="AE63" s="7"/>
      <c r="AF63" s="7"/>
      <c r="AG63" s="7"/>
      <c r="AH63" s="7"/>
      <c r="AJ63" s="7">
        <f t="shared" si="151"/>
        <v>12087</v>
      </c>
      <c r="AK63" s="7">
        <f t="shared" si="152"/>
        <v>12352</v>
      </c>
      <c r="AL63" s="7">
        <f t="shared" si="153"/>
        <v>11264</v>
      </c>
      <c r="AM63" s="7"/>
      <c r="AN63" s="7"/>
      <c r="AO63" s="7"/>
      <c r="AP63" s="7"/>
      <c r="AQ63" s="7"/>
      <c r="AR63" s="7"/>
      <c r="AS63" s="7"/>
    </row>
    <row r="64" spans="1:53" x14ac:dyDescent="0.3">
      <c r="A64" s="7"/>
      <c r="B64" s="7" t="s">
        <v>22</v>
      </c>
      <c r="C64" s="7">
        <v>33679</v>
      </c>
      <c r="D64" s="7">
        <v>35077</v>
      </c>
      <c r="E64" s="7">
        <v>38117</v>
      </c>
      <c r="F64" s="7">
        <v>41304</v>
      </c>
      <c r="G64" s="7">
        <v>39597</v>
      </c>
      <c r="H64" s="7">
        <v>38746</v>
      </c>
      <c r="I64" s="7">
        <v>37636</v>
      </c>
      <c r="J64" s="7">
        <v>37378</v>
      </c>
      <c r="K64" s="7">
        <v>37031</v>
      </c>
      <c r="L64" s="7">
        <v>35889</v>
      </c>
      <c r="M64" s="7">
        <v>35687</v>
      </c>
      <c r="N64" s="7">
        <v>36766</v>
      </c>
      <c r="O64" s="7">
        <v>37933</v>
      </c>
      <c r="P64" s="7"/>
      <c r="Q64" s="7"/>
      <c r="R64" s="7">
        <v>39440</v>
      </c>
      <c r="S64" s="7"/>
      <c r="T64" s="7"/>
      <c r="U64" s="7">
        <v>40335</v>
      </c>
      <c r="V64" s="7">
        <v>42117</v>
      </c>
      <c r="W64" s="7">
        <v>42951</v>
      </c>
      <c r="X64" s="7">
        <v>43398</v>
      </c>
      <c r="Y64" s="7"/>
      <c r="Z64" s="7"/>
      <c r="AA64" s="7"/>
      <c r="AB64" s="7"/>
      <c r="AC64" s="7"/>
      <c r="AD64" s="7"/>
      <c r="AE64" s="7"/>
      <c r="AF64" s="7"/>
      <c r="AG64" s="7"/>
      <c r="AH64" s="7"/>
      <c r="AJ64" s="7">
        <f t="shared" si="151"/>
        <v>41304</v>
      </c>
      <c r="AK64" s="7">
        <f t="shared" si="152"/>
        <v>37378</v>
      </c>
      <c r="AL64" s="7">
        <f t="shared" si="153"/>
        <v>36766</v>
      </c>
      <c r="AM64" s="7"/>
      <c r="AN64" s="7"/>
      <c r="AO64" s="7"/>
      <c r="AP64" s="7"/>
      <c r="AQ64" s="7"/>
      <c r="AR64" s="7"/>
      <c r="AS64" s="7"/>
    </row>
    <row r="65" spans="1:45" x14ac:dyDescent="0.3">
      <c r="A65" s="7"/>
      <c r="B65" s="7" t="s">
        <v>23</v>
      </c>
      <c r="C65" s="7">
        <f>5889+2149</f>
        <v>8038</v>
      </c>
      <c r="D65" s="7">
        <v>0</v>
      </c>
      <c r="E65" s="7">
        <v>0</v>
      </c>
      <c r="F65" s="7">
        <v>0</v>
      </c>
      <c r="G65" s="7">
        <v>0</v>
      </c>
      <c r="H65" s="7">
        <v>0</v>
      </c>
      <c r="I65" s="7">
        <v>0</v>
      </c>
      <c r="J65" s="7">
        <v>0</v>
      </c>
      <c r="K65" s="7">
        <v>0</v>
      </c>
      <c r="L65" s="7">
        <v>0</v>
      </c>
      <c r="M65" s="7">
        <v>0</v>
      </c>
      <c r="N65" s="7">
        <v>0</v>
      </c>
      <c r="O65" s="7">
        <v>0</v>
      </c>
      <c r="P65" s="7"/>
      <c r="Q65" s="7"/>
      <c r="R65" s="7">
        <v>0</v>
      </c>
      <c r="S65" s="7"/>
      <c r="T65" s="7"/>
      <c r="U65" s="7">
        <v>0</v>
      </c>
      <c r="V65" s="7">
        <v>0</v>
      </c>
      <c r="W65" s="7">
        <v>0</v>
      </c>
      <c r="X65" s="7">
        <v>0</v>
      </c>
      <c r="Y65" s="7"/>
      <c r="Z65" s="7"/>
      <c r="AA65" s="7"/>
      <c r="AB65" s="7"/>
      <c r="AC65" s="7"/>
      <c r="AD65" s="7"/>
      <c r="AE65" s="7"/>
      <c r="AF65" s="7"/>
      <c r="AG65" s="7"/>
      <c r="AH65" s="7"/>
      <c r="AJ65" s="7">
        <f t="shared" si="151"/>
        <v>0</v>
      </c>
      <c r="AK65" s="7">
        <f t="shared" si="152"/>
        <v>0</v>
      </c>
      <c r="AL65" s="7">
        <f t="shared" si="153"/>
        <v>0</v>
      </c>
      <c r="AM65" s="7"/>
      <c r="AN65" s="7"/>
      <c r="AO65" s="7"/>
      <c r="AP65" s="7"/>
      <c r="AQ65" s="7"/>
      <c r="AR65" s="7"/>
      <c r="AS65" s="7"/>
    </row>
    <row r="66" spans="1:45" x14ac:dyDescent="0.3">
      <c r="A66" s="7"/>
      <c r="B66" s="7" t="s">
        <v>24</v>
      </c>
      <c r="C66" s="7">
        <v>13323</v>
      </c>
      <c r="D66" s="7">
        <v>23086</v>
      </c>
      <c r="E66" s="7">
        <v>22546</v>
      </c>
      <c r="F66" s="7">
        <v>22283</v>
      </c>
      <c r="G66" s="7">
        <v>34686</v>
      </c>
      <c r="H66" s="7">
        <v>34587</v>
      </c>
      <c r="I66" s="7">
        <v>33634</v>
      </c>
      <c r="J66" s="7">
        <v>32978</v>
      </c>
      <c r="K66" s="7">
        <v>40457</v>
      </c>
      <c r="L66" s="7">
        <v>41965</v>
      </c>
      <c r="M66" s="7">
        <v>41000</v>
      </c>
      <c r="N66" s="7">
        <v>42522</v>
      </c>
      <c r="O66" s="7">
        <v>43270</v>
      </c>
      <c r="P66" s="7"/>
      <c r="Q66" s="7"/>
      <c r="R66" s="7">
        <v>48849</v>
      </c>
      <c r="S66" s="7"/>
      <c r="T66" s="7"/>
      <c r="U66" s="7">
        <v>52605</v>
      </c>
      <c r="V66" s="7">
        <v>54428</v>
      </c>
      <c r="W66" s="7">
        <v>60924</v>
      </c>
      <c r="X66" s="7">
        <v>65388</v>
      </c>
      <c r="Y66" s="7"/>
      <c r="Z66" s="7"/>
      <c r="AA66" s="7"/>
      <c r="AB66" s="7"/>
      <c r="AC66" s="7"/>
      <c r="AD66" s="7"/>
      <c r="AE66" s="7"/>
      <c r="AF66" s="7"/>
      <c r="AG66" s="7"/>
      <c r="AH66" s="7"/>
      <c r="AJ66" s="7">
        <f t="shared" si="151"/>
        <v>22283</v>
      </c>
      <c r="AK66" s="7">
        <f t="shared" si="152"/>
        <v>32978</v>
      </c>
      <c r="AL66" s="7">
        <f t="shared" si="153"/>
        <v>42522</v>
      </c>
      <c r="AM66" s="7"/>
      <c r="AN66" s="7"/>
      <c r="AO66" s="7"/>
      <c r="AP66" s="7"/>
      <c r="AQ66" s="7"/>
      <c r="AR66" s="7"/>
      <c r="AS66" s="7"/>
    </row>
    <row r="67" spans="1:45" s="14" customFormat="1" x14ac:dyDescent="0.3">
      <c r="A67" s="9"/>
      <c r="B67" s="9" t="s">
        <v>25</v>
      </c>
      <c r="C67" s="9">
        <f t="shared" ref="C67:F67" si="154">SUM(C59:C66)</f>
        <v>406794</v>
      </c>
      <c r="D67" s="9">
        <f t="shared" si="154"/>
        <v>367502</v>
      </c>
      <c r="E67" s="9">
        <f t="shared" si="154"/>
        <v>349197</v>
      </c>
      <c r="F67" s="9">
        <f t="shared" si="154"/>
        <v>365725</v>
      </c>
      <c r="G67" s="9">
        <f t="shared" ref="G67:Z67" si="155">SUM(G59:G66)</f>
        <v>373719</v>
      </c>
      <c r="H67" s="9">
        <f t="shared" si="155"/>
        <v>341998</v>
      </c>
      <c r="I67" s="9">
        <f t="shared" si="155"/>
        <v>322239</v>
      </c>
      <c r="J67" s="9">
        <f t="shared" si="155"/>
        <v>338516</v>
      </c>
      <c r="K67" s="9">
        <f t="shared" si="155"/>
        <v>340618</v>
      </c>
      <c r="L67" s="9">
        <f t="shared" si="155"/>
        <v>320400</v>
      </c>
      <c r="M67" s="9">
        <f t="shared" si="155"/>
        <v>317344</v>
      </c>
      <c r="N67" s="9">
        <f t="shared" si="155"/>
        <v>323888</v>
      </c>
      <c r="O67" s="9">
        <f t="shared" si="155"/>
        <v>354054</v>
      </c>
      <c r="P67" s="9">
        <f t="shared" si="155"/>
        <v>0</v>
      </c>
      <c r="Q67" s="9">
        <f t="shared" si="155"/>
        <v>0</v>
      </c>
      <c r="R67" s="9">
        <f t="shared" si="155"/>
        <v>351002</v>
      </c>
      <c r="S67" s="9">
        <f t="shared" si="155"/>
        <v>0</v>
      </c>
      <c r="T67" s="9">
        <f t="shared" si="155"/>
        <v>0</v>
      </c>
      <c r="U67" s="9">
        <f t="shared" si="155"/>
        <v>336309</v>
      </c>
      <c r="V67" s="9">
        <f t="shared" si="155"/>
        <v>352755</v>
      </c>
      <c r="W67" s="9">
        <f t="shared" si="155"/>
        <v>346747</v>
      </c>
      <c r="X67" s="9">
        <f t="shared" si="155"/>
        <v>332160</v>
      </c>
      <c r="Y67" s="9">
        <f t="shared" si="155"/>
        <v>0</v>
      </c>
      <c r="Z67" s="9">
        <f t="shared" si="155"/>
        <v>0</v>
      </c>
      <c r="AA67" s="9"/>
      <c r="AB67" s="9"/>
      <c r="AC67" s="9"/>
      <c r="AD67" s="9"/>
      <c r="AE67" s="9"/>
      <c r="AF67" s="9"/>
      <c r="AG67" s="9"/>
      <c r="AH67" s="9"/>
      <c r="AJ67" s="9">
        <f t="shared" si="151"/>
        <v>365725</v>
      </c>
      <c r="AK67" s="9">
        <f t="shared" si="152"/>
        <v>338516</v>
      </c>
      <c r="AL67" s="9">
        <f t="shared" si="153"/>
        <v>323888</v>
      </c>
      <c r="AM67" s="9"/>
      <c r="AN67" s="9"/>
      <c r="AO67" s="9"/>
      <c r="AP67" s="9"/>
      <c r="AQ67" s="9"/>
      <c r="AR67" s="9"/>
      <c r="AS67" s="9"/>
    </row>
    <row r="68" spans="1:45" x14ac:dyDescent="0.3">
      <c r="A68" s="7"/>
      <c r="AJ68" s="7"/>
      <c r="AK68" s="9"/>
      <c r="AL68" s="9"/>
      <c r="AS68" s="7"/>
    </row>
    <row r="69" spans="1:45" x14ac:dyDescent="0.3">
      <c r="A69" s="7"/>
      <c r="B69" s="7" t="s">
        <v>27</v>
      </c>
      <c r="C69" s="7">
        <v>62985</v>
      </c>
      <c r="D69" s="7">
        <v>34311</v>
      </c>
      <c r="E69" s="7">
        <v>38489</v>
      </c>
      <c r="F69" s="7">
        <v>55888</v>
      </c>
      <c r="G69" s="7">
        <v>44293</v>
      </c>
      <c r="H69" s="7">
        <v>30443</v>
      </c>
      <c r="I69" s="7">
        <v>29115</v>
      </c>
      <c r="J69" s="7">
        <v>46236</v>
      </c>
      <c r="K69" s="7">
        <v>45111</v>
      </c>
      <c r="L69" s="7">
        <v>32421</v>
      </c>
      <c r="M69" s="7">
        <v>35325</v>
      </c>
      <c r="N69" s="7">
        <v>42296</v>
      </c>
      <c r="O69" s="7">
        <v>63846</v>
      </c>
      <c r="P69" s="7"/>
      <c r="Q69" s="7"/>
      <c r="R69" s="7">
        <v>54763</v>
      </c>
      <c r="S69" s="7"/>
      <c r="T69" s="7"/>
      <c r="U69" s="7">
        <v>48343</v>
      </c>
      <c r="V69" s="7">
        <v>64115</v>
      </c>
      <c r="W69" s="7">
        <v>57918</v>
      </c>
      <c r="X69" s="7">
        <v>42945</v>
      </c>
      <c r="AJ69" s="7">
        <f t="shared" ref="AJ69" si="156">F69</f>
        <v>55888</v>
      </c>
      <c r="AK69" s="7">
        <f t="shared" ref="AK69:AK77" si="157">J69</f>
        <v>46236</v>
      </c>
      <c r="AL69" s="7">
        <f t="shared" ref="AL69:AL77" si="158">N69</f>
        <v>42296</v>
      </c>
      <c r="AS69" s="7"/>
    </row>
    <row r="70" spans="1:45" x14ac:dyDescent="0.3">
      <c r="A70" s="7"/>
      <c r="B70" s="7" t="s">
        <v>64</v>
      </c>
      <c r="C70" s="7">
        <v>0</v>
      </c>
      <c r="D70" s="7">
        <v>0</v>
      </c>
      <c r="E70" s="7">
        <v>0</v>
      </c>
      <c r="F70" s="7">
        <v>32687</v>
      </c>
      <c r="G70" s="7">
        <v>36703</v>
      </c>
      <c r="H70" s="7">
        <v>35368</v>
      </c>
      <c r="I70" s="7">
        <v>31673</v>
      </c>
      <c r="J70" s="7">
        <v>37720</v>
      </c>
      <c r="K70" s="7">
        <v>36263</v>
      </c>
      <c r="L70" s="7">
        <v>37324</v>
      </c>
      <c r="M70" s="7">
        <v>35005</v>
      </c>
      <c r="N70" s="7">
        <v>42684</v>
      </c>
      <c r="O70" s="7">
        <v>48504</v>
      </c>
      <c r="P70" s="7"/>
      <c r="Q70" s="7"/>
      <c r="R70" s="7">
        <v>47493</v>
      </c>
      <c r="S70" s="7"/>
      <c r="T70" s="7"/>
      <c r="U70" s="7">
        <v>48811</v>
      </c>
      <c r="V70" s="7">
        <v>60845</v>
      </c>
      <c r="W70" s="7">
        <v>59893</v>
      </c>
      <c r="X70" s="7">
        <v>56425</v>
      </c>
      <c r="AJ70" s="7">
        <f t="shared" ref="AJ70:AJ77" si="159">F70</f>
        <v>32687</v>
      </c>
      <c r="AK70" s="7">
        <f t="shared" si="157"/>
        <v>37720</v>
      </c>
      <c r="AL70" s="7">
        <f t="shared" si="158"/>
        <v>42684</v>
      </c>
      <c r="AS70" s="7"/>
    </row>
    <row r="71" spans="1:45" x14ac:dyDescent="0.3">
      <c r="A71" s="7"/>
      <c r="B71" s="7" t="s">
        <v>29</v>
      </c>
      <c r="C71" s="7">
        <f>8044+3131</f>
        <v>11175</v>
      </c>
      <c r="D71" s="7">
        <f>7775+3087</f>
        <v>10862</v>
      </c>
      <c r="E71" s="7">
        <f>7403+2878</f>
        <v>10281</v>
      </c>
      <c r="F71" s="7">
        <f>7543+2797</f>
        <v>10340</v>
      </c>
      <c r="G71" s="7">
        <v>5546</v>
      </c>
      <c r="H71" s="7">
        <v>5532</v>
      </c>
      <c r="I71" s="7">
        <v>5434</v>
      </c>
      <c r="J71" s="7">
        <v>5522</v>
      </c>
      <c r="K71" s="7">
        <v>5573</v>
      </c>
      <c r="L71" s="7">
        <v>5928</v>
      </c>
      <c r="M71" s="7">
        <v>6313</v>
      </c>
      <c r="N71" s="7">
        <v>6643</v>
      </c>
      <c r="O71" s="7">
        <v>7395</v>
      </c>
      <c r="P71" s="7"/>
      <c r="Q71" s="7"/>
      <c r="R71" s="7">
        <v>7612</v>
      </c>
      <c r="S71" s="7"/>
      <c r="T71" s="7"/>
      <c r="U71" s="7">
        <v>7728</v>
      </c>
      <c r="V71" s="7">
        <v>7912</v>
      </c>
      <c r="W71" s="7">
        <v>7992</v>
      </c>
      <c r="X71" s="7">
        <v>8131</v>
      </c>
      <c r="AJ71" s="7">
        <f t="shared" si="159"/>
        <v>10340</v>
      </c>
      <c r="AK71" s="7">
        <f t="shared" si="157"/>
        <v>5522</v>
      </c>
      <c r="AL71" s="7">
        <f t="shared" si="158"/>
        <v>6643</v>
      </c>
      <c r="AS71" s="7"/>
    </row>
    <row r="72" spans="1:45" x14ac:dyDescent="0.3">
      <c r="A72" s="7"/>
      <c r="B72" s="7" t="s">
        <v>28</v>
      </c>
      <c r="C72" s="7">
        <v>26281</v>
      </c>
      <c r="D72" s="7">
        <v>26756</v>
      </c>
      <c r="E72" s="7">
        <v>25184</v>
      </c>
      <c r="F72" s="7">
        <v>0</v>
      </c>
      <c r="G72" s="7">
        <v>0</v>
      </c>
      <c r="H72" s="7">
        <v>0</v>
      </c>
      <c r="I72" s="7">
        <v>0</v>
      </c>
      <c r="J72" s="7">
        <v>0</v>
      </c>
      <c r="K72" s="7">
        <v>0</v>
      </c>
      <c r="L72" s="7">
        <v>0</v>
      </c>
      <c r="M72" s="7">
        <v>0</v>
      </c>
      <c r="N72" s="7">
        <v>0</v>
      </c>
      <c r="O72" s="7">
        <v>0</v>
      </c>
      <c r="P72" s="7"/>
      <c r="Q72" s="7"/>
      <c r="R72" s="7">
        <v>0</v>
      </c>
      <c r="S72" s="7"/>
      <c r="T72" s="7"/>
      <c r="U72" s="7">
        <v>0</v>
      </c>
      <c r="V72" s="7">
        <v>0</v>
      </c>
      <c r="W72" s="7">
        <v>0</v>
      </c>
      <c r="X72" s="7">
        <v>0</v>
      </c>
      <c r="AJ72" s="7">
        <f t="shared" si="159"/>
        <v>0</v>
      </c>
      <c r="AK72" s="7">
        <f t="shared" si="157"/>
        <v>0</v>
      </c>
      <c r="AL72" s="7">
        <f t="shared" si="158"/>
        <v>0</v>
      </c>
      <c r="AS72" s="7"/>
    </row>
    <row r="73" spans="1:45" s="7" customFormat="1" x14ac:dyDescent="0.3">
      <c r="B73" s="7" t="s">
        <v>30</v>
      </c>
      <c r="C73" s="7">
        <f>11980+6498+103922</f>
        <v>122400</v>
      </c>
      <c r="D73" s="7">
        <f>11980+8498+101362</f>
        <v>121840</v>
      </c>
      <c r="E73" s="7">
        <f>11974+5498+97128</f>
        <v>114600</v>
      </c>
      <c r="F73" s="7">
        <f>11964+8784+93735</f>
        <v>114483</v>
      </c>
      <c r="G73" s="7">
        <f>11969+9772+92989</f>
        <v>114730</v>
      </c>
      <c r="H73" s="7">
        <f>11924+10505+90201</f>
        <v>112630</v>
      </c>
      <c r="I73" s="7">
        <f>9953+13529+84936</f>
        <v>108418</v>
      </c>
      <c r="J73" s="7">
        <f>5980+10260+91807</f>
        <v>108047</v>
      </c>
      <c r="K73" s="7">
        <f>4990+10224+93078</f>
        <v>108292</v>
      </c>
      <c r="L73" s="7">
        <f>10029+10392+89086</f>
        <v>109507</v>
      </c>
      <c r="M73" s="7">
        <f>11166+7509+94048</f>
        <v>112723</v>
      </c>
      <c r="N73" s="7">
        <f>4996+8773+98667</f>
        <v>112436</v>
      </c>
      <c r="O73" s="7">
        <f>5000+7762+99281</f>
        <v>112043</v>
      </c>
      <c r="R73" s="7">
        <f>6000+9613+109106</f>
        <v>124719</v>
      </c>
      <c r="U73" s="7">
        <f>10982+14009+94700</f>
        <v>119691</v>
      </c>
      <c r="V73" s="7">
        <f>9982+11128+98959</f>
        <v>120069</v>
      </c>
      <c r="W73" s="7">
        <f>1743+9740+99627</f>
        <v>111110</v>
      </c>
      <c r="X73" s="7">
        <f>1996+10578+97041</f>
        <v>109615</v>
      </c>
      <c r="AJ73" s="7">
        <f t="shared" si="159"/>
        <v>114483</v>
      </c>
      <c r="AK73" s="7">
        <f t="shared" si="157"/>
        <v>108047</v>
      </c>
      <c r="AL73" s="7">
        <f t="shared" si="158"/>
        <v>112436</v>
      </c>
    </row>
    <row r="74" spans="1:45" x14ac:dyDescent="0.3">
      <c r="A74" s="7"/>
      <c r="B74" s="7" t="s">
        <v>31</v>
      </c>
      <c r="C74" s="7">
        <v>43754</v>
      </c>
      <c r="D74" s="7">
        <v>46855</v>
      </c>
      <c r="E74" s="7">
        <v>45694</v>
      </c>
      <c r="F74" s="7">
        <v>45180</v>
      </c>
      <c r="G74" s="7">
        <v>54555</v>
      </c>
      <c r="H74" s="7">
        <v>52165</v>
      </c>
      <c r="I74" s="7">
        <v>51143</v>
      </c>
      <c r="J74" s="7">
        <v>50503</v>
      </c>
      <c r="K74" s="7">
        <v>55848</v>
      </c>
      <c r="L74" s="7">
        <v>56795</v>
      </c>
      <c r="M74" s="7">
        <v>55696</v>
      </c>
      <c r="N74" s="7">
        <v>54490</v>
      </c>
      <c r="O74" s="7">
        <v>56042</v>
      </c>
      <c r="P74" s="7"/>
      <c r="Q74" s="7"/>
      <c r="R74" s="7">
        <v>53325</v>
      </c>
      <c r="S74" s="7"/>
      <c r="T74" s="7"/>
      <c r="U74" s="7">
        <v>53629</v>
      </c>
      <c r="V74" s="7">
        <v>49142</v>
      </c>
      <c r="W74" s="7">
        <v>53107</v>
      </c>
      <c r="X74" s="7">
        <v>52886</v>
      </c>
      <c r="AJ74" s="7">
        <f t="shared" si="159"/>
        <v>45180</v>
      </c>
      <c r="AK74" s="7">
        <f t="shared" si="157"/>
        <v>50503</v>
      </c>
      <c r="AL74" s="7">
        <f t="shared" si="158"/>
        <v>54490</v>
      </c>
      <c r="AS74" s="7"/>
    </row>
    <row r="75" spans="1:45" s="14" customFormat="1" x14ac:dyDescent="0.3">
      <c r="A75" s="9"/>
      <c r="B75" s="9" t="s">
        <v>32</v>
      </c>
      <c r="C75" s="9">
        <f t="shared" ref="C75:F75" si="160">SUM(C69:C74)</f>
        <v>266595</v>
      </c>
      <c r="D75" s="9">
        <f t="shared" si="160"/>
        <v>240624</v>
      </c>
      <c r="E75" s="9">
        <f t="shared" si="160"/>
        <v>234248</v>
      </c>
      <c r="F75" s="9">
        <f t="shared" si="160"/>
        <v>258578</v>
      </c>
      <c r="G75" s="9">
        <f t="shared" ref="G75:Z75" si="161">SUM(G69:G74)</f>
        <v>255827</v>
      </c>
      <c r="H75" s="9">
        <f t="shared" si="161"/>
        <v>236138</v>
      </c>
      <c r="I75" s="9">
        <f t="shared" si="161"/>
        <v>225783</v>
      </c>
      <c r="J75" s="9">
        <f t="shared" si="161"/>
        <v>248028</v>
      </c>
      <c r="K75" s="9">
        <f t="shared" si="161"/>
        <v>251087</v>
      </c>
      <c r="L75" s="9">
        <f t="shared" si="161"/>
        <v>241975</v>
      </c>
      <c r="M75" s="9">
        <f t="shared" si="161"/>
        <v>245062</v>
      </c>
      <c r="N75" s="9">
        <f t="shared" si="161"/>
        <v>258549</v>
      </c>
      <c r="O75" s="9">
        <f t="shared" si="161"/>
        <v>287830</v>
      </c>
      <c r="P75" s="9">
        <f t="shared" si="161"/>
        <v>0</v>
      </c>
      <c r="Q75" s="9">
        <f t="shared" si="161"/>
        <v>0</v>
      </c>
      <c r="R75" s="9">
        <f t="shared" si="161"/>
        <v>287912</v>
      </c>
      <c r="S75" s="9">
        <f t="shared" si="161"/>
        <v>0</v>
      </c>
      <c r="T75" s="9">
        <f t="shared" si="161"/>
        <v>0</v>
      </c>
      <c r="U75" s="9">
        <f t="shared" si="161"/>
        <v>278202</v>
      </c>
      <c r="V75" s="9">
        <f t="shared" si="161"/>
        <v>302083</v>
      </c>
      <c r="W75" s="9">
        <f t="shared" si="161"/>
        <v>290020</v>
      </c>
      <c r="X75" s="9">
        <f t="shared" si="161"/>
        <v>270002</v>
      </c>
      <c r="Y75" s="9">
        <f t="shared" si="161"/>
        <v>0</v>
      </c>
      <c r="Z75" s="9">
        <f t="shared" si="161"/>
        <v>0</v>
      </c>
      <c r="AJ75" s="9">
        <f t="shared" si="159"/>
        <v>258578</v>
      </c>
      <c r="AK75" s="9">
        <f t="shared" si="157"/>
        <v>248028</v>
      </c>
      <c r="AL75" s="9">
        <f t="shared" si="158"/>
        <v>258549</v>
      </c>
      <c r="AS75" s="9"/>
    </row>
    <row r="76" spans="1:45" s="14" customFormat="1" x14ac:dyDescent="0.3">
      <c r="A76" s="9"/>
      <c r="B76" s="9" t="s">
        <v>33</v>
      </c>
      <c r="C76" s="9">
        <v>140199</v>
      </c>
      <c r="D76" s="9">
        <v>126878</v>
      </c>
      <c r="E76" s="9">
        <v>114949</v>
      </c>
      <c r="F76" s="9">
        <v>107147</v>
      </c>
      <c r="G76" s="9">
        <v>117892</v>
      </c>
      <c r="H76" s="9">
        <v>105860</v>
      </c>
      <c r="I76" s="9">
        <v>96456</v>
      </c>
      <c r="J76" s="9">
        <v>90488</v>
      </c>
      <c r="K76" s="9">
        <v>89531</v>
      </c>
      <c r="L76" s="9">
        <v>78425</v>
      </c>
      <c r="M76" s="9">
        <v>72282</v>
      </c>
      <c r="N76" s="9">
        <v>65339</v>
      </c>
      <c r="O76" s="9">
        <v>66224</v>
      </c>
      <c r="P76" s="9"/>
      <c r="Q76" s="9"/>
      <c r="R76" s="9">
        <v>63090</v>
      </c>
      <c r="S76" s="9"/>
      <c r="T76" s="9"/>
      <c r="U76" s="9">
        <v>58107</v>
      </c>
      <c r="V76" s="9">
        <v>50672</v>
      </c>
      <c r="W76" s="9">
        <v>56727</v>
      </c>
      <c r="X76" s="9">
        <v>62158</v>
      </c>
      <c r="AJ76" s="9">
        <f t="shared" si="159"/>
        <v>107147</v>
      </c>
      <c r="AK76" s="9">
        <f t="shared" si="157"/>
        <v>90488</v>
      </c>
      <c r="AL76" s="9">
        <f t="shared" si="158"/>
        <v>65339</v>
      </c>
      <c r="AS76" s="9"/>
    </row>
    <row r="77" spans="1:45" s="14" customFormat="1" x14ac:dyDescent="0.3">
      <c r="A77" s="9"/>
      <c r="B77" s="9" t="s">
        <v>34</v>
      </c>
      <c r="C77" s="9">
        <f t="shared" ref="C77:F77" si="162">C76+C75</f>
        <v>406794</v>
      </c>
      <c r="D77" s="9">
        <f t="shared" si="162"/>
        <v>367502</v>
      </c>
      <c r="E77" s="9">
        <f t="shared" si="162"/>
        <v>349197</v>
      </c>
      <c r="F77" s="9">
        <f t="shared" si="162"/>
        <v>365725</v>
      </c>
      <c r="G77" s="9">
        <f t="shared" ref="G77:Z77" si="163">G76+G75</f>
        <v>373719</v>
      </c>
      <c r="H77" s="9">
        <f t="shared" si="163"/>
        <v>341998</v>
      </c>
      <c r="I77" s="9">
        <f t="shared" si="163"/>
        <v>322239</v>
      </c>
      <c r="J77" s="9">
        <f t="shared" si="163"/>
        <v>338516</v>
      </c>
      <c r="K77" s="9">
        <f t="shared" si="163"/>
        <v>340618</v>
      </c>
      <c r="L77" s="9">
        <f t="shared" si="163"/>
        <v>320400</v>
      </c>
      <c r="M77" s="9">
        <f t="shared" si="163"/>
        <v>317344</v>
      </c>
      <c r="N77" s="9">
        <f t="shared" si="163"/>
        <v>323888</v>
      </c>
      <c r="O77" s="9">
        <f t="shared" si="163"/>
        <v>354054</v>
      </c>
      <c r="P77" s="9">
        <f t="shared" si="163"/>
        <v>0</v>
      </c>
      <c r="Q77" s="9">
        <f t="shared" si="163"/>
        <v>0</v>
      </c>
      <c r="R77" s="9">
        <f t="shared" si="163"/>
        <v>351002</v>
      </c>
      <c r="S77" s="9">
        <f t="shared" si="163"/>
        <v>0</v>
      </c>
      <c r="T77" s="9">
        <f t="shared" si="163"/>
        <v>0</v>
      </c>
      <c r="U77" s="9">
        <f t="shared" si="163"/>
        <v>336309</v>
      </c>
      <c r="V77" s="9">
        <f t="shared" si="163"/>
        <v>352755</v>
      </c>
      <c r="W77" s="9">
        <f t="shared" si="163"/>
        <v>346747</v>
      </c>
      <c r="X77" s="9">
        <f t="shared" si="163"/>
        <v>332160</v>
      </c>
      <c r="Y77" s="9">
        <f t="shared" si="163"/>
        <v>0</v>
      </c>
      <c r="Z77" s="9">
        <f t="shared" si="163"/>
        <v>0</v>
      </c>
      <c r="AJ77" s="9">
        <f t="shared" si="159"/>
        <v>365725</v>
      </c>
      <c r="AK77" s="9">
        <f t="shared" si="157"/>
        <v>338516</v>
      </c>
      <c r="AL77" s="9">
        <f t="shared" si="158"/>
        <v>323888</v>
      </c>
      <c r="AS77" s="9"/>
    </row>
    <row r="78" spans="1:45" x14ac:dyDescent="0.3">
      <c r="A78" s="7"/>
      <c r="AK78" s="9"/>
      <c r="AS78" s="7"/>
    </row>
    <row r="79" spans="1:45" x14ac:dyDescent="0.3">
      <c r="A79" s="7"/>
      <c r="AK79" s="9"/>
      <c r="AS79" s="7"/>
    </row>
    <row r="80" spans="1:45" s="14" customFormat="1" x14ac:dyDescent="0.3">
      <c r="B80" s="9" t="s">
        <v>66</v>
      </c>
      <c r="F80" s="9">
        <f>SUM(C35:F35)</f>
        <v>59531</v>
      </c>
      <c r="G80" s="9">
        <f>SUM(D35:G35)</f>
        <v>59431</v>
      </c>
      <c r="H80" s="9">
        <f>SUM(E35:H35)</f>
        <v>57170</v>
      </c>
      <c r="I80" s="9">
        <f>SUM(F35:I35)</f>
        <v>55695</v>
      </c>
      <c r="J80" s="9">
        <f>SUM(G35:J35)</f>
        <v>55256</v>
      </c>
      <c r="K80" s="9">
        <f>SUM(H35:K35)</f>
        <v>57527</v>
      </c>
      <c r="L80" s="9">
        <f>SUM(I35:L35)</f>
        <v>57215</v>
      </c>
      <c r="M80" s="9">
        <f>SUM(J35:M35)</f>
        <v>58424</v>
      </c>
      <c r="N80" s="9">
        <f>SUM(K35:N35)</f>
        <v>57411</v>
      </c>
      <c r="O80" s="9">
        <f>SUM(L35:O35)</f>
        <v>63930</v>
      </c>
      <c r="P80" s="9">
        <f>SUM(M35:P35)</f>
        <v>76311</v>
      </c>
      <c r="Q80" s="9">
        <f>SUM(N35:Q35)</f>
        <v>86802</v>
      </c>
      <c r="R80" s="9">
        <f>SUM(O35:R35)</f>
        <v>94680</v>
      </c>
      <c r="S80" s="9">
        <f>SUM(P35:S35)</f>
        <v>100555</v>
      </c>
      <c r="T80" s="9">
        <f>SUM(Q35:T35)</f>
        <v>101935</v>
      </c>
      <c r="U80" s="9">
        <f>SUM(R35:U35)</f>
        <v>99633</v>
      </c>
      <c r="V80" s="9">
        <f>SUM(S35:V35)</f>
        <v>99803</v>
      </c>
      <c r="W80" s="9">
        <f>SUM(T35:W35)</f>
        <v>95171</v>
      </c>
      <c r="X80" s="9">
        <f>SUM(U35:X35)</f>
        <v>94321</v>
      </c>
      <c r="Y80" s="9">
        <f>SUM(V35:Y35)</f>
        <v>91317.233100000012</v>
      </c>
      <c r="Z80" s="9">
        <f>SUM(W35:Z35)</f>
        <v>90118.468200000018</v>
      </c>
    </row>
    <row r="81" spans="1:45" x14ac:dyDescent="0.3">
      <c r="A81" s="7"/>
      <c r="B81" s="1" t="s">
        <v>65</v>
      </c>
      <c r="C81" s="11"/>
      <c r="D81" s="11"/>
      <c r="E81" s="11"/>
      <c r="F81" s="11">
        <f>F80/F76</f>
        <v>0.5556011834209077</v>
      </c>
      <c r="G81" s="11">
        <f t="shared" ref="G81:L81" si="164">G80/G76</f>
        <v>0.50411393478777189</v>
      </c>
      <c r="H81" s="11">
        <f>H80/H76</f>
        <v>0.54005290005667861</v>
      </c>
      <c r="I81" s="11">
        <f t="shared" si="164"/>
        <v>0.57741353570539933</v>
      </c>
      <c r="J81" s="11">
        <f t="shared" si="164"/>
        <v>0.61064450534877557</v>
      </c>
      <c r="K81" s="11">
        <f t="shared" si="164"/>
        <v>0.64253722174442374</v>
      </c>
      <c r="L81" s="11">
        <f t="shared" si="164"/>
        <v>0.72955052598023584</v>
      </c>
      <c r="M81" s="11">
        <f>M80/M76</f>
        <v>0.80827868625660604</v>
      </c>
      <c r="N81" s="11">
        <f>N80/N76</f>
        <v>0.87866358530127486</v>
      </c>
      <c r="O81" s="11">
        <f>O80/O76</f>
        <v>0.96535999033582987</v>
      </c>
      <c r="P81" s="11" t="e">
        <f t="shared" ref="P81:T81" si="165">P80/P76</f>
        <v>#DIV/0!</v>
      </c>
      <c r="Q81" s="11" t="e">
        <f t="shared" si="165"/>
        <v>#DIV/0!</v>
      </c>
      <c r="R81" s="11">
        <f t="shared" si="165"/>
        <v>1.5007132667617689</v>
      </c>
      <c r="S81" s="11" t="e">
        <f t="shared" si="165"/>
        <v>#DIV/0!</v>
      </c>
      <c r="T81" s="11" t="e">
        <f t="shared" si="165"/>
        <v>#DIV/0!</v>
      </c>
      <c r="U81" s="11">
        <f t="shared" ref="U81:Z81" si="166">U80/U76</f>
        <v>1.7146471165264081</v>
      </c>
      <c r="V81" s="11">
        <f t="shared" si="166"/>
        <v>1.9695887275023682</v>
      </c>
      <c r="W81" s="11">
        <f>W80/W76</f>
        <v>1.6777019761312955</v>
      </c>
      <c r="X81" s="11">
        <f t="shared" si="166"/>
        <v>1.5174394285530421</v>
      </c>
      <c r="Y81" s="11" t="e">
        <f t="shared" si="166"/>
        <v>#DIV/0!</v>
      </c>
      <c r="Z81" s="11" t="e">
        <f t="shared" si="166"/>
        <v>#DIV/0!</v>
      </c>
      <c r="AJ81" s="11">
        <f>AJ35/AJ76</f>
        <v>0.5556011834209077</v>
      </c>
      <c r="AK81" s="11">
        <f>AK35/AK76</f>
        <v>0.61064450534877557</v>
      </c>
      <c r="AL81" s="11">
        <f>AL35/AL76</f>
        <v>0.87866358530127486</v>
      </c>
      <c r="AS81" s="7"/>
    </row>
    <row r="82" spans="1:45" x14ac:dyDescent="0.3">
      <c r="A82" s="7"/>
      <c r="B82" s="1" t="s">
        <v>67</v>
      </c>
      <c r="C82" s="11"/>
      <c r="D82" s="11"/>
      <c r="E82" s="11"/>
      <c r="F82" s="11">
        <f>F80/F67</f>
        <v>0.16277530931710985</v>
      </c>
      <c r="G82" s="11">
        <f t="shared" ref="G82:N82" si="167">G80/G67</f>
        <v>0.15902589913812248</v>
      </c>
      <c r="H82" s="11">
        <f t="shared" si="167"/>
        <v>0.16716472026152199</v>
      </c>
      <c r="I82" s="11">
        <f t="shared" si="167"/>
        <v>0.17283755225158967</v>
      </c>
      <c r="J82" s="11">
        <f t="shared" si="167"/>
        <v>0.16323009842961633</v>
      </c>
      <c r="K82" s="11">
        <f t="shared" si="167"/>
        <v>0.16889007627312708</v>
      </c>
      <c r="L82" s="11">
        <f t="shared" si="167"/>
        <v>0.1785736579275905</v>
      </c>
      <c r="M82" s="11">
        <f t="shared" si="167"/>
        <v>0.18410305535948371</v>
      </c>
      <c r="N82" s="11">
        <f t="shared" si="167"/>
        <v>0.1772557180259843</v>
      </c>
      <c r="O82" s="11">
        <f t="shared" ref="O82:T82" si="168">O80/O67</f>
        <v>0.18056567642224067</v>
      </c>
      <c r="P82" s="11" t="e">
        <f t="shared" si="168"/>
        <v>#DIV/0!</v>
      </c>
      <c r="Q82" s="11" t="e">
        <f t="shared" si="168"/>
        <v>#DIV/0!</v>
      </c>
      <c r="R82" s="11">
        <f t="shared" si="168"/>
        <v>0.26974205275183616</v>
      </c>
      <c r="S82" s="11" t="e">
        <f t="shared" si="168"/>
        <v>#DIV/0!</v>
      </c>
      <c r="T82" s="11" t="e">
        <f t="shared" si="168"/>
        <v>#DIV/0!</v>
      </c>
      <c r="U82" s="11">
        <f t="shared" ref="U82:Z82" si="169">U80/U67</f>
        <v>0.2962543375288797</v>
      </c>
      <c r="V82" s="11">
        <f t="shared" si="169"/>
        <v>0.28292440929256851</v>
      </c>
      <c r="W82" s="11">
        <f t="shared" si="169"/>
        <v>0.2744681280587864</v>
      </c>
      <c r="X82" s="11">
        <f t="shared" si="169"/>
        <v>0.28396254816955685</v>
      </c>
      <c r="Y82" s="11" t="e">
        <f t="shared" si="169"/>
        <v>#DIV/0!</v>
      </c>
      <c r="Z82" s="11" t="e">
        <f t="shared" si="169"/>
        <v>#DIV/0!</v>
      </c>
      <c r="AJ82" s="11">
        <f>AJ35/AJ67</f>
        <v>0.16277530931710985</v>
      </c>
      <c r="AK82" s="11">
        <f>AK35/AK67</f>
        <v>0.16323009842961633</v>
      </c>
      <c r="AL82" s="11">
        <f>AL35/AL67</f>
        <v>0.1772557180259843</v>
      </c>
      <c r="AM82" s="11"/>
      <c r="AS82" s="7"/>
    </row>
    <row r="83" spans="1:45" x14ac:dyDescent="0.3">
      <c r="A83" s="7"/>
      <c r="B83" s="7" t="s">
        <v>68</v>
      </c>
      <c r="C83" s="11"/>
      <c r="D83" s="11"/>
      <c r="E83" s="11"/>
      <c r="F83" s="11">
        <f>F80/(F76-F65)</f>
        <v>0.5556011834209077</v>
      </c>
      <c r="G83" s="11">
        <f t="shared" ref="G83:M83" si="170">G80/(G76-G65)</f>
        <v>0.50411393478777189</v>
      </c>
      <c r="H83" s="11">
        <f t="shared" si="170"/>
        <v>0.54005290005667861</v>
      </c>
      <c r="I83" s="11">
        <f t="shared" si="170"/>
        <v>0.57741353570539933</v>
      </c>
      <c r="J83" s="11">
        <f t="shared" si="170"/>
        <v>0.61064450534877557</v>
      </c>
      <c r="K83" s="11">
        <f t="shared" si="170"/>
        <v>0.64253722174442374</v>
      </c>
      <c r="L83" s="11">
        <f t="shared" si="170"/>
        <v>0.72955052598023584</v>
      </c>
      <c r="M83" s="11">
        <f t="shared" si="170"/>
        <v>0.80827868625660604</v>
      </c>
      <c r="N83" s="11">
        <f>N80/(N76-N65)</f>
        <v>0.87866358530127486</v>
      </c>
      <c r="O83" s="11">
        <f>O80/(O76-O65)</f>
        <v>0.96535999033582987</v>
      </c>
      <c r="P83" s="11" t="e">
        <f t="shared" ref="P83:T83" si="171">P80/(P76-P65)</f>
        <v>#DIV/0!</v>
      </c>
      <c r="Q83" s="11" t="e">
        <f t="shared" si="171"/>
        <v>#DIV/0!</v>
      </c>
      <c r="R83" s="11">
        <f t="shared" si="171"/>
        <v>1.5007132667617689</v>
      </c>
      <c r="S83" s="11" t="e">
        <f t="shared" si="171"/>
        <v>#DIV/0!</v>
      </c>
      <c r="T83" s="11" t="e">
        <f t="shared" si="171"/>
        <v>#DIV/0!</v>
      </c>
      <c r="U83" s="11">
        <f t="shared" ref="U83:Z83" si="172">U80/(U76-U65)</f>
        <v>1.7146471165264081</v>
      </c>
      <c r="V83" s="11">
        <f t="shared" si="172"/>
        <v>1.9695887275023682</v>
      </c>
      <c r="W83" s="11">
        <f t="shared" si="172"/>
        <v>1.6777019761312955</v>
      </c>
      <c r="X83" s="11">
        <f t="shared" si="172"/>
        <v>1.5174394285530421</v>
      </c>
      <c r="Y83" s="11" t="e">
        <f t="shared" si="172"/>
        <v>#DIV/0!</v>
      </c>
      <c r="Z83" s="11" t="e">
        <f t="shared" si="172"/>
        <v>#DIV/0!</v>
      </c>
      <c r="AA83" s="7"/>
      <c r="AB83" s="7"/>
      <c r="AC83" s="7"/>
      <c r="AD83" s="7"/>
      <c r="AE83" s="7"/>
      <c r="AF83" s="7"/>
      <c r="AG83" s="7"/>
      <c r="AH83" s="7"/>
      <c r="AI83" s="7"/>
      <c r="AJ83" s="11">
        <f>AJ35/(AJ76-AJ65)</f>
        <v>0.5556011834209077</v>
      </c>
      <c r="AK83" s="11">
        <f>AK35/(AK76-AK65)</f>
        <v>0.61064450534877557</v>
      </c>
      <c r="AL83" s="11">
        <f>AL35/(AL76-AL65)</f>
        <v>0.87866358530127486</v>
      </c>
      <c r="AM83" s="7"/>
      <c r="AN83" s="7"/>
      <c r="AO83" s="7"/>
      <c r="AP83" s="7"/>
      <c r="AQ83" s="7"/>
      <c r="AR83" s="7"/>
      <c r="AS83" s="7"/>
    </row>
    <row r="84" spans="1:45" x14ac:dyDescent="0.3">
      <c r="B84" s="1" t="s">
        <v>69</v>
      </c>
      <c r="C84" s="11"/>
      <c r="D84" s="11"/>
      <c r="E84" s="11"/>
      <c r="F84" s="11">
        <f>F80/(F60+F61+F62+F63+F64+F66)</f>
        <v>0.46282604470359573</v>
      </c>
      <c r="G84" s="11">
        <f t="shared" ref="G84:M84" si="173">G80/(G60+G61+G62+G63+G64+G66)</f>
        <v>0.4618367473811818</v>
      </c>
      <c r="H84" s="11">
        <f t="shared" si="173"/>
        <v>0.49036341959223584</v>
      </c>
      <c r="I84" s="11">
        <f t="shared" si="173"/>
        <v>0.49892948964874717</v>
      </c>
      <c r="J84" s="11">
        <f t="shared" si="173"/>
        <v>0.41665535598485876</v>
      </c>
      <c r="K84" s="11">
        <f t="shared" si="173"/>
        <v>0.43072995050802282</v>
      </c>
      <c r="L84" s="11">
        <f t="shared" si="173"/>
        <v>0.44854808868261781</v>
      </c>
      <c r="M84" s="11">
        <f t="shared" si="173"/>
        <v>0.47220089390351339</v>
      </c>
      <c r="N84" s="11">
        <f>N80/(N60+N61+N62+N63+N64+N66)</f>
        <v>0.43474079571097546</v>
      </c>
      <c r="O84" s="11">
        <f>O80/(O60+O61+O62+O63+O64+O66)</f>
        <v>0.40338711407532668</v>
      </c>
      <c r="P84" s="11" t="e">
        <f t="shared" ref="P84:T84" si="174">P80/(P60+P61+P62+P63+P64+P66)</f>
        <v>#DIV/0!</v>
      </c>
      <c r="Q84" s="11" t="e">
        <f t="shared" si="174"/>
        <v>#DIV/0!</v>
      </c>
      <c r="R84" s="11">
        <f t="shared" si="174"/>
        <v>0.5899580025672021</v>
      </c>
      <c r="S84" s="11" t="e">
        <f t="shared" si="174"/>
        <v>#DIV/0!</v>
      </c>
      <c r="T84" s="11" t="e">
        <f t="shared" si="174"/>
        <v>#DIV/0!</v>
      </c>
      <c r="U84" s="11">
        <f t="shared" ref="U84:Z84" si="175">U80/(U60+U61+U62+U63+U64+U66)</f>
        <v>0.63460105349647455</v>
      </c>
      <c r="V84" s="11">
        <f t="shared" si="175"/>
        <v>0.54345316532894805</v>
      </c>
      <c r="W84" s="11">
        <f t="shared" si="175"/>
        <v>0.52494525557510607</v>
      </c>
      <c r="X84" s="11">
        <f t="shared" si="175"/>
        <v>0.56879157193943086</v>
      </c>
      <c r="Y84" s="11" t="e">
        <f t="shared" si="175"/>
        <v>#DIV/0!</v>
      </c>
      <c r="Z84" s="11" t="e">
        <f t="shared" si="175"/>
        <v>#DIV/0!</v>
      </c>
      <c r="AJ84" s="11">
        <f>AJ35/(AJ60+AJ61+AJ62+AJ63+AJ64+AJ66)</f>
        <v>0.46282604470359573</v>
      </c>
      <c r="AK84" s="11">
        <f>AK35/(AK60+AK61+AK62+AK63+AK64+AK66)</f>
        <v>0.41665535598485876</v>
      </c>
      <c r="AL84" s="11">
        <f>AL35/(AL60+AL61+AL62+AL63+AL64+AL66)</f>
        <v>0.43474079571097546</v>
      </c>
    </row>
  </sheetData>
  <phoneticPr fontId="5" type="noConversion"/>
  <conditionalFormatting sqref="AW48">
    <cfRule type="cellIs" dxfId="1" priority="1" operator="lessThan">
      <formula>0</formula>
    </cfRule>
    <cfRule type="cellIs" dxfId="0" priority="2" operator="greaterThan">
      <formula>0</formula>
    </cfRule>
  </conditionalFormatting>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WACC</vt:lpstr>
      <vt:lpstr>DCF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Bill Sheldon</cp:lastModifiedBy>
  <dcterms:created xsi:type="dcterms:W3CDTF">2020-07-03T05:06:46Z</dcterms:created>
  <dcterms:modified xsi:type="dcterms:W3CDTF">2023-06-15T03:49:10Z</dcterms:modified>
</cp:coreProperties>
</file>