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wlshe\Documents\Models\"/>
    </mc:Choice>
  </mc:AlternateContent>
  <xr:revisionPtr revIDLastSave="0" documentId="13_ncr:1_{89B5E915-ECE6-4131-9471-F92809714166}" xr6:coauthVersionLast="47" xr6:coauthVersionMax="47" xr10:uidLastSave="{00000000-0000-0000-0000-000000000000}"/>
  <bookViews>
    <workbookView xWindow="-108" yWindow="-108" windowWidth="23256" windowHeight="12456" activeTab="1" xr2:uid="{5316ADCB-5E57-468D-A303-E1ECABA7A5FA}"/>
  </bookViews>
  <sheets>
    <sheet name="Main" sheetId="1" r:id="rId1"/>
    <sheet name="Model" sheetId="2" r:id="rId2"/>
    <sheet name="WACC"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Y3" i="2" l="1"/>
  <c r="AZ3" i="2"/>
  <c r="BA3" i="2" s="1"/>
  <c r="BB3" i="2" s="1"/>
  <c r="AX13" i="2"/>
  <c r="AW13" i="2"/>
  <c r="BB4" i="2"/>
  <c r="BA4" i="2"/>
  <c r="AZ4" i="2"/>
  <c r="AZ15" i="2"/>
  <c r="BA15" i="2" s="1"/>
  <c r="BB15" i="2" s="1"/>
  <c r="AY15" i="2"/>
  <c r="AX15" i="2"/>
  <c r="AX11" i="2"/>
  <c r="AY11" i="2" s="1"/>
  <c r="AZ11" i="2" s="1"/>
  <c r="BA11" i="2" s="1"/>
  <c r="BB11" i="2" s="1"/>
  <c r="AY10" i="2"/>
  <c r="AZ10" i="2" s="1"/>
  <c r="BA10" i="2" s="1"/>
  <c r="BB10" i="2" s="1"/>
  <c r="AX10" i="2"/>
  <c r="AX7" i="2"/>
  <c r="AY7" i="2" s="1"/>
  <c r="AZ7" i="2" s="1"/>
  <c r="BA7" i="2" s="1"/>
  <c r="BB7" i="2" s="1"/>
  <c r="AY6" i="2"/>
  <c r="AZ6" i="2" s="1"/>
  <c r="BA6" i="2" s="1"/>
  <c r="AX6" i="2"/>
  <c r="AY4" i="2"/>
  <c r="AX4" i="2"/>
  <c r="AX3" i="2"/>
  <c r="AH15" i="2"/>
  <c r="AG15" i="2"/>
  <c r="AF15" i="2"/>
  <c r="AE15" i="2"/>
  <c r="AH13" i="2"/>
  <c r="AG13" i="2"/>
  <c r="AF13" i="2"/>
  <c r="AE13" i="2"/>
  <c r="AH11" i="2"/>
  <c r="AG11" i="2"/>
  <c r="AF11" i="2"/>
  <c r="AE11" i="2"/>
  <c r="AH10" i="2"/>
  <c r="AG10" i="2"/>
  <c r="AF10" i="2"/>
  <c r="AE10" i="2"/>
  <c r="AH7" i="2"/>
  <c r="AG7" i="2"/>
  <c r="AF7" i="2"/>
  <c r="AE7" i="2"/>
  <c r="AH6" i="2"/>
  <c r="AG6" i="2"/>
  <c r="AF6" i="2"/>
  <c r="AE6" i="2"/>
  <c r="AH4" i="2"/>
  <c r="AG4" i="2"/>
  <c r="AF4" i="2"/>
  <c r="AE4" i="2"/>
  <c r="AH3" i="2"/>
  <c r="AG3" i="2"/>
  <c r="AF3" i="2"/>
  <c r="AE3" i="2"/>
  <c r="BH26" i="2"/>
  <c r="BB5" i="2" l="1"/>
  <c r="BB9" i="2" s="1"/>
  <c r="BB12" i="2" s="1"/>
  <c r="BB13" i="2" s="1"/>
  <c r="BB6" i="2"/>
  <c r="BB8" i="2" s="1"/>
  <c r="BA8" i="2"/>
  <c r="BB14" i="2" l="1"/>
  <c r="C13" i="3"/>
  <c r="C16" i="3" s="1"/>
  <c r="BB16" i="2" l="1"/>
  <c r="BC14" i="2"/>
  <c r="BD14" i="2" s="1"/>
  <c r="BE14" i="2" s="1"/>
  <c r="BF14" i="2" s="1"/>
  <c r="BG14" i="2" s="1"/>
  <c r="BH14" i="2" s="1"/>
  <c r="BI14" i="2" s="1"/>
  <c r="BJ14" i="2" s="1"/>
  <c r="BK14" i="2" s="1"/>
  <c r="BL14" i="2" s="1"/>
  <c r="BM14" i="2" s="1"/>
  <c r="BN14" i="2" s="1"/>
  <c r="BO14" i="2" s="1"/>
  <c r="BP14" i="2" s="1"/>
  <c r="BQ14" i="2" s="1"/>
  <c r="BR14" i="2" s="1"/>
  <c r="BS14" i="2" s="1"/>
  <c r="BT14" i="2" s="1"/>
  <c r="BU14" i="2" s="1"/>
  <c r="BV14" i="2" s="1"/>
  <c r="BW14" i="2" s="1"/>
  <c r="BX14" i="2" s="1"/>
  <c r="BY14" i="2" s="1"/>
  <c r="BZ14" i="2" s="1"/>
  <c r="CA14" i="2" s="1"/>
  <c r="CB14" i="2" s="1"/>
  <c r="CC14" i="2" s="1"/>
  <c r="CD14" i="2" s="1"/>
  <c r="CE14" i="2" s="1"/>
  <c r="CF14" i="2" s="1"/>
  <c r="CG14" i="2" s="1"/>
  <c r="CH14" i="2" s="1"/>
  <c r="CI14" i="2" s="1"/>
  <c r="CJ14" i="2" s="1"/>
  <c r="CK14" i="2" s="1"/>
  <c r="CL14" i="2" s="1"/>
  <c r="CM14" i="2" s="1"/>
  <c r="CN14" i="2" s="1"/>
  <c r="CO14" i="2" s="1"/>
  <c r="CP14" i="2" s="1"/>
  <c r="CQ14" i="2" s="1"/>
  <c r="CR14" i="2" s="1"/>
  <c r="CS14" i="2" s="1"/>
  <c r="CT14" i="2" s="1"/>
  <c r="CU14" i="2" s="1"/>
  <c r="CV14" i="2" s="1"/>
  <c r="CW14" i="2" s="1"/>
  <c r="CX14" i="2" s="1"/>
  <c r="CY14" i="2" s="1"/>
  <c r="CZ14" i="2" s="1"/>
  <c r="DA14" i="2" s="1"/>
  <c r="DB14" i="2" s="1"/>
  <c r="DC14" i="2" s="1"/>
  <c r="DD14" i="2" s="1"/>
  <c r="DE14" i="2" s="1"/>
  <c r="DF14" i="2" s="1"/>
  <c r="DG14" i="2" s="1"/>
  <c r="DH14" i="2" s="1"/>
  <c r="DI14" i="2" s="1"/>
  <c r="DJ14" i="2" s="1"/>
  <c r="DK14" i="2" s="1"/>
  <c r="DL14" i="2" s="1"/>
  <c r="DM14" i="2" s="1"/>
  <c r="DN14" i="2" s="1"/>
  <c r="DO14" i="2" s="1"/>
  <c r="DP14" i="2" s="1"/>
  <c r="DQ14" i="2" s="1"/>
  <c r="DR14" i="2" s="1"/>
  <c r="DS14" i="2" s="1"/>
  <c r="DT14" i="2" s="1"/>
  <c r="DU14" i="2" s="1"/>
  <c r="DV14" i="2" s="1"/>
  <c r="DW14" i="2" s="1"/>
  <c r="DX14" i="2" s="1"/>
  <c r="DY14" i="2" s="1"/>
  <c r="DZ14" i="2" s="1"/>
  <c r="EA14" i="2" s="1"/>
  <c r="EB14" i="2" s="1"/>
  <c r="EC14" i="2" s="1"/>
  <c r="ED14" i="2" s="1"/>
  <c r="EE14" i="2" s="1"/>
  <c r="EF14" i="2" s="1"/>
  <c r="EG14" i="2" s="1"/>
  <c r="EH14" i="2" s="1"/>
  <c r="EI14" i="2" s="1"/>
  <c r="EJ14" i="2" s="1"/>
  <c r="EK14" i="2" s="1"/>
  <c r="EL14" i="2" s="1"/>
  <c r="EM14" i="2" s="1"/>
  <c r="EN14" i="2" s="1"/>
  <c r="EO14" i="2" s="1"/>
  <c r="EP14" i="2" s="1"/>
  <c r="EQ14" i="2" s="1"/>
  <c r="ER14" i="2" s="1"/>
  <c r="ES14" i="2" s="1"/>
  <c r="ET14" i="2" s="1"/>
  <c r="EU14" i="2" s="1"/>
  <c r="EV14" i="2" s="1"/>
  <c r="EW14" i="2" s="1"/>
  <c r="EX14" i="2" s="1"/>
  <c r="EY14" i="2" s="1"/>
  <c r="EZ14" i="2" s="1"/>
  <c r="FA14" i="2" s="1"/>
  <c r="FB14" i="2" s="1"/>
  <c r="FC14" i="2" s="1"/>
  <c r="FD14" i="2" s="1"/>
  <c r="FE14" i="2" s="1"/>
  <c r="FF14" i="2" s="1"/>
  <c r="FG14" i="2" s="1"/>
  <c r="FH14" i="2" s="1"/>
  <c r="FI14" i="2" s="1"/>
  <c r="FJ14" i="2" s="1"/>
  <c r="FK14" i="2" s="1"/>
  <c r="FL14" i="2" s="1"/>
  <c r="FM14" i="2" s="1"/>
  <c r="FN14" i="2" s="1"/>
  <c r="FO14" i="2" s="1"/>
  <c r="FP14" i="2" s="1"/>
  <c r="FQ14" i="2" s="1"/>
  <c r="FR14" i="2" s="1"/>
  <c r="FS14" i="2" s="1"/>
  <c r="FT14" i="2" s="1"/>
  <c r="FU14" i="2" s="1"/>
  <c r="FV14" i="2" s="1"/>
  <c r="FW14" i="2" s="1"/>
  <c r="FX14" i="2" s="1"/>
  <c r="FY14" i="2" s="1"/>
  <c r="FZ14" i="2" s="1"/>
  <c r="GA14" i="2" s="1"/>
  <c r="GB14" i="2" s="1"/>
  <c r="GC14" i="2" s="1"/>
  <c r="GD14" i="2" s="1"/>
  <c r="GE14" i="2" s="1"/>
  <c r="GF14" i="2" s="1"/>
  <c r="GG14" i="2" s="1"/>
  <c r="GH14" i="2" s="1"/>
  <c r="GI14" i="2" s="1"/>
  <c r="GJ14" i="2" s="1"/>
  <c r="GK14" i="2" s="1"/>
  <c r="GL14" i="2" s="1"/>
  <c r="GM14" i="2" s="1"/>
  <c r="GN14" i="2" s="1"/>
  <c r="GO14" i="2" s="1"/>
  <c r="GP14" i="2" s="1"/>
  <c r="GQ14" i="2" s="1"/>
  <c r="GR14" i="2" s="1"/>
  <c r="GS14" i="2" s="1"/>
  <c r="GT14" i="2" s="1"/>
  <c r="GU14" i="2" s="1"/>
  <c r="GV14" i="2" s="1"/>
  <c r="GW14" i="2" s="1"/>
  <c r="GX14" i="2" s="1"/>
  <c r="GY14" i="2" s="1"/>
  <c r="GZ14" i="2" s="1"/>
  <c r="HA14" i="2" s="1"/>
  <c r="HB14" i="2" s="1"/>
  <c r="HC14" i="2" s="1"/>
  <c r="HD14" i="2" s="1"/>
  <c r="HE14" i="2" s="1"/>
  <c r="HF14" i="2" s="1"/>
  <c r="HG14" i="2" s="1"/>
  <c r="HH14" i="2" s="1"/>
  <c r="HI14" i="2" s="1"/>
  <c r="HJ14" i="2" s="1"/>
  <c r="HK14" i="2" s="1"/>
  <c r="HL14" i="2" s="1"/>
  <c r="HM14" i="2" s="1"/>
  <c r="HN14" i="2" s="1"/>
  <c r="HO14" i="2" s="1"/>
  <c r="HP14" i="2" s="1"/>
  <c r="HQ14" i="2" s="1"/>
  <c r="HR14" i="2" s="1"/>
  <c r="HS14" i="2" s="1"/>
  <c r="HT14" i="2" s="1"/>
  <c r="HU14" i="2" s="1"/>
  <c r="HV14" i="2" s="1"/>
  <c r="HW14" i="2" s="1"/>
  <c r="HX14" i="2" s="1"/>
  <c r="HY14" i="2" s="1"/>
  <c r="HZ14" i="2" s="1"/>
  <c r="IA14" i="2" s="1"/>
  <c r="IB14" i="2" s="1"/>
  <c r="IC14" i="2" s="1"/>
  <c r="ID14" i="2" s="1"/>
  <c r="IE14" i="2" s="1"/>
  <c r="IF14" i="2" s="1"/>
  <c r="IG14" i="2" s="1"/>
  <c r="IH14" i="2" s="1"/>
  <c r="II14" i="2" s="1"/>
  <c r="IJ14" i="2" s="1"/>
  <c r="IK14" i="2" s="1"/>
  <c r="IL14" i="2" s="1"/>
  <c r="IM14" i="2" s="1"/>
  <c r="IN14" i="2" s="1"/>
  <c r="IO14" i="2" s="1"/>
  <c r="IP14" i="2" s="1"/>
  <c r="IQ14" i="2" s="1"/>
  <c r="IR14" i="2" s="1"/>
  <c r="IS14" i="2" s="1"/>
  <c r="IT14" i="2" s="1"/>
  <c r="IU14" i="2" s="1"/>
  <c r="IV14" i="2" s="1"/>
  <c r="IW14" i="2" s="1"/>
  <c r="IX14" i="2" s="1"/>
  <c r="IY14" i="2" s="1"/>
  <c r="IZ14" i="2" s="1"/>
  <c r="JA14" i="2" s="1"/>
  <c r="JB14" i="2" s="1"/>
  <c r="JC14" i="2" s="1"/>
  <c r="JD14" i="2" s="1"/>
  <c r="JE14" i="2" s="1"/>
  <c r="JF14" i="2" s="1"/>
  <c r="JG14" i="2" s="1"/>
  <c r="JH14" i="2" s="1"/>
  <c r="JI14" i="2" s="1"/>
  <c r="JJ14" i="2" s="1"/>
  <c r="JK14" i="2" s="1"/>
  <c r="JL14" i="2" s="1"/>
  <c r="JM14" i="2" s="1"/>
  <c r="JN14" i="2" s="1"/>
  <c r="JO14" i="2" s="1"/>
  <c r="JP14" i="2" s="1"/>
  <c r="JQ14" i="2" s="1"/>
  <c r="JR14" i="2" s="1"/>
  <c r="JS14" i="2" s="1"/>
  <c r="JT14" i="2" s="1"/>
  <c r="JU14" i="2" s="1"/>
  <c r="JV14" i="2" s="1"/>
  <c r="JW14" i="2" s="1"/>
  <c r="JX14" i="2" s="1"/>
  <c r="JY14" i="2" s="1"/>
  <c r="JZ14" i="2" s="1"/>
  <c r="KA14" i="2" s="1"/>
  <c r="KB14" i="2" s="1"/>
  <c r="KC14" i="2" s="1"/>
  <c r="KD14" i="2" s="1"/>
  <c r="KE14" i="2" s="1"/>
  <c r="KF14" i="2" s="1"/>
  <c r="KG14" i="2" s="1"/>
  <c r="KH14" i="2" s="1"/>
  <c r="KI14" i="2" s="1"/>
  <c r="KJ14" i="2" s="1"/>
  <c r="KK14" i="2" s="1"/>
  <c r="KL14" i="2" s="1"/>
  <c r="KM14" i="2" s="1"/>
  <c r="KN14" i="2" s="1"/>
  <c r="KO14" i="2" s="1"/>
  <c r="KP14" i="2" s="1"/>
  <c r="KQ14" i="2" s="1"/>
  <c r="KR14" i="2" s="1"/>
  <c r="KS14" i="2" s="1"/>
  <c r="KT14" i="2" s="1"/>
  <c r="KU14" i="2" s="1"/>
  <c r="KV14" i="2" s="1"/>
  <c r="KW14" i="2" s="1"/>
  <c r="KX14" i="2" s="1"/>
  <c r="KY14" i="2" s="1"/>
  <c r="KZ14" i="2" s="1"/>
  <c r="LA14" i="2" s="1"/>
  <c r="LB14" i="2" s="1"/>
  <c r="LC14" i="2" s="1"/>
  <c r="LD14" i="2" s="1"/>
  <c r="LE14" i="2" s="1"/>
  <c r="LF14" i="2" s="1"/>
  <c r="LG14" i="2" s="1"/>
  <c r="LH14" i="2" s="1"/>
  <c r="LI14" i="2" s="1"/>
  <c r="LJ14" i="2" s="1"/>
  <c r="LK14" i="2" s="1"/>
  <c r="LL14" i="2" s="1"/>
  <c r="LM14" i="2" s="1"/>
  <c r="LN14" i="2" s="1"/>
  <c r="LO14" i="2" s="1"/>
  <c r="LP14" i="2" s="1"/>
  <c r="LQ14" i="2" s="1"/>
  <c r="LR14" i="2" s="1"/>
  <c r="LS14" i="2" s="1"/>
  <c r="LT14" i="2" s="1"/>
  <c r="LU14" i="2" s="1"/>
  <c r="LV14" i="2" s="1"/>
  <c r="LW14" i="2" s="1"/>
  <c r="LX14" i="2" s="1"/>
  <c r="LY14" i="2" s="1"/>
  <c r="LZ14" i="2" s="1"/>
  <c r="MA14" i="2" s="1"/>
  <c r="MB14" i="2" s="1"/>
  <c r="MC14" i="2" s="1"/>
  <c r="MD14" i="2" s="1"/>
  <c r="ME14" i="2" s="1"/>
  <c r="MF14" i="2" s="1"/>
  <c r="MG14" i="2" s="1"/>
  <c r="MH14" i="2" s="1"/>
  <c r="MI14" i="2" s="1"/>
  <c r="MJ14" i="2" s="1"/>
  <c r="MK14" i="2" s="1"/>
  <c r="ML14" i="2" s="1"/>
  <c r="MM14" i="2" s="1"/>
  <c r="MN14" i="2" s="1"/>
  <c r="MO14" i="2" s="1"/>
  <c r="MP14" i="2" s="1"/>
  <c r="MQ14" i="2" s="1"/>
  <c r="MR14" i="2" s="1"/>
  <c r="MS14" i="2" s="1"/>
  <c r="MT14" i="2" s="1"/>
  <c r="MU14" i="2" s="1"/>
  <c r="MV14" i="2" s="1"/>
  <c r="MW14" i="2" s="1"/>
  <c r="MX14" i="2" s="1"/>
  <c r="MY14" i="2" s="1"/>
  <c r="MZ14" i="2" s="1"/>
  <c r="NA14" i="2" s="1"/>
  <c r="NB14" i="2" s="1"/>
  <c r="NC14" i="2" s="1"/>
  <c r="ND14" i="2" s="1"/>
  <c r="NE14" i="2" s="1"/>
  <c r="NF14" i="2" s="1"/>
  <c r="NG14" i="2" s="1"/>
  <c r="NH14" i="2" s="1"/>
  <c r="NI14" i="2" s="1"/>
  <c r="NJ14" i="2" s="1"/>
  <c r="NK14" i="2" s="1"/>
  <c r="NL14" i="2" s="1"/>
  <c r="NM14" i="2" s="1"/>
  <c r="NN14" i="2" s="1"/>
  <c r="NO14" i="2" s="1"/>
  <c r="NP14" i="2" s="1"/>
  <c r="NQ14" i="2" s="1"/>
  <c r="NR14" i="2" s="1"/>
  <c r="NS14" i="2" s="1"/>
  <c r="NT14" i="2" s="1"/>
  <c r="NU14" i="2" s="1"/>
  <c r="NV14" i="2" s="1"/>
  <c r="NW14" i="2" s="1"/>
  <c r="NX14" i="2" s="1"/>
  <c r="NY14" i="2" s="1"/>
  <c r="NZ14" i="2" s="1"/>
  <c r="OA14" i="2" s="1"/>
  <c r="OB14" i="2" s="1"/>
  <c r="OC14" i="2" s="1"/>
  <c r="OD14" i="2" s="1"/>
  <c r="OE14" i="2" s="1"/>
  <c r="OF14" i="2" s="1"/>
  <c r="OG14" i="2" s="1"/>
  <c r="OH14" i="2" s="1"/>
  <c r="OI14" i="2" s="1"/>
  <c r="OJ14" i="2" s="1"/>
  <c r="OK14" i="2" s="1"/>
  <c r="OL14" i="2" s="1"/>
  <c r="OM14" i="2" s="1"/>
  <c r="ON14" i="2" s="1"/>
  <c r="OO14" i="2" s="1"/>
  <c r="OP14" i="2" s="1"/>
  <c r="OQ14" i="2" s="1"/>
  <c r="OR14" i="2" s="1"/>
  <c r="OS14" i="2" s="1"/>
  <c r="OT14" i="2" s="1"/>
  <c r="OU14" i="2" s="1"/>
  <c r="OV14" i="2" s="1"/>
  <c r="OW14" i="2" s="1"/>
  <c r="OX14" i="2" s="1"/>
  <c r="OY14" i="2" s="1"/>
  <c r="OZ14" i="2" s="1"/>
  <c r="PA14" i="2" s="1"/>
  <c r="PB14" i="2" s="1"/>
  <c r="PC14" i="2" s="1"/>
  <c r="PD14" i="2" s="1"/>
  <c r="PE14" i="2" s="1"/>
  <c r="PF14" i="2" s="1"/>
  <c r="PG14" i="2" s="1"/>
  <c r="PH14" i="2" s="1"/>
  <c r="PI14" i="2" s="1"/>
  <c r="PJ14" i="2" s="1"/>
  <c r="PK14" i="2" s="1"/>
  <c r="PL14" i="2" s="1"/>
  <c r="PM14" i="2" s="1"/>
  <c r="PN14" i="2" s="1"/>
  <c r="PO14" i="2" s="1"/>
  <c r="PP14" i="2" s="1"/>
  <c r="PQ14" i="2" s="1"/>
  <c r="PR14" i="2" s="1"/>
  <c r="PS14" i="2" s="1"/>
  <c r="PT14" i="2" s="1"/>
  <c r="PU14" i="2" s="1"/>
  <c r="PV14" i="2" s="1"/>
  <c r="PW14" i="2" s="1"/>
  <c r="PX14" i="2" s="1"/>
  <c r="PY14" i="2" s="1"/>
  <c r="PZ14" i="2" s="1"/>
  <c r="QA14" i="2" s="1"/>
  <c r="QB14" i="2" s="1"/>
  <c r="QC14" i="2" s="1"/>
  <c r="QD14" i="2" s="1"/>
  <c r="QE14" i="2" s="1"/>
  <c r="QF14" i="2" s="1"/>
  <c r="QG14" i="2" s="1"/>
  <c r="QH14" i="2" s="1"/>
  <c r="QI14" i="2" s="1"/>
  <c r="QJ14" i="2" s="1"/>
  <c r="QK14" i="2" s="1"/>
  <c r="QL14" i="2" s="1"/>
  <c r="QM14" i="2" s="1"/>
  <c r="QN14" i="2" s="1"/>
  <c r="QO14" i="2" s="1"/>
  <c r="QP14" i="2" s="1"/>
  <c r="QQ14" i="2" s="1"/>
  <c r="QR14" i="2" s="1"/>
  <c r="QS14" i="2" s="1"/>
  <c r="QT14" i="2" s="1"/>
  <c r="QU14" i="2" s="1"/>
  <c r="QV14" i="2" s="1"/>
  <c r="QW14" i="2" s="1"/>
  <c r="QX14" i="2" s="1"/>
  <c r="QY14" i="2" s="1"/>
  <c r="QZ14" i="2" s="1"/>
  <c r="RA14" i="2" s="1"/>
  <c r="RB14" i="2" s="1"/>
  <c r="RC14" i="2" s="1"/>
  <c r="RD14" i="2" s="1"/>
  <c r="RE14" i="2" s="1"/>
  <c r="RF14" i="2" s="1"/>
  <c r="RG14" i="2" s="1"/>
  <c r="RH14" i="2" s="1"/>
  <c r="RI14" i="2" s="1"/>
  <c r="RJ14" i="2" s="1"/>
  <c r="RK14" i="2" s="1"/>
  <c r="RL14" i="2" s="1"/>
  <c r="RM14" i="2" s="1"/>
  <c r="RN14" i="2" s="1"/>
  <c r="RO14" i="2" s="1"/>
  <c r="RP14" i="2" s="1"/>
  <c r="RQ14" i="2" s="1"/>
  <c r="RR14" i="2" s="1"/>
  <c r="RS14" i="2" s="1"/>
  <c r="RT14" i="2" s="1"/>
  <c r="RU14" i="2" s="1"/>
  <c r="RV14" i="2" s="1"/>
  <c r="RW14" i="2" s="1"/>
  <c r="RX14" i="2" s="1"/>
  <c r="RY14" i="2" s="1"/>
  <c r="RZ14" i="2" s="1"/>
  <c r="SA14" i="2" s="1"/>
  <c r="SB14" i="2" s="1"/>
  <c r="SC14" i="2" s="1"/>
  <c r="SD14" i="2" s="1"/>
  <c r="SE14" i="2" s="1"/>
  <c r="SF14" i="2" s="1"/>
  <c r="SG14" i="2" s="1"/>
  <c r="SH14" i="2" s="1"/>
  <c r="SI14" i="2" s="1"/>
  <c r="SJ14" i="2" s="1"/>
  <c r="SK14" i="2" s="1"/>
  <c r="SL14" i="2" s="1"/>
  <c r="SM14" i="2" s="1"/>
  <c r="SN14" i="2" s="1"/>
  <c r="SO14" i="2" s="1"/>
  <c r="SP14" i="2" s="1"/>
  <c r="SQ14" i="2" s="1"/>
  <c r="SR14" i="2" s="1"/>
  <c r="SS14" i="2" s="1"/>
  <c r="C10" i="3"/>
  <c r="C11" i="3" s="1"/>
  <c r="C9" i="3"/>
  <c r="C3" i="3"/>
  <c r="AU20" i="2" l="1"/>
  <c r="AT20" i="2"/>
  <c r="AS20" i="2"/>
  <c r="AR20" i="2"/>
  <c r="AQ20" i="2"/>
  <c r="AV20" i="2"/>
  <c r="AV19" i="2"/>
  <c r="AU19" i="2"/>
  <c r="AT19" i="2"/>
  <c r="AS19" i="2"/>
  <c r="AR19" i="2"/>
  <c r="AQ19" i="2"/>
  <c r="AP19" i="2"/>
  <c r="AC20" i="2"/>
  <c r="AB20" i="2"/>
  <c r="AA20" i="2"/>
  <c r="Z20" i="2"/>
  <c r="Y20" i="2"/>
  <c r="X20" i="2"/>
  <c r="W20" i="2"/>
  <c r="V20" i="2"/>
  <c r="U20" i="2"/>
  <c r="T20" i="2"/>
  <c r="S20" i="2"/>
  <c r="R20" i="2"/>
  <c r="Q20" i="2"/>
  <c r="P20" i="2"/>
  <c r="O20" i="2"/>
  <c r="N20" i="2"/>
  <c r="M20" i="2"/>
  <c r="L20" i="2"/>
  <c r="K20" i="2"/>
  <c r="J20" i="2"/>
  <c r="I20" i="2"/>
  <c r="H20" i="2"/>
  <c r="G20" i="2"/>
  <c r="AD20" i="2"/>
  <c r="BB29" i="2"/>
  <c r="BA29" i="2"/>
  <c r="AZ29" i="2"/>
  <c r="AY29" i="2"/>
  <c r="BB26" i="2"/>
  <c r="BA26" i="2"/>
  <c r="AZ26" i="2"/>
  <c r="AY26" i="2"/>
  <c r="BB24" i="2"/>
  <c r="BA24" i="2"/>
  <c r="AZ24" i="2"/>
  <c r="AY24" i="2"/>
  <c r="BB23" i="2"/>
  <c r="BA23" i="2"/>
  <c r="AZ23" i="2"/>
  <c r="AY23" i="2"/>
  <c r="AU30" i="2"/>
  <c r="AT30" i="2"/>
  <c r="AU29" i="2"/>
  <c r="AT29" i="2"/>
  <c r="AS29" i="2"/>
  <c r="AR29" i="2"/>
  <c r="AQ29" i="2"/>
  <c r="AU28" i="2"/>
  <c r="AT28" i="2"/>
  <c r="AU27" i="2"/>
  <c r="AT27" i="2"/>
  <c r="AU26" i="2"/>
  <c r="AT26" i="2"/>
  <c r="AU25" i="2"/>
  <c r="AT25" i="2"/>
  <c r="AU24" i="2"/>
  <c r="AT24" i="2"/>
  <c r="AU23" i="2"/>
  <c r="AT23" i="2"/>
  <c r="BB33" i="2"/>
  <c r="AV33" i="2"/>
  <c r="AU33" i="2"/>
  <c r="AT33" i="2"/>
  <c r="AS33" i="2"/>
  <c r="BB32" i="2"/>
  <c r="AV32" i="2"/>
  <c r="AU32" i="2"/>
  <c r="AT32" i="2"/>
  <c r="AS32" i="2"/>
  <c r="BB31" i="2"/>
  <c r="AV31" i="2"/>
  <c r="AU31" i="2"/>
  <c r="AT31" i="2"/>
  <c r="AS31" i="2"/>
  <c r="AV30" i="2"/>
  <c r="AV29" i="2"/>
  <c r="AV28" i="2"/>
  <c r="AV27" i="2"/>
  <c r="AV26" i="2"/>
  <c r="AV25" i="2"/>
  <c r="AV24" i="2"/>
  <c r="AV23" i="2"/>
  <c r="AD30" i="2"/>
  <c r="AC30" i="2"/>
  <c r="AB30" i="2"/>
  <c r="AA30" i="2"/>
  <c r="Z30" i="2"/>
  <c r="Y30" i="2"/>
  <c r="X30" i="2"/>
  <c r="W30" i="2"/>
  <c r="V30" i="2"/>
  <c r="U30" i="2"/>
  <c r="T30" i="2"/>
  <c r="S30" i="2"/>
  <c r="AH29" i="2"/>
  <c r="AG29" i="2"/>
  <c r="AF29" i="2"/>
  <c r="AE29" i="2"/>
  <c r="AD29" i="2"/>
  <c r="AC29" i="2"/>
  <c r="AB29" i="2"/>
  <c r="AA29" i="2"/>
  <c r="Z29" i="2"/>
  <c r="Y29" i="2"/>
  <c r="X29" i="2"/>
  <c r="W29" i="2"/>
  <c r="V29" i="2"/>
  <c r="U29" i="2"/>
  <c r="T29" i="2"/>
  <c r="S29" i="2"/>
  <c r="R29" i="2"/>
  <c r="Q29" i="2"/>
  <c r="P29" i="2"/>
  <c r="O29" i="2"/>
  <c r="N29" i="2"/>
  <c r="M29" i="2"/>
  <c r="L29" i="2"/>
  <c r="K29" i="2"/>
  <c r="J29" i="2"/>
  <c r="I29" i="2"/>
  <c r="H29" i="2"/>
  <c r="AD28" i="2"/>
  <c r="AC28" i="2"/>
  <c r="AB28" i="2"/>
  <c r="AA28" i="2"/>
  <c r="Z28" i="2"/>
  <c r="Y28" i="2"/>
  <c r="X28" i="2"/>
  <c r="W28" i="2"/>
  <c r="V28" i="2"/>
  <c r="U28" i="2"/>
  <c r="T28" i="2"/>
  <c r="S28" i="2"/>
  <c r="AD33" i="2"/>
  <c r="AC33" i="2"/>
  <c r="AB33" i="2"/>
  <c r="AA33" i="2"/>
  <c r="Z33" i="2"/>
  <c r="Y33" i="2"/>
  <c r="X33" i="2"/>
  <c r="W33" i="2"/>
  <c r="V33" i="2"/>
  <c r="U33" i="2"/>
  <c r="T33" i="2"/>
  <c r="S33" i="2"/>
  <c r="R33" i="2"/>
  <c r="Q33" i="2"/>
  <c r="P33" i="2"/>
  <c r="O33" i="2"/>
  <c r="AD32" i="2"/>
  <c r="AC32" i="2"/>
  <c r="AB32" i="2"/>
  <c r="AA32" i="2"/>
  <c r="Z32" i="2"/>
  <c r="Y32" i="2"/>
  <c r="X32" i="2"/>
  <c r="W32" i="2"/>
  <c r="V32" i="2"/>
  <c r="U32" i="2"/>
  <c r="T32" i="2"/>
  <c r="S32" i="2"/>
  <c r="R32" i="2"/>
  <c r="Q32" i="2"/>
  <c r="P32" i="2"/>
  <c r="O32" i="2"/>
  <c r="AD31" i="2"/>
  <c r="AC31" i="2"/>
  <c r="AB31" i="2"/>
  <c r="AA31" i="2"/>
  <c r="Z31" i="2"/>
  <c r="Y31" i="2"/>
  <c r="X31" i="2"/>
  <c r="W31" i="2"/>
  <c r="V31" i="2"/>
  <c r="U31" i="2"/>
  <c r="T31" i="2"/>
  <c r="S31" i="2"/>
  <c r="R31" i="2"/>
  <c r="Q31" i="2"/>
  <c r="P31" i="2"/>
  <c r="O31" i="2"/>
  <c r="E31" i="2"/>
  <c r="D31" i="2"/>
  <c r="G29" i="2"/>
  <c r="AD27" i="2"/>
  <c r="AC27" i="2"/>
  <c r="AB27" i="2"/>
  <c r="AA27" i="2"/>
  <c r="Z27" i="2"/>
  <c r="Y27" i="2"/>
  <c r="X27" i="2"/>
  <c r="W27" i="2"/>
  <c r="V27" i="2"/>
  <c r="U27" i="2"/>
  <c r="T27" i="2"/>
  <c r="S27" i="2"/>
  <c r="AD26" i="2"/>
  <c r="AC26" i="2"/>
  <c r="AB26" i="2"/>
  <c r="AA26" i="2"/>
  <c r="Z26" i="2"/>
  <c r="Y26" i="2"/>
  <c r="X26" i="2"/>
  <c r="W26" i="2"/>
  <c r="V26" i="2"/>
  <c r="U26" i="2"/>
  <c r="T26" i="2"/>
  <c r="S26" i="2"/>
  <c r="AD25" i="2"/>
  <c r="AC25" i="2"/>
  <c r="AB25" i="2"/>
  <c r="AA25" i="2"/>
  <c r="Z25" i="2"/>
  <c r="Y25" i="2"/>
  <c r="X25" i="2"/>
  <c r="W25" i="2"/>
  <c r="V25" i="2"/>
  <c r="U25" i="2"/>
  <c r="T25" i="2"/>
  <c r="S25" i="2"/>
  <c r="AH24" i="2"/>
  <c r="AG24" i="2"/>
  <c r="AF24" i="2"/>
  <c r="AE24" i="2"/>
  <c r="AD24" i="2"/>
  <c r="AC24" i="2"/>
  <c r="AB24" i="2"/>
  <c r="AA24" i="2"/>
  <c r="Z24" i="2"/>
  <c r="Y24" i="2"/>
  <c r="X24" i="2"/>
  <c r="W24" i="2"/>
  <c r="V24" i="2"/>
  <c r="U24" i="2"/>
  <c r="T24" i="2"/>
  <c r="S24" i="2"/>
  <c r="R24" i="2"/>
  <c r="Q24" i="2"/>
  <c r="P24" i="2"/>
  <c r="O24" i="2"/>
  <c r="N24" i="2"/>
  <c r="M24" i="2"/>
  <c r="L24" i="2"/>
  <c r="K24" i="2"/>
  <c r="J24" i="2"/>
  <c r="I24" i="2"/>
  <c r="H24" i="2"/>
  <c r="G24" i="2"/>
  <c r="AH23" i="2"/>
  <c r="AG23" i="2"/>
  <c r="AF23" i="2"/>
  <c r="AE23" i="2"/>
  <c r="AD23" i="2"/>
  <c r="AC23" i="2"/>
  <c r="AB23" i="2"/>
  <c r="AA23" i="2"/>
  <c r="Z23" i="2"/>
  <c r="Y23" i="2"/>
  <c r="X23" i="2"/>
  <c r="W23" i="2"/>
  <c r="V23" i="2"/>
  <c r="U23" i="2"/>
  <c r="T23" i="2"/>
  <c r="S23" i="2"/>
  <c r="R23" i="2"/>
  <c r="Q23" i="2"/>
  <c r="P23" i="2"/>
  <c r="N23" i="2"/>
  <c r="M23" i="2"/>
  <c r="L23" i="2"/>
  <c r="K23" i="2"/>
  <c r="J23" i="2"/>
  <c r="I23" i="2"/>
  <c r="H23" i="2"/>
  <c r="G23" i="2"/>
  <c r="O23" i="2"/>
  <c r="T9" i="2"/>
  <c r="Z9" i="2"/>
  <c r="AW11" i="2"/>
  <c r="AW10" i="2"/>
  <c r="AW7" i="2"/>
  <c r="AW6" i="2"/>
  <c r="AW4" i="2"/>
  <c r="AX24" i="2" s="1"/>
  <c r="AW3" i="2"/>
  <c r="AW23" i="2" s="1"/>
  <c r="AR13" i="2"/>
  <c r="AR11" i="2"/>
  <c r="AR10" i="2"/>
  <c r="AR7" i="2"/>
  <c r="AR6" i="2"/>
  <c r="AR4" i="2"/>
  <c r="AR3" i="2"/>
  <c r="AS13" i="2"/>
  <c r="AS11" i="2"/>
  <c r="AS10" i="2"/>
  <c r="AS7" i="2"/>
  <c r="AS6" i="2"/>
  <c r="AS4" i="2"/>
  <c r="AS3" i="2"/>
  <c r="AT13" i="2"/>
  <c r="AT11" i="2"/>
  <c r="AT10" i="2"/>
  <c r="AT7" i="2"/>
  <c r="AT6" i="2"/>
  <c r="AT4" i="2"/>
  <c r="AT3" i="2"/>
  <c r="AU13" i="2"/>
  <c r="AU11" i="2"/>
  <c r="AU10" i="2"/>
  <c r="AU7" i="2"/>
  <c r="AU6" i="2"/>
  <c r="AU4" i="2"/>
  <c r="AU3" i="2"/>
  <c r="AV13" i="2"/>
  <c r="AV11" i="2"/>
  <c r="AV10" i="2"/>
  <c r="AV7" i="2"/>
  <c r="AV6" i="2"/>
  <c r="AV4" i="2"/>
  <c r="AV3" i="2"/>
  <c r="AW15" i="2"/>
  <c r="AW29" i="2" s="1"/>
  <c r="AV15" i="2"/>
  <c r="AU15" i="2"/>
  <c r="AT15" i="2"/>
  <c r="AS15" i="2"/>
  <c r="AR15" i="2"/>
  <c r="AQ15" i="2"/>
  <c r="AP15" i="2"/>
  <c r="AQ13" i="2"/>
  <c r="AQ11" i="2"/>
  <c r="AQ10" i="2"/>
  <c r="AQ7" i="2"/>
  <c r="AQ6" i="2"/>
  <c r="AQ4" i="2"/>
  <c r="AQ3" i="2"/>
  <c r="AQ5" i="2" s="1"/>
  <c r="BA5" i="2"/>
  <c r="BA9" i="2" s="1"/>
  <c r="BA12" i="2" s="1"/>
  <c r="BA13" i="2" s="1"/>
  <c r="AZ5" i="2"/>
  <c r="AZ31" i="2" s="1"/>
  <c r="AY5" i="2"/>
  <c r="AZ25" i="2" s="1"/>
  <c r="AX5" i="2"/>
  <c r="AH5" i="2"/>
  <c r="AH31" i="2" s="1"/>
  <c r="AG5" i="2"/>
  <c r="AG31" i="2" s="1"/>
  <c r="AF5" i="2"/>
  <c r="AF25" i="2" s="1"/>
  <c r="AE5" i="2"/>
  <c r="AE25" i="2" s="1"/>
  <c r="AZ8" i="2"/>
  <c r="AY8" i="2"/>
  <c r="AX8" i="2"/>
  <c r="AW8" i="2"/>
  <c r="AP13" i="2"/>
  <c r="AP11" i="2"/>
  <c r="AP10" i="2"/>
  <c r="AP7" i="2"/>
  <c r="AP6" i="2"/>
  <c r="AP4" i="2"/>
  <c r="AP3" i="2"/>
  <c r="AH8" i="2"/>
  <c r="AH26" i="2" s="1"/>
  <c r="AG8" i="2"/>
  <c r="AG26" i="2" s="1"/>
  <c r="AF8" i="2"/>
  <c r="AF26" i="2" s="1"/>
  <c r="AE8" i="2"/>
  <c r="AE26" i="2" s="1"/>
  <c r="AC5" i="2"/>
  <c r="AB5" i="2"/>
  <c r="AA5" i="2"/>
  <c r="Z5" i="2"/>
  <c r="Y5" i="2"/>
  <c r="X5" i="2"/>
  <c r="W5" i="2"/>
  <c r="V5" i="2"/>
  <c r="U5" i="2"/>
  <c r="T5" i="2"/>
  <c r="S5" i="2"/>
  <c r="R5" i="2"/>
  <c r="Q5" i="2"/>
  <c r="P5" i="2"/>
  <c r="O5" i="2"/>
  <c r="N5" i="2"/>
  <c r="M5" i="2"/>
  <c r="L5" i="2"/>
  <c r="K5" i="2"/>
  <c r="J5" i="2"/>
  <c r="I5" i="2"/>
  <c r="H5" i="2"/>
  <c r="G5" i="2"/>
  <c r="F5" i="2"/>
  <c r="F31" i="2" s="1"/>
  <c r="E5" i="2"/>
  <c r="D5" i="2"/>
  <c r="C5" i="2"/>
  <c r="C31" i="2" s="1"/>
  <c r="AC8" i="2"/>
  <c r="AB8" i="2"/>
  <c r="AA8" i="2"/>
  <c r="Z8" i="2"/>
  <c r="Y8" i="2"/>
  <c r="X8" i="2"/>
  <c r="W8" i="2"/>
  <c r="V8" i="2"/>
  <c r="V9" i="2" s="1"/>
  <c r="V12" i="2" s="1"/>
  <c r="V14" i="2" s="1"/>
  <c r="V16" i="2" s="1"/>
  <c r="U8" i="2"/>
  <c r="T8" i="2"/>
  <c r="T12" i="2" s="1"/>
  <c r="T14" i="2" s="1"/>
  <c r="T16" i="2" s="1"/>
  <c r="S8" i="2"/>
  <c r="R8" i="2"/>
  <c r="Q8" i="2"/>
  <c r="P8" i="2"/>
  <c r="O8" i="2"/>
  <c r="N8" i="2"/>
  <c r="R26" i="2" s="1"/>
  <c r="M8" i="2"/>
  <c r="Q26" i="2" s="1"/>
  <c r="L8" i="2"/>
  <c r="P26" i="2" s="1"/>
  <c r="K8" i="2"/>
  <c r="O26" i="2" s="1"/>
  <c r="J8" i="2"/>
  <c r="N26" i="2" s="1"/>
  <c r="I8" i="2"/>
  <c r="H8" i="2"/>
  <c r="G8" i="2"/>
  <c r="F8" i="2"/>
  <c r="J26" i="2" s="1"/>
  <c r="E8" i="2"/>
  <c r="I26" i="2" s="1"/>
  <c r="D8" i="2"/>
  <c r="C8" i="2"/>
  <c r="AD8" i="2"/>
  <c r="AD9" i="2"/>
  <c r="AD12" i="2" s="1"/>
  <c r="AD14" i="2" s="1"/>
  <c r="AD16" i="2" s="1"/>
  <c r="AD5" i="2"/>
  <c r="C8" i="1"/>
  <c r="C7" i="1"/>
  <c r="C4" i="1" a="1"/>
  <c r="C4" i="1" s="1"/>
  <c r="AY25" i="2" l="1"/>
  <c r="BA14" i="2"/>
  <c r="AX26" i="2"/>
  <c r="AX31" i="2"/>
  <c r="BA31" i="2"/>
  <c r="BB25" i="2"/>
  <c r="BA25" i="2"/>
  <c r="BB27" i="2"/>
  <c r="BA33" i="2"/>
  <c r="BA32" i="2"/>
  <c r="AY31" i="2"/>
  <c r="C6" i="1"/>
  <c r="C4" i="3" s="1"/>
  <c r="C5" i="3" s="1"/>
  <c r="C6" i="3" s="1"/>
  <c r="BH29" i="2"/>
  <c r="AX29" i="2"/>
  <c r="AW26" i="2"/>
  <c r="AW24" i="2"/>
  <c r="AX23" i="2"/>
  <c r="AH9" i="2"/>
  <c r="AH12" i="2" s="1"/>
  <c r="AH14" i="2" s="1"/>
  <c r="AH16" i="2" s="1"/>
  <c r="AH30" i="2" s="1"/>
  <c r="AH25" i="2"/>
  <c r="AG25" i="2"/>
  <c r="AG9" i="2"/>
  <c r="AF9" i="2"/>
  <c r="AF31" i="2"/>
  <c r="AE31" i="2"/>
  <c r="AE9" i="2"/>
  <c r="G26" i="2"/>
  <c r="G25" i="2"/>
  <c r="H26" i="2"/>
  <c r="H25" i="2"/>
  <c r="AP8" i="2"/>
  <c r="AP5" i="2"/>
  <c r="AP31" i="2" s="1"/>
  <c r="AQ24" i="2"/>
  <c r="G31" i="2"/>
  <c r="K26" i="2"/>
  <c r="K9" i="2"/>
  <c r="K12" i="2" s="1"/>
  <c r="K14" i="2" s="1"/>
  <c r="K16" i="2" s="1"/>
  <c r="K31" i="2"/>
  <c r="O25" i="2"/>
  <c r="K25" i="2"/>
  <c r="H31" i="2"/>
  <c r="L9" i="2"/>
  <c r="L12" i="2" s="1"/>
  <c r="L14" i="2" s="1"/>
  <c r="L16" i="2" s="1"/>
  <c r="P30" i="2" s="1"/>
  <c r="L26" i="2"/>
  <c r="P25" i="2"/>
  <c r="L25" i="2"/>
  <c r="L31" i="2"/>
  <c r="I9" i="2"/>
  <c r="AQ23" i="2"/>
  <c r="I31" i="2"/>
  <c r="I25" i="2"/>
  <c r="AR8" i="2"/>
  <c r="AS26" i="2" s="1"/>
  <c r="M26" i="2"/>
  <c r="M9" i="2"/>
  <c r="M12" i="2" s="1"/>
  <c r="M14" i="2" s="1"/>
  <c r="M16" i="2" s="1"/>
  <c r="Q25" i="2"/>
  <c r="M25" i="2"/>
  <c r="M31" i="2"/>
  <c r="AQ8" i="2"/>
  <c r="J9" i="2"/>
  <c r="J12" i="2" s="1"/>
  <c r="J14" i="2" s="1"/>
  <c r="J16" i="2" s="1"/>
  <c r="J25" i="2"/>
  <c r="AR24" i="2"/>
  <c r="J31" i="2"/>
  <c r="AQ31" i="2"/>
  <c r="N9" i="2"/>
  <c r="N12" i="2" s="1"/>
  <c r="N14" i="2" s="1"/>
  <c r="N16" i="2" s="1"/>
  <c r="AR5" i="2"/>
  <c r="AR31" i="2" s="1"/>
  <c r="AS24" i="2"/>
  <c r="N25" i="2"/>
  <c r="AR25" i="2"/>
  <c r="AR23" i="2"/>
  <c r="N31" i="2"/>
  <c r="AS23" i="2"/>
  <c r="R25" i="2"/>
  <c r="O9" i="2"/>
  <c r="O12" i="2" s="1"/>
  <c r="O14" i="2" s="1"/>
  <c r="O16" i="2" s="1"/>
  <c r="S9" i="2"/>
  <c r="S12" i="2" s="1"/>
  <c r="S14" i="2" s="1"/>
  <c r="S16" i="2" s="1"/>
  <c r="U9" i="2"/>
  <c r="U12" i="2" s="1"/>
  <c r="U14" i="2" s="1"/>
  <c r="U16" i="2" s="1"/>
  <c r="AS8" i="2"/>
  <c r="AS5" i="2"/>
  <c r="AS9" i="2" s="1"/>
  <c r="AS12" i="2" s="1"/>
  <c r="AS14" i="2" s="1"/>
  <c r="AS16" i="2" s="1"/>
  <c r="R9" i="2"/>
  <c r="R12" i="2" s="1"/>
  <c r="R14" i="2" s="1"/>
  <c r="R16" i="2" s="1"/>
  <c r="AT8" i="2"/>
  <c r="AU8" i="2"/>
  <c r="AV8" i="2"/>
  <c r="AC9" i="2"/>
  <c r="AC12" i="2" s="1"/>
  <c r="AC14" i="2" s="1"/>
  <c r="AC16" i="2" s="1"/>
  <c r="AV5" i="2"/>
  <c r="AU5" i="2"/>
  <c r="AW5" i="2"/>
  <c r="AT5" i="2"/>
  <c r="AX9" i="2"/>
  <c r="AY9" i="2"/>
  <c r="AZ9" i="2"/>
  <c r="C9" i="2"/>
  <c r="W9" i="2"/>
  <c r="W12" i="2" s="1"/>
  <c r="W14" i="2" s="1"/>
  <c r="W16" i="2" s="1"/>
  <c r="D9" i="2"/>
  <c r="X9" i="2"/>
  <c r="X12" i="2" s="1"/>
  <c r="X14" i="2" s="1"/>
  <c r="X16" i="2" s="1"/>
  <c r="E9" i="2"/>
  <c r="Y9" i="2"/>
  <c r="Y12" i="2" s="1"/>
  <c r="Y14" i="2" s="1"/>
  <c r="Y16" i="2" s="1"/>
  <c r="F9" i="2"/>
  <c r="Z12" i="2"/>
  <c r="Z14" i="2" s="1"/>
  <c r="Z16" i="2" s="1"/>
  <c r="G9" i="2"/>
  <c r="AA9" i="2"/>
  <c r="AA12" i="2" s="1"/>
  <c r="AA14" i="2" s="1"/>
  <c r="AA16" i="2" s="1"/>
  <c r="H9" i="2"/>
  <c r="AB9" i="2"/>
  <c r="AB12" i="2" s="1"/>
  <c r="AB14" i="2" s="1"/>
  <c r="AB16" i="2" s="1"/>
  <c r="P9" i="2"/>
  <c r="P12" i="2" s="1"/>
  <c r="P14" i="2" s="1"/>
  <c r="P16" i="2" s="1"/>
  <c r="Q9" i="2"/>
  <c r="Q12" i="2" s="1"/>
  <c r="Q14" i="2" s="1"/>
  <c r="Q16" i="2" s="1"/>
  <c r="BA16" i="2" l="1"/>
  <c r="BB30" i="2" s="1"/>
  <c r="BB28" i="2"/>
  <c r="AZ12" i="2"/>
  <c r="AZ13" i="2" s="1"/>
  <c r="BA27" i="2"/>
  <c r="AZ32" i="2"/>
  <c r="AY12" i="2"/>
  <c r="AY13" i="2" s="1"/>
  <c r="AZ27" i="2"/>
  <c r="AY32" i="2"/>
  <c r="C7" i="3"/>
  <c r="C18" i="3" s="1"/>
  <c r="BH24" i="2" s="1"/>
  <c r="C9" i="1"/>
  <c r="AX12" i="2"/>
  <c r="AX32" i="2"/>
  <c r="AY27" i="2"/>
  <c r="AH27" i="2"/>
  <c r="AH28" i="2"/>
  <c r="AH32" i="2"/>
  <c r="AH33" i="2"/>
  <c r="AG12" i="2"/>
  <c r="AG27" i="2"/>
  <c r="AG32" i="2"/>
  <c r="AF12" i="2"/>
  <c r="AF32" i="2"/>
  <c r="AF27" i="2"/>
  <c r="AE12" i="2"/>
  <c r="AE32" i="2"/>
  <c r="AE27" i="2"/>
  <c r="AW9" i="2"/>
  <c r="AW25" i="2"/>
  <c r="AW31" i="2"/>
  <c r="AX25" i="2"/>
  <c r="C12" i="2"/>
  <c r="C32" i="2"/>
  <c r="D12" i="2"/>
  <c r="D32" i="2"/>
  <c r="AQ26" i="2"/>
  <c r="AP9" i="2"/>
  <c r="AP12" i="2" s="1"/>
  <c r="AQ25" i="2"/>
  <c r="E12" i="2"/>
  <c r="E32" i="2"/>
  <c r="F12" i="2"/>
  <c r="F32" i="2"/>
  <c r="G12" i="2"/>
  <c r="G32" i="2"/>
  <c r="G27" i="2"/>
  <c r="O30" i="2"/>
  <c r="O27" i="2"/>
  <c r="O28" i="2"/>
  <c r="K27" i="2"/>
  <c r="K33" i="2"/>
  <c r="K32" i="2"/>
  <c r="H12" i="2"/>
  <c r="H27" i="2"/>
  <c r="H32" i="2"/>
  <c r="P28" i="2"/>
  <c r="L27" i="2"/>
  <c r="L32" i="2"/>
  <c r="P27" i="2"/>
  <c r="L33" i="2"/>
  <c r="I12" i="2"/>
  <c r="I27" i="2"/>
  <c r="I32" i="2"/>
  <c r="M33" i="2"/>
  <c r="Q30" i="2"/>
  <c r="M32" i="2"/>
  <c r="Q27" i="2"/>
  <c r="M27" i="2"/>
  <c r="Q28" i="2"/>
  <c r="J33" i="2"/>
  <c r="J32" i="2"/>
  <c r="AQ9" i="2"/>
  <c r="AQ12" i="2" s="1"/>
  <c r="AR26" i="2"/>
  <c r="J27" i="2"/>
  <c r="N30" i="2"/>
  <c r="R30" i="2"/>
  <c r="N33" i="2"/>
  <c r="N32" i="2"/>
  <c r="R27" i="2"/>
  <c r="N27" i="2"/>
  <c r="R28" i="2"/>
  <c r="N28" i="2"/>
  <c r="AS25" i="2"/>
  <c r="AR9" i="2"/>
  <c r="AR12" i="2" s="1"/>
  <c r="AT9" i="2"/>
  <c r="AT12" i="2" s="1"/>
  <c r="AT14" i="2" s="1"/>
  <c r="AT16" i="2" s="1"/>
  <c r="AU9" i="2"/>
  <c r="AU12" i="2" s="1"/>
  <c r="AU14" i="2" s="1"/>
  <c r="AU16" i="2" s="1"/>
  <c r="AV9" i="2"/>
  <c r="AV12" i="2" s="1"/>
  <c r="AV14" i="2" s="1"/>
  <c r="AV16" i="2" s="1"/>
  <c r="AZ14" i="2" l="1"/>
  <c r="AZ33" i="2"/>
  <c r="AY14" i="2"/>
  <c r="AY33" i="2"/>
  <c r="AX14" i="2"/>
  <c r="AX33" i="2"/>
  <c r="AG14" i="2"/>
  <c r="AG33" i="2"/>
  <c r="AF14" i="2"/>
  <c r="AF33" i="2"/>
  <c r="AW12" i="2"/>
  <c r="AX27" i="2"/>
  <c r="AW32" i="2"/>
  <c r="AW27" i="2"/>
  <c r="AE14" i="2"/>
  <c r="AE33" i="2"/>
  <c r="C14" i="2"/>
  <c r="C16" i="2" s="1"/>
  <c r="C33" i="2"/>
  <c r="D14" i="2"/>
  <c r="D16" i="2" s="1"/>
  <c r="D33" i="2"/>
  <c r="AP32" i="2"/>
  <c r="E14" i="2"/>
  <c r="E16" i="2" s="1"/>
  <c r="E33" i="2"/>
  <c r="F14" i="2"/>
  <c r="F33" i="2"/>
  <c r="AP14" i="2"/>
  <c r="AP16" i="2" s="1"/>
  <c r="AP33" i="2"/>
  <c r="G14" i="2"/>
  <c r="G33" i="2"/>
  <c r="H14" i="2"/>
  <c r="H33" i="2"/>
  <c r="I14" i="2"/>
  <c r="I33" i="2"/>
  <c r="AQ27" i="2"/>
  <c r="AQ32" i="2"/>
  <c r="AQ14" i="2"/>
  <c r="AQ33" i="2"/>
  <c r="AR32" i="2"/>
  <c r="AR27" i="2"/>
  <c r="AS27" i="2"/>
  <c r="AR14" i="2"/>
  <c r="AR33" i="2"/>
  <c r="AZ16" i="2" l="1"/>
  <c r="BA30" i="2" s="1"/>
  <c r="BA28" i="2"/>
  <c r="AY16" i="2"/>
  <c r="AZ28" i="2"/>
  <c r="AX16" i="2"/>
  <c r="AY28" i="2"/>
  <c r="AG16" i="2"/>
  <c r="AG30" i="2" s="1"/>
  <c r="AG28" i="2"/>
  <c r="AF16" i="2"/>
  <c r="AF30" i="2" s="1"/>
  <c r="AF28" i="2"/>
  <c r="AE16" i="2"/>
  <c r="AE30" i="2" s="1"/>
  <c r="AE28" i="2"/>
  <c r="AW14" i="2"/>
  <c r="BH25" i="2" s="1"/>
  <c r="BH27" i="2" s="1"/>
  <c r="BH28" i="2" s="1"/>
  <c r="BH30" i="2" s="1"/>
  <c r="AW33" i="2"/>
  <c r="F16" i="2"/>
  <c r="J30" i="2" s="1"/>
  <c r="J28" i="2"/>
  <c r="G16" i="2"/>
  <c r="G28" i="2"/>
  <c r="K28" i="2"/>
  <c r="H16" i="2"/>
  <c r="H28" i="2"/>
  <c r="L28" i="2"/>
  <c r="I16" i="2"/>
  <c r="I28" i="2"/>
  <c r="M28" i="2"/>
  <c r="AQ16" i="2"/>
  <c r="AQ30" i="2" s="1"/>
  <c r="AQ28" i="2"/>
  <c r="AR16" i="2"/>
  <c r="AR28" i="2"/>
  <c r="AS28" i="2"/>
  <c r="AY30" i="2" l="1"/>
  <c r="AZ30" i="2"/>
  <c r="AW16" i="2"/>
  <c r="AW28" i="2"/>
  <c r="AX28" i="2"/>
  <c r="G30" i="2"/>
  <c r="K30" i="2"/>
  <c r="H30" i="2"/>
  <c r="L30" i="2"/>
  <c r="I30" i="2"/>
  <c r="M30" i="2"/>
  <c r="AS30" i="2"/>
  <c r="AR30" i="2"/>
  <c r="AX30" i="2" l="1"/>
  <c r="AW3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<sst xmlns="http://schemas.openxmlformats.org/spreadsheetml/2006/main" count="91" uniqueCount="89">
  <si>
    <t>Company</t>
  </si>
  <si>
    <t>Price</t>
  </si>
  <si>
    <t>Shares</t>
  </si>
  <si>
    <t>Market Cap</t>
  </si>
  <si>
    <t>Cash</t>
  </si>
  <si>
    <t>Debt</t>
  </si>
  <si>
    <t>EV</t>
  </si>
  <si>
    <t>Revenue</t>
  </si>
  <si>
    <t>COR</t>
  </si>
  <si>
    <t>Gross Profit</t>
  </si>
  <si>
    <t>R&amp;D</t>
  </si>
  <si>
    <t>SG&amp;A</t>
  </si>
  <si>
    <t>Opex</t>
  </si>
  <si>
    <t>Operating Income</t>
  </si>
  <si>
    <t>Other Income/(Expense)</t>
  </si>
  <si>
    <t>Interest &amp; Debt Expense</t>
  </si>
  <si>
    <t>Pretax Income</t>
  </si>
  <si>
    <t>Taxes</t>
  </si>
  <si>
    <t>Net Income</t>
  </si>
  <si>
    <t>EPS</t>
  </si>
  <si>
    <t>Dividend</t>
  </si>
  <si>
    <t>Revenue Y/Y</t>
  </si>
  <si>
    <t>COR Y/Y</t>
  </si>
  <si>
    <t>Opex Y/Y</t>
  </si>
  <si>
    <t>OI Y/Y</t>
  </si>
  <si>
    <t>GP Y/Y</t>
  </si>
  <si>
    <t>NI Y/Y</t>
  </si>
  <si>
    <t>Shares Y/Y</t>
  </si>
  <si>
    <t>EPS Y/Y</t>
  </si>
  <si>
    <t>GM</t>
  </si>
  <si>
    <t>OM</t>
  </si>
  <si>
    <t>Tax Rate</t>
  </si>
  <si>
    <t>1Q17</t>
  </si>
  <si>
    <t>2Q17</t>
  </si>
  <si>
    <t>3Q17</t>
  </si>
  <si>
    <t>4Q17</t>
  </si>
  <si>
    <t>1Q18</t>
  </si>
  <si>
    <t>2Q18</t>
  </si>
  <si>
    <t>3Q18</t>
  </si>
  <si>
    <t>4Q18</t>
  </si>
  <si>
    <t>1Q19</t>
  </si>
  <si>
    <t>2Q19</t>
  </si>
  <si>
    <t>3Q19</t>
  </si>
  <si>
    <t>4Q19</t>
  </si>
  <si>
    <t>1Q20</t>
  </si>
  <si>
    <t>2Q20</t>
  </si>
  <si>
    <t>3Q20</t>
  </si>
  <si>
    <t>4Q20</t>
  </si>
  <si>
    <t>1Q21</t>
  </si>
  <si>
    <t>2Q21</t>
  </si>
  <si>
    <t>3Q21</t>
  </si>
  <si>
    <t>4Q21</t>
  </si>
  <si>
    <t>1Q22</t>
  </si>
  <si>
    <t>2Q22</t>
  </si>
  <si>
    <t>3Q22</t>
  </si>
  <si>
    <t>4Q22</t>
  </si>
  <si>
    <t>1Q23</t>
  </si>
  <si>
    <t>2Q23</t>
  </si>
  <si>
    <t>3Q23</t>
  </si>
  <si>
    <t>4Q23</t>
  </si>
  <si>
    <t>1Q24</t>
  </si>
  <si>
    <t>2Q24</t>
  </si>
  <si>
    <t>3Q24</t>
  </si>
  <si>
    <t>4Q24</t>
  </si>
  <si>
    <t>Dividend Y/Y</t>
  </si>
  <si>
    <t>Equity</t>
  </si>
  <si>
    <t>D+E</t>
  </si>
  <si>
    <t>Wdebt</t>
  </si>
  <si>
    <t>Wequity</t>
  </si>
  <si>
    <t>Tax rate</t>
  </si>
  <si>
    <t>Interest expense</t>
  </si>
  <si>
    <t>Cost of debt</t>
  </si>
  <si>
    <t>Risk-free rate</t>
  </si>
  <si>
    <t>Beta</t>
  </si>
  <si>
    <t>Market return</t>
  </si>
  <si>
    <t>Cost of equity</t>
  </si>
  <si>
    <t>WACC</t>
  </si>
  <si>
    <t>5 year avg</t>
  </si>
  <si>
    <t xml:space="preserve">5yr t-bond as of 3/15/24 </t>
  </si>
  <si>
    <t>koyfin</t>
  </si>
  <si>
    <t>average</t>
  </si>
  <si>
    <t>Maturity</t>
  </si>
  <si>
    <t>Discount (WACC)</t>
  </si>
  <si>
    <t>NPV</t>
  </si>
  <si>
    <t>Net Cash</t>
  </si>
  <si>
    <t>Total Value</t>
  </si>
  <si>
    <t>Model Price</t>
  </si>
  <si>
    <t>Current Price</t>
  </si>
  <si>
    <t>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</si>
</sst>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b/>
      <sz val="11"/>
      <color theme="1"/>
      <name val="Arial"/>
      <family val="2"/>
    </font>
    <font>
      <sz val="8"/>
      <name val="Arial"/>
      <family val="2"/>
    </font>
    <font>
      <sz val="11"/>
      <color theme="1"/>
      <name val="Arial"/>
      <family val="2"/>
    </font>
  </fonts>
  <fills count="2">
    <fill>
      <patternFill patternType="none"/>
    </fill>
    <fill>
      <patternFill patternType="gray125"/>
    </fill>
  </fills>
  <borders count="3">
    <border>
      <left/>
      <right/>
      <top/>
      <bottom/>
      <diagonal/>
    </border>
    <border>
      <left/>
      <right style="thin">
        <color indexed="64"/>
      </right>
      <top/>
      <bottom/>
      <diagonal/>
    </border>
    <border>
      <left/>
      <right/>
      <top/>
      <bottom style="thin">
        <color indexed="64"/>
      </bottom>
      <diagonal/>
    </border>
  </borders>
  <cellStyleXfs count="2">
    <xf numFmtId="0" fontId="0" fillId="0" borderId="0"/>
    <xf numFmtId="9" fontId="3" fillId="0" borderId="0" applyFont="0" applyFill="0" applyBorder="0" applyAlignment="0" applyProtection="0"/>
  </cellStyleXfs>
  <cellXfs count="15">
    <xf numFmtId="0" fontId="0" fillId="0" borderId="0" xfId="0"/>
    <xf numFmtId="3" fontId="0" fillId="0" borderId="0" xfId="0" applyNumberFormat="1"/>
    <xf numFmtId="4" fontId="0" fillId="0" borderId="0" xfId="0" applyNumberFormat="1"/>
    <xf numFmtId="0" fontId="0" fillId="0" borderId="1" xfId="0" applyBorder="1"/>
    <xf numFmtId="0" fontId="1" fillId="0" borderId="0" xfId="0" applyFont="1"/>
    <xf numFmtId="3" fontId="1" fillId="0" borderId="0" xfId="0" applyNumberFormat="1" applyFont="1"/>
    <xf numFmtId="9" fontId="0" fillId="0" borderId="0" xfId="0" applyNumberFormat="1"/>
    <xf numFmtId="9" fontId="1" fillId="0" borderId="0" xfId="0" applyNumberFormat="1" applyFont="1"/>
    <xf numFmtId="0" fontId="3" fillId="0" borderId="0" xfId="0" applyFont="1"/>
    <xf numFmtId="0" fontId="1" fillId="0" borderId="2" xfId="0" applyFont="1" applyBorder="1"/>
    <xf numFmtId="10" fontId="0" fillId="0" borderId="0" xfId="0" applyNumberFormat="1"/>
    <xf numFmtId="9" fontId="3" fillId="0" borderId="0" xfId="0" applyNumberFormat="1" applyFont="1"/>
    <xf numFmtId="9" fontId="3" fillId="0" borderId="0" xfId="1" applyFont="1"/>
    <xf numFmtId="3" fontId="3" fillId="0" borderId="0" xfId="0" applyNumberFormat="1" applyFont="1"/>
    <xf numFmtId="4" fontId="3" fillId="0" borderId="0" xfId="0" applyNumberFormat="1" applyFont="1"/>
  </cellXfs>
  <cellStyles count="2">
    <cellStyle name="Normal" xfId="0" builtinId="0"/>
    <cellStyle name="Percent" xfId="1" builtinId="5"/>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externalLink" Target="externalLinks/externalLink1.xml"/><Relationship Id="rId9" Type="http://schemas.microsoft.com/office/2017/06/relationships/rdRichValue" Target="richData/rdrichvalue.xml"/><Relationship Id="rId14"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xdr:from>
      <xdr:col>48</xdr:col>
      <xdr:colOff>38100</xdr:colOff>
      <xdr:row>0</xdr:row>
      <xdr:rowOff>114300</xdr:rowOff>
    </xdr:from>
    <xdr:to>
      <xdr:col>48</xdr:col>
      <xdr:colOff>38100</xdr:colOff>
      <xdr:row>37</xdr:row>
      <xdr:rowOff>95250</xdr:rowOff>
    </xdr:to>
    <xdr:cxnSp macro="">
      <xdr:nvCxnSpPr>
        <xdr:cNvPr id="3" name="Straight Connector 2">
          <a:extLst>
            <a:ext uri="{FF2B5EF4-FFF2-40B4-BE49-F238E27FC236}">
              <a16:creationId xmlns:a16="http://schemas.microsoft.com/office/drawing/2014/main" id="{2D5BAAF7-98AF-B317-E972-AE255E83C271}"/>
            </a:ext>
          </a:extLst>
        </xdr:cNvPr>
        <xdr:cNvCxnSpPr/>
      </xdr:nvCxnSpPr>
      <xdr:spPr>
        <a:xfrm>
          <a:off x="32927925" y="114300"/>
          <a:ext cx="0" cy="632460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36195</xdr:colOff>
      <xdr:row>0</xdr:row>
      <xdr:rowOff>85725</xdr:rowOff>
    </xdr:from>
    <xdr:to>
      <xdr:col>30</xdr:col>
      <xdr:colOff>36195</xdr:colOff>
      <xdr:row>37</xdr:row>
      <xdr:rowOff>62865</xdr:rowOff>
    </xdr:to>
    <xdr:cxnSp macro="">
      <xdr:nvCxnSpPr>
        <xdr:cNvPr id="4" name="Straight Connector 3">
          <a:extLst>
            <a:ext uri="{FF2B5EF4-FFF2-40B4-BE49-F238E27FC236}">
              <a16:creationId xmlns:a16="http://schemas.microsoft.com/office/drawing/2014/main" id="{AEAB5AA7-9421-4393-9B3C-06C3DCCBF86B}"/>
            </a:ext>
          </a:extLst>
        </xdr:cNvPr>
        <xdr:cNvCxnSpPr/>
      </xdr:nvCxnSpPr>
      <xdr:spPr>
        <a:xfrm>
          <a:off x="20924520" y="85725"/>
          <a:ext cx="0" cy="632079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wlshe\Documents\Models\00Dashboard.xlsx" TargetMode="External"/><Relationship Id="rId1" Type="http://schemas.openxmlformats.org/officeDocument/2006/relationships/externalLinkPath" Target="00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Bond Yields"/>
      <sheetName val="All"/>
      <sheetName val="Communication"/>
      <sheetName val="Discretionary"/>
      <sheetName val="Staples"/>
      <sheetName val="Energy"/>
      <sheetName val="Financials"/>
      <sheetName val="Health Care"/>
      <sheetName val="Industrials"/>
      <sheetName val="Materials"/>
      <sheetName val="Real Estate"/>
      <sheetName val="Tech"/>
      <sheetName val="Utilities"/>
      <sheetName val="Screens"/>
    </sheetNames>
    <sheetDataSet>
      <sheetData sheetId="0">
        <row r="12">
          <cell r="C12">
            <v>4.3299999999999998E-2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https://www.bing.com/financeapi/forcetrigger?t=a24p1h&amp;q=XNAS%3aTXN&amp;form=skydnc</v>
    <v>Learn more on Bing</v>
  </rv>
  <rv s="1">
    <v>en-US</v>
    <v>a24p1h</v>
    <v>268435456</v>
    <v>1</v>
    <v>Powered by Refinitiv</v>
    <v>0</v>
    <v>TEXAS INSTRUMENTS INCORPORATED (XNAS:TXN)</v>
    <v>2</v>
    <v>3</v>
    <v>Finance</v>
    <v>4</v>
    <v>188.12</v>
    <v>139.47999999999999</v>
    <v>1.0299</v>
    <v>-2.94</v>
    <v>1.9650000000000002E-3</v>
    <v>-1.7208000000000001E-2</v>
    <v>0.33</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171.86</v>
    <v>Semiconductors &amp; Semiconductor Equipment</v>
    <v>Stock</v>
    <v>45377.995970983597</v>
    <v>0</v>
    <v>167.51</v>
    <v>156833900000</v>
    <v>TEXAS INSTRUMENTS INCORPORATED</v>
    <v>TEXAS INSTRUMENTS INCORPORATED</v>
    <v>171.44</v>
    <v>24.166</v>
    <v>170.85</v>
    <v>167.91</v>
    <v>168.24</v>
    <v>909287700</v>
    <v>TXN</v>
    <v>TEXAS INSTRUMENTS INCORPORATED (XNAS:TXN)</v>
    <v>5898325</v>
    <v>5479921</v>
    <v>1938</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BEDD7-C4E1-41F5-B236-45EB14B436ED}">
  <dimension ref="B3:C9"/>
  <sheetViews>
    <sheetView workbookViewId="0">
      <selection activeCell="D18" sqref="D18"/>
    </sheetView>
  </sheetViews>
  <sheetFormatPr defaultRowHeight="13.8" x14ac:dyDescent="0.25"/>
  <cols>
    <col min="2" max="2" width="10.19921875" bestFit="1" customWidth="1"/>
    <col min="3" max="3" width="48.5" bestFit="1" customWidth="1"/>
  </cols>
  <sheetData>
    <row r="3" spans="2:3" x14ac:dyDescent="0.25">
      <c r="B3" s="3" t="s">
        <v>0</v>
      </c>
      <c r="C3" t="e" vm="1">
        <v>#VALUE!</v>
      </c>
    </row>
    <row r="4" spans="2:3" x14ac:dyDescent="0.25">
      <c r="B4" s="3" t="s">
        <v>1</v>
      </c>
      <c r="C4" s="2" cm="1">
        <f t="array" ref="C4">_FV(C3,"Price")</f>
        <v>167.91</v>
      </c>
    </row>
    <row r="5" spans="2:3" x14ac:dyDescent="0.25">
      <c r="B5" s="3" t="s">
        <v>2</v>
      </c>
      <c r="C5" s="1">
        <v>915</v>
      </c>
    </row>
    <row r="6" spans="2:3" x14ac:dyDescent="0.25">
      <c r="B6" s="3" t="s">
        <v>3</v>
      </c>
      <c r="C6" s="1">
        <f>C4*C5</f>
        <v>153637.65</v>
      </c>
    </row>
    <row r="7" spans="2:3" x14ac:dyDescent="0.25">
      <c r="B7" s="3" t="s">
        <v>4</v>
      </c>
      <c r="C7" s="1">
        <f>2964+5611</f>
        <v>8575</v>
      </c>
    </row>
    <row r="8" spans="2:3" x14ac:dyDescent="0.25">
      <c r="B8" s="3" t="s">
        <v>5</v>
      </c>
      <c r="C8" s="1">
        <f>599+10624</f>
        <v>11223</v>
      </c>
    </row>
    <row r="9" spans="2:3" x14ac:dyDescent="0.25">
      <c r="B9" s="3" t="s">
        <v>6</v>
      </c>
      <c r="C9" s="1">
        <f>C6-C7+C8</f>
        <v>156285.65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27450-0FAD-4C34-8D64-0D282C007EBD}">
  <dimension ref="A1:SS33"/>
  <sheetViews>
    <sheetView tabSelected="1" topLeftCell="B1" workbookViewId="0">
      <pane xSplit="1" ySplit="2" topLeftCell="AU12" activePane="bottomRight" state="frozen"/>
      <selection activeCell="B1" sqref="B1"/>
      <selection pane="topRight" activeCell="C1" sqref="C1"/>
      <selection pane="bottomLeft" activeCell="B3" sqref="B3"/>
      <selection pane="bottomRight" activeCell="AW10" sqref="AW10"/>
    </sheetView>
  </sheetViews>
  <sheetFormatPr defaultRowHeight="13.8" x14ac:dyDescent="0.25"/>
  <cols>
    <col min="2" max="2" width="20.3984375" bestFit="1" customWidth="1"/>
    <col min="3" max="58" width="8.796875" style="1"/>
    <col min="59" max="59" width="15.69921875" style="1" bestFit="1" customWidth="1"/>
    <col min="60" max="16384" width="8.796875" style="1"/>
  </cols>
  <sheetData>
    <row r="1" spans="1:513" customFormat="1" x14ac:dyDescent="0.25"/>
    <row r="2" spans="1:513" customFormat="1" x14ac:dyDescent="0.25">
      <c r="C2" t="s">
        <v>32</v>
      </c>
      <c r="D2" t="s">
        <v>33</v>
      </c>
      <c r="E2" t="s">
        <v>34</v>
      </c>
      <c r="F2" t="s">
        <v>35</v>
      </c>
      <c r="G2" t="s">
        <v>36</v>
      </c>
      <c r="H2" t="s">
        <v>37</v>
      </c>
      <c r="I2" t="s">
        <v>38</v>
      </c>
      <c r="J2" t="s">
        <v>39</v>
      </c>
      <c r="K2" t="s">
        <v>40</v>
      </c>
      <c r="L2" t="s">
        <v>41</v>
      </c>
      <c r="M2" t="s">
        <v>42</v>
      </c>
      <c r="N2" t="s">
        <v>43</v>
      </c>
      <c r="O2" t="s">
        <v>44</v>
      </c>
      <c r="P2" t="s">
        <v>45</v>
      </c>
      <c r="Q2" t="s">
        <v>46</v>
      </c>
      <c r="R2" t="s">
        <v>47</v>
      </c>
      <c r="S2" t="s">
        <v>48</v>
      </c>
      <c r="T2" t="s">
        <v>49</v>
      </c>
      <c r="U2" t="s">
        <v>50</v>
      </c>
      <c r="V2" t="s">
        <v>51</v>
      </c>
      <c r="W2" t="s">
        <v>52</v>
      </c>
      <c r="X2" t="s">
        <v>53</v>
      </c>
      <c r="Y2" t="s">
        <v>54</v>
      </c>
      <c r="Z2" t="s">
        <v>55</v>
      </c>
      <c r="AA2" t="s">
        <v>56</v>
      </c>
      <c r="AB2" t="s">
        <v>57</v>
      </c>
      <c r="AC2" t="s">
        <v>58</v>
      </c>
      <c r="AD2" t="s">
        <v>59</v>
      </c>
      <c r="AE2" t="s">
        <v>60</v>
      </c>
      <c r="AF2" t="s">
        <v>61</v>
      </c>
      <c r="AG2" t="s">
        <v>62</v>
      </c>
      <c r="AH2" t="s">
        <v>63</v>
      </c>
      <c r="AP2">
        <v>2017</v>
      </c>
      <c r="AQ2">
        <v>2018</v>
      </c>
      <c r="AR2">
        <v>2019</v>
      </c>
      <c r="AS2">
        <v>2020</v>
      </c>
      <c r="AT2">
        <v>2021</v>
      </c>
      <c r="AU2">
        <v>2022</v>
      </c>
      <c r="AV2">
        <v>2023</v>
      </c>
      <c r="AW2">
        <v>2024</v>
      </c>
      <c r="AX2">
        <v>2025</v>
      </c>
      <c r="AY2">
        <v>2026</v>
      </c>
      <c r="AZ2">
        <v>2027</v>
      </c>
      <c r="BA2">
        <v>2028</v>
      </c>
      <c r="BB2">
        <v>2029</v>
      </c>
    </row>
    <row r="3" spans="1:513" s="5" customFormat="1" x14ac:dyDescent="0.25">
      <c r="A3" s="4"/>
      <c r="B3" s="4" t="s">
        <v>7</v>
      </c>
      <c r="C3" s="5">
        <v>3402</v>
      </c>
      <c r="D3" s="5">
        <v>3693</v>
      </c>
      <c r="E3" s="5">
        <v>4116</v>
      </c>
      <c r="F3" s="5">
        <v>3750</v>
      </c>
      <c r="G3" s="5">
        <v>3789</v>
      </c>
      <c r="H3" s="5">
        <v>4017</v>
      </c>
      <c r="I3" s="5">
        <v>4261</v>
      </c>
      <c r="J3" s="5">
        <v>3717</v>
      </c>
      <c r="K3" s="5">
        <v>3594</v>
      </c>
      <c r="L3" s="5">
        <v>3668</v>
      </c>
      <c r="M3" s="5">
        <v>3771</v>
      </c>
      <c r="N3" s="5">
        <v>3350</v>
      </c>
      <c r="O3" s="5">
        <v>3329</v>
      </c>
      <c r="P3" s="5">
        <v>3239</v>
      </c>
      <c r="Q3" s="5">
        <v>3817</v>
      </c>
      <c r="R3" s="5">
        <v>4076</v>
      </c>
      <c r="S3" s="5">
        <v>4289</v>
      </c>
      <c r="T3" s="5">
        <v>4580</v>
      </c>
      <c r="U3" s="5">
        <v>4643</v>
      </c>
      <c r="V3" s="5">
        <v>4832</v>
      </c>
      <c r="W3" s="5">
        <v>4905</v>
      </c>
      <c r="X3" s="5">
        <v>5212</v>
      </c>
      <c r="Y3" s="5">
        <v>5241</v>
      </c>
      <c r="Z3" s="5">
        <v>4670</v>
      </c>
      <c r="AA3" s="5">
        <v>4379</v>
      </c>
      <c r="AB3" s="5">
        <v>4531</v>
      </c>
      <c r="AC3" s="5">
        <v>4532</v>
      </c>
      <c r="AD3" s="5">
        <v>4077</v>
      </c>
      <c r="AE3" s="5">
        <f>AA3*0.83</f>
        <v>3634.5699999999997</v>
      </c>
      <c r="AF3" s="5">
        <f>AB3*0.83</f>
        <v>3760.73</v>
      </c>
      <c r="AG3" s="5">
        <f>AC3*0.9</f>
        <v>4078.8</v>
      </c>
      <c r="AH3" s="5">
        <f>AD3*1</f>
        <v>4077</v>
      </c>
      <c r="AP3" s="5">
        <f>SUM(C3:F3)</f>
        <v>14961</v>
      </c>
      <c r="AQ3" s="5">
        <f>SUM(G3:J3)</f>
        <v>15784</v>
      </c>
      <c r="AR3" s="5">
        <f>SUM(K3:N3)</f>
        <v>14383</v>
      </c>
      <c r="AS3" s="5">
        <f>SUM(O3:R3)</f>
        <v>14461</v>
      </c>
      <c r="AT3" s="5">
        <f>SUM(S3:V3)</f>
        <v>18344</v>
      </c>
      <c r="AU3" s="5">
        <f>SUM(W3:Z3)</f>
        <v>20028</v>
      </c>
      <c r="AV3" s="5">
        <f>SUM(AA3:AD3)</f>
        <v>17519</v>
      </c>
      <c r="AW3" s="5">
        <f>SUM(AE3:AH3)</f>
        <v>15551.099999999999</v>
      </c>
      <c r="AX3" s="5">
        <f>AW3*1.14</f>
        <v>17728.253999999997</v>
      </c>
      <c r="AY3" s="5">
        <f>AX3*1.12</f>
        <v>19855.644479999999</v>
      </c>
      <c r="AZ3" s="5">
        <f>AY3*1.1</f>
        <v>21841.208928</v>
      </c>
      <c r="BA3" s="5">
        <f t="shared" ref="BA3:BB3" si="0">AZ3*1.1</f>
        <v>24025.329820800001</v>
      </c>
      <c r="BB3" s="5">
        <f t="shared" si="0"/>
        <v>26427.862802880005</v>
      </c>
    </row>
    <row r="4" spans="1:513" x14ac:dyDescent="0.25">
      <c r="B4" t="s">
        <v>8</v>
      </c>
      <c r="C4" s="1">
        <v>1258</v>
      </c>
      <c r="D4" s="1">
        <v>1319</v>
      </c>
      <c r="E4" s="1">
        <v>1460</v>
      </c>
      <c r="F4" s="1">
        <v>1310</v>
      </c>
      <c r="G4" s="1">
        <v>1342</v>
      </c>
      <c r="H4" s="1">
        <v>1398</v>
      </c>
      <c r="I4" s="1">
        <v>1457</v>
      </c>
      <c r="J4" s="1">
        <v>1310</v>
      </c>
      <c r="K4" s="1">
        <v>1333</v>
      </c>
      <c r="L4" s="1">
        <v>1308</v>
      </c>
      <c r="M4" s="1">
        <v>1325</v>
      </c>
      <c r="N4" s="1">
        <v>1253</v>
      </c>
      <c r="O4" s="1">
        <v>1241</v>
      </c>
      <c r="P4" s="1">
        <v>1157</v>
      </c>
      <c r="Q4" s="1">
        <v>1364</v>
      </c>
      <c r="R4" s="1">
        <v>1430</v>
      </c>
      <c r="S4" s="1">
        <v>1492</v>
      </c>
      <c r="T4" s="1">
        <v>1503</v>
      </c>
      <c r="U4" s="1">
        <v>1491</v>
      </c>
      <c r="V4" s="1">
        <v>1482</v>
      </c>
      <c r="W4" s="1">
        <v>1463</v>
      </c>
      <c r="X4" s="1">
        <v>1587</v>
      </c>
      <c r="Y4" s="1">
        <v>1624</v>
      </c>
      <c r="Z4" s="1">
        <v>1583</v>
      </c>
      <c r="AA4" s="1">
        <v>1516</v>
      </c>
      <c r="AB4" s="1">
        <v>1621</v>
      </c>
      <c r="AC4" s="1">
        <v>1717</v>
      </c>
      <c r="AD4" s="1">
        <v>1646</v>
      </c>
      <c r="AE4" s="1">
        <f>AA4*1.02</f>
        <v>1546.32</v>
      </c>
      <c r="AF4" s="1">
        <f t="shared" ref="AF4:AH4" si="1">AB4*1.02</f>
        <v>1653.42</v>
      </c>
      <c r="AG4" s="1">
        <f t="shared" si="1"/>
        <v>1751.34</v>
      </c>
      <c r="AH4" s="1">
        <f t="shared" si="1"/>
        <v>1678.92</v>
      </c>
      <c r="AP4" s="1">
        <f>SUM(C4:F4)</f>
        <v>5347</v>
      </c>
      <c r="AQ4" s="1">
        <f>SUM(G4:J4)</f>
        <v>5507</v>
      </c>
      <c r="AR4" s="1">
        <f>SUM(K4:N4)</f>
        <v>5219</v>
      </c>
      <c r="AS4" s="1">
        <f>SUM(O4:R4)</f>
        <v>5192</v>
      </c>
      <c r="AT4" s="1">
        <f>SUM(S4:V4)</f>
        <v>5968</v>
      </c>
      <c r="AU4" s="1">
        <f>SUM(W4:Z4)</f>
        <v>6257</v>
      </c>
      <c r="AV4" s="1">
        <f>SUM(AA4:AD4)</f>
        <v>6500</v>
      </c>
      <c r="AW4" s="1">
        <f>SUM(AE4:AH4)</f>
        <v>6630</v>
      </c>
      <c r="AX4" s="1">
        <f>AW4*1.05</f>
        <v>6961.5</v>
      </c>
      <c r="AY4" s="1">
        <f>AX4*1.05</f>
        <v>7309.5750000000007</v>
      </c>
      <c r="AZ4" s="1">
        <f t="shared" ref="AZ4:BB4" si="2">AY4*1.05</f>
        <v>7675.0537500000009</v>
      </c>
      <c r="BA4" s="1">
        <f t="shared" si="2"/>
        <v>8058.8064375000013</v>
      </c>
      <c r="BB4" s="1">
        <f t="shared" si="2"/>
        <v>8461.7467593750025</v>
      </c>
    </row>
    <row r="5" spans="1:513" s="5" customFormat="1" x14ac:dyDescent="0.25">
      <c r="A5" s="4"/>
      <c r="B5" s="4" t="s">
        <v>9</v>
      </c>
      <c r="C5" s="5">
        <f t="shared" ref="C5:AC5" si="3">+C3-C4</f>
        <v>2144</v>
      </c>
      <c r="D5" s="5">
        <f t="shared" si="3"/>
        <v>2374</v>
      </c>
      <c r="E5" s="5">
        <f t="shared" si="3"/>
        <v>2656</v>
      </c>
      <c r="F5" s="5">
        <f t="shared" si="3"/>
        <v>2440</v>
      </c>
      <c r="G5" s="5">
        <f t="shared" si="3"/>
        <v>2447</v>
      </c>
      <c r="H5" s="5">
        <f t="shared" si="3"/>
        <v>2619</v>
      </c>
      <c r="I5" s="5">
        <f t="shared" si="3"/>
        <v>2804</v>
      </c>
      <c r="J5" s="5">
        <f t="shared" si="3"/>
        <v>2407</v>
      </c>
      <c r="K5" s="5">
        <f t="shared" si="3"/>
        <v>2261</v>
      </c>
      <c r="L5" s="5">
        <f t="shared" si="3"/>
        <v>2360</v>
      </c>
      <c r="M5" s="5">
        <f t="shared" si="3"/>
        <v>2446</v>
      </c>
      <c r="N5" s="5">
        <f t="shared" si="3"/>
        <v>2097</v>
      </c>
      <c r="O5" s="5">
        <f t="shared" si="3"/>
        <v>2088</v>
      </c>
      <c r="P5" s="5">
        <f t="shared" si="3"/>
        <v>2082</v>
      </c>
      <c r="Q5" s="5">
        <f t="shared" si="3"/>
        <v>2453</v>
      </c>
      <c r="R5" s="5">
        <f t="shared" si="3"/>
        <v>2646</v>
      </c>
      <c r="S5" s="5">
        <f t="shared" si="3"/>
        <v>2797</v>
      </c>
      <c r="T5" s="5">
        <f t="shared" si="3"/>
        <v>3077</v>
      </c>
      <c r="U5" s="5">
        <f t="shared" si="3"/>
        <v>3152</v>
      </c>
      <c r="V5" s="5">
        <f t="shared" si="3"/>
        <v>3350</v>
      </c>
      <c r="W5" s="5">
        <f t="shared" si="3"/>
        <v>3442</v>
      </c>
      <c r="X5" s="5">
        <f t="shared" si="3"/>
        <v>3625</v>
      </c>
      <c r="Y5" s="5">
        <f t="shared" si="3"/>
        <v>3617</v>
      </c>
      <c r="Z5" s="5">
        <f t="shared" si="3"/>
        <v>3087</v>
      </c>
      <c r="AA5" s="5">
        <f t="shared" si="3"/>
        <v>2863</v>
      </c>
      <c r="AB5" s="5">
        <f t="shared" si="3"/>
        <v>2910</v>
      </c>
      <c r="AC5" s="5">
        <f t="shared" si="3"/>
        <v>2815</v>
      </c>
      <c r="AD5" s="5">
        <f>+AD3-AD4</f>
        <v>2431</v>
      </c>
      <c r="AE5" s="5">
        <f t="shared" ref="AE5:AH5" si="4">+AE3-AE4</f>
        <v>2088.25</v>
      </c>
      <c r="AF5" s="5">
        <f t="shared" si="4"/>
        <v>2107.31</v>
      </c>
      <c r="AG5" s="5">
        <f t="shared" si="4"/>
        <v>2327.46</v>
      </c>
      <c r="AH5" s="5">
        <f t="shared" si="4"/>
        <v>2398.08</v>
      </c>
      <c r="AP5" s="5">
        <f t="shared" ref="AP5" si="5">+AP3-AP4</f>
        <v>9614</v>
      </c>
      <c r="AQ5" s="5">
        <f t="shared" ref="AQ5" si="6">+AQ3-AQ4</f>
        <v>10277</v>
      </c>
      <c r="AR5" s="5">
        <f t="shared" ref="AR5" si="7">+AR3-AR4</f>
        <v>9164</v>
      </c>
      <c r="AS5" s="5">
        <f t="shared" ref="AS5" si="8">+AS3-AS4</f>
        <v>9269</v>
      </c>
      <c r="AT5" s="5">
        <f t="shared" ref="AT5" si="9">+AT3-AT4</f>
        <v>12376</v>
      </c>
      <c r="AU5" s="5">
        <f t="shared" ref="AU5" si="10">+AU3-AU4</f>
        <v>13771</v>
      </c>
      <c r="AV5" s="5">
        <f t="shared" ref="AV5" si="11">+AV3-AV4</f>
        <v>11019</v>
      </c>
      <c r="AW5" s="5">
        <f t="shared" ref="AW5" si="12">+AW3-AW4</f>
        <v>8921.0999999999985</v>
      </c>
      <c r="AX5" s="5">
        <f t="shared" ref="AX5" si="13">+AX3-AX4</f>
        <v>10766.753999999997</v>
      </c>
      <c r="AY5" s="5">
        <f t="shared" ref="AY5" si="14">+AY3-AY4</f>
        <v>12546.069479999998</v>
      </c>
      <c r="AZ5" s="5">
        <f t="shared" ref="AZ5" si="15">+AZ3-AZ4</f>
        <v>14166.155177999999</v>
      </c>
      <c r="BA5" s="5">
        <f t="shared" ref="BA5:BB5" si="16">+BA3-BA4</f>
        <v>15966.5233833</v>
      </c>
      <c r="BB5" s="5">
        <f t="shared" si="16"/>
        <v>17966.116043505004</v>
      </c>
    </row>
    <row r="6" spans="1:513" x14ac:dyDescent="0.25">
      <c r="B6" t="s">
        <v>10</v>
      </c>
      <c r="C6" s="1">
        <v>369</v>
      </c>
      <c r="D6" s="1">
        <v>378</v>
      </c>
      <c r="E6" s="1">
        <v>375</v>
      </c>
      <c r="F6" s="1">
        <v>386</v>
      </c>
      <c r="G6" s="1">
        <v>385</v>
      </c>
      <c r="H6" s="1">
        <v>384</v>
      </c>
      <c r="I6" s="1">
        <v>390</v>
      </c>
      <c r="J6" s="1">
        <v>400</v>
      </c>
      <c r="K6" s="1">
        <v>389</v>
      </c>
      <c r="L6" s="1">
        <v>390</v>
      </c>
      <c r="M6" s="1">
        <v>379</v>
      </c>
      <c r="N6" s="1">
        <v>386</v>
      </c>
      <c r="O6" s="1">
        <v>377</v>
      </c>
      <c r="P6" s="1">
        <v>379</v>
      </c>
      <c r="Q6" s="1">
        <v>386</v>
      </c>
      <c r="R6" s="1">
        <v>388</v>
      </c>
      <c r="S6" s="1">
        <v>386</v>
      </c>
      <c r="T6" s="1">
        <v>391</v>
      </c>
      <c r="U6" s="1">
        <v>388</v>
      </c>
      <c r="V6" s="1">
        <v>389</v>
      </c>
      <c r="W6" s="1">
        <v>391</v>
      </c>
      <c r="X6" s="1">
        <v>414</v>
      </c>
      <c r="Y6" s="1">
        <v>431</v>
      </c>
      <c r="Z6" s="1">
        <v>434</v>
      </c>
      <c r="AA6" s="1">
        <v>455</v>
      </c>
      <c r="AB6" s="1">
        <v>477</v>
      </c>
      <c r="AC6" s="1">
        <v>471</v>
      </c>
      <c r="AD6" s="1">
        <v>460</v>
      </c>
      <c r="AE6" s="1">
        <f>AA6*1.02</f>
        <v>464.1</v>
      </c>
      <c r="AF6" s="1">
        <f t="shared" ref="AF6:AF7" si="17">AB6*1.02</f>
        <v>486.54</v>
      </c>
      <c r="AG6" s="1">
        <f t="shared" ref="AG6:AG7" si="18">AC6*1.02</f>
        <v>480.42</v>
      </c>
      <c r="AH6" s="1">
        <f t="shared" ref="AH6:AH7" si="19">AD6*1.02</f>
        <v>469.2</v>
      </c>
      <c r="AP6" s="1">
        <f t="shared" ref="AP6:AP7" si="20">SUM(C6:F6)</f>
        <v>1508</v>
      </c>
      <c r="AQ6" s="1">
        <f t="shared" ref="AQ6:AQ7" si="21">SUM(G6:J6)</f>
        <v>1559</v>
      </c>
      <c r="AR6" s="1">
        <f t="shared" ref="AR6:AR7" si="22">SUM(K6:N6)</f>
        <v>1544</v>
      </c>
      <c r="AS6" s="1">
        <f t="shared" ref="AS6:AS7" si="23">SUM(O6:R6)</f>
        <v>1530</v>
      </c>
      <c r="AT6" s="1">
        <f t="shared" ref="AT6:AT7" si="24">SUM(S6:V6)</f>
        <v>1554</v>
      </c>
      <c r="AU6" s="1">
        <f t="shared" ref="AU6:AU7" si="25">SUM(W6:Z6)</f>
        <v>1670</v>
      </c>
      <c r="AV6" s="1">
        <f t="shared" ref="AV6:AV7" si="26">SUM(AA6:AD6)</f>
        <v>1863</v>
      </c>
      <c r="AW6" s="1">
        <f t="shared" ref="AW6:AW7" si="27">SUM(AE6:AH6)</f>
        <v>1900.2600000000002</v>
      </c>
      <c r="AX6" s="1">
        <f>AW6*1.02</f>
        <v>1938.2652000000003</v>
      </c>
      <c r="AY6" s="1">
        <f t="shared" ref="AY6:BB6" si="28">AX6*1.02</f>
        <v>1977.0305040000003</v>
      </c>
      <c r="AZ6" s="1">
        <f t="shared" si="28"/>
        <v>2016.5711140800004</v>
      </c>
      <c r="BA6" s="1">
        <f t="shared" si="28"/>
        <v>2056.9025363616006</v>
      </c>
      <c r="BB6" s="1">
        <f t="shared" si="28"/>
        <v>2098.0405870888326</v>
      </c>
    </row>
    <row r="7" spans="1:513" x14ac:dyDescent="0.25">
      <c r="B7" t="s">
        <v>11</v>
      </c>
      <c r="C7" s="1">
        <v>439</v>
      </c>
      <c r="D7" s="1">
        <v>434</v>
      </c>
      <c r="E7" s="1">
        <v>412</v>
      </c>
      <c r="F7" s="1">
        <v>409</v>
      </c>
      <c r="G7" s="1">
        <v>433</v>
      </c>
      <c r="H7" s="1">
        <v>441</v>
      </c>
      <c r="I7" s="1">
        <v>396</v>
      </c>
      <c r="J7" s="1">
        <v>414</v>
      </c>
      <c r="K7" s="1">
        <v>414</v>
      </c>
      <c r="L7" s="1">
        <v>420</v>
      </c>
      <c r="M7" s="1">
        <v>399</v>
      </c>
      <c r="N7" s="1">
        <v>412</v>
      </c>
      <c r="O7" s="1">
        <v>417</v>
      </c>
      <c r="P7" s="1">
        <v>401</v>
      </c>
      <c r="Q7" s="1">
        <v>407</v>
      </c>
      <c r="R7" s="1">
        <v>398</v>
      </c>
      <c r="S7" s="1">
        <v>425</v>
      </c>
      <c r="T7" s="1">
        <v>425</v>
      </c>
      <c r="U7" s="1">
        <v>412</v>
      </c>
      <c r="V7" s="1">
        <v>404</v>
      </c>
      <c r="W7" s="1">
        <v>422</v>
      </c>
      <c r="X7" s="1">
        <v>422</v>
      </c>
      <c r="Y7" s="1">
        <v>431</v>
      </c>
      <c r="Z7" s="1">
        <v>429</v>
      </c>
      <c r="AA7" s="1">
        <v>474</v>
      </c>
      <c r="AB7" s="1">
        <v>461</v>
      </c>
      <c r="AC7" s="1">
        <v>452</v>
      </c>
      <c r="AD7" s="1">
        <v>438</v>
      </c>
      <c r="AE7" s="1">
        <f t="shared" ref="AE7" si="29">AA7*1.02</f>
        <v>483.48</v>
      </c>
      <c r="AF7" s="1">
        <f t="shared" si="17"/>
        <v>470.22</v>
      </c>
      <c r="AG7" s="1">
        <f t="shared" si="18"/>
        <v>461.04</v>
      </c>
      <c r="AH7" s="1">
        <f t="shared" si="19"/>
        <v>446.76</v>
      </c>
      <c r="AP7" s="1">
        <f t="shared" si="20"/>
        <v>1694</v>
      </c>
      <c r="AQ7" s="1">
        <f t="shared" si="21"/>
        <v>1684</v>
      </c>
      <c r="AR7" s="1">
        <f t="shared" si="22"/>
        <v>1645</v>
      </c>
      <c r="AS7" s="1">
        <f t="shared" si="23"/>
        <v>1623</v>
      </c>
      <c r="AT7" s="1">
        <f t="shared" si="24"/>
        <v>1666</v>
      </c>
      <c r="AU7" s="1">
        <f t="shared" si="25"/>
        <v>1704</v>
      </c>
      <c r="AV7" s="1">
        <f t="shared" si="26"/>
        <v>1825</v>
      </c>
      <c r="AW7" s="1">
        <f t="shared" si="27"/>
        <v>1861.5</v>
      </c>
      <c r="AX7" s="1">
        <f t="shared" ref="AX7:BB7" si="30">AW7*1.02</f>
        <v>1898.73</v>
      </c>
      <c r="AY7" s="1">
        <f t="shared" si="30"/>
        <v>1936.7046</v>
      </c>
      <c r="AZ7" s="1">
        <f t="shared" si="30"/>
        <v>1975.4386920000002</v>
      </c>
      <c r="BA7" s="1">
        <f t="shared" si="30"/>
        <v>2014.9474658400002</v>
      </c>
      <c r="BB7" s="1">
        <f t="shared" si="30"/>
        <v>2055.2464151568001</v>
      </c>
    </row>
    <row r="8" spans="1:513" s="5" customFormat="1" x14ac:dyDescent="0.25">
      <c r="A8" s="4"/>
      <c r="B8" s="4" t="s">
        <v>12</v>
      </c>
      <c r="C8" s="5">
        <f t="shared" ref="C8:AC8" si="31">+C6+C7</f>
        <v>808</v>
      </c>
      <c r="D8" s="5">
        <f t="shared" si="31"/>
        <v>812</v>
      </c>
      <c r="E8" s="5">
        <f t="shared" si="31"/>
        <v>787</v>
      </c>
      <c r="F8" s="5">
        <f t="shared" si="31"/>
        <v>795</v>
      </c>
      <c r="G8" s="5">
        <f t="shared" si="31"/>
        <v>818</v>
      </c>
      <c r="H8" s="5">
        <f t="shared" si="31"/>
        <v>825</v>
      </c>
      <c r="I8" s="5">
        <f t="shared" si="31"/>
        <v>786</v>
      </c>
      <c r="J8" s="5">
        <f t="shared" si="31"/>
        <v>814</v>
      </c>
      <c r="K8" s="5">
        <f t="shared" si="31"/>
        <v>803</v>
      </c>
      <c r="L8" s="5">
        <f t="shared" si="31"/>
        <v>810</v>
      </c>
      <c r="M8" s="5">
        <f t="shared" si="31"/>
        <v>778</v>
      </c>
      <c r="N8" s="5">
        <f t="shared" si="31"/>
        <v>798</v>
      </c>
      <c r="O8" s="5">
        <f t="shared" si="31"/>
        <v>794</v>
      </c>
      <c r="P8" s="5">
        <f t="shared" si="31"/>
        <v>780</v>
      </c>
      <c r="Q8" s="5">
        <f t="shared" si="31"/>
        <v>793</v>
      </c>
      <c r="R8" s="5">
        <f t="shared" si="31"/>
        <v>786</v>
      </c>
      <c r="S8" s="5">
        <f t="shared" si="31"/>
        <v>811</v>
      </c>
      <c r="T8" s="5">
        <f t="shared" si="31"/>
        <v>816</v>
      </c>
      <c r="U8" s="5">
        <f t="shared" si="31"/>
        <v>800</v>
      </c>
      <c r="V8" s="5">
        <f t="shared" si="31"/>
        <v>793</v>
      </c>
      <c r="W8" s="5">
        <f t="shared" si="31"/>
        <v>813</v>
      </c>
      <c r="X8" s="5">
        <f t="shared" si="31"/>
        <v>836</v>
      </c>
      <c r="Y8" s="5">
        <f t="shared" si="31"/>
        <v>862</v>
      </c>
      <c r="Z8" s="5">
        <f t="shared" si="31"/>
        <v>863</v>
      </c>
      <c r="AA8" s="5">
        <f t="shared" si="31"/>
        <v>929</v>
      </c>
      <c r="AB8" s="5">
        <f t="shared" si="31"/>
        <v>938</v>
      </c>
      <c r="AC8" s="5">
        <f t="shared" si="31"/>
        <v>923</v>
      </c>
      <c r="AD8" s="5">
        <f>+AD6+AD7</f>
        <v>898</v>
      </c>
      <c r="AE8" s="5">
        <f t="shared" ref="AE8:AH8" si="32">+AE6+AE7</f>
        <v>947.58</v>
      </c>
      <c r="AF8" s="5">
        <f t="shared" si="32"/>
        <v>956.76</v>
      </c>
      <c r="AG8" s="5">
        <f t="shared" si="32"/>
        <v>941.46</v>
      </c>
      <c r="AH8" s="5">
        <f t="shared" si="32"/>
        <v>915.96</v>
      </c>
      <c r="AP8" s="5">
        <f t="shared" ref="AP8" si="33">+AP6+AP7</f>
        <v>3202</v>
      </c>
      <c r="AQ8" s="5">
        <f t="shared" ref="AQ8" si="34">+AQ6+AQ7</f>
        <v>3243</v>
      </c>
      <c r="AR8" s="5">
        <f t="shared" ref="AR8" si="35">+AR6+AR7</f>
        <v>3189</v>
      </c>
      <c r="AS8" s="5">
        <f t="shared" ref="AS8" si="36">+AS6+AS7</f>
        <v>3153</v>
      </c>
      <c r="AT8" s="5">
        <f t="shared" ref="AT8" si="37">+AT6+AT7</f>
        <v>3220</v>
      </c>
      <c r="AU8" s="5">
        <f t="shared" ref="AU8" si="38">+AU6+AU7</f>
        <v>3374</v>
      </c>
      <c r="AV8" s="5">
        <f t="shared" ref="AV8" si="39">+AV6+AV7</f>
        <v>3688</v>
      </c>
      <c r="AW8" s="5">
        <f t="shared" ref="AW8" si="40">+AW6+AW7</f>
        <v>3761.76</v>
      </c>
      <c r="AX8" s="5">
        <f t="shared" ref="AX8" si="41">+AX6+AX7</f>
        <v>3836.9952000000003</v>
      </c>
      <c r="AY8" s="5">
        <f t="shared" ref="AY8" si="42">+AY6+AY7</f>
        <v>3913.7351040000003</v>
      </c>
      <c r="AZ8" s="5">
        <f t="shared" ref="AZ8" si="43">+AZ6+AZ7</f>
        <v>3992.0098060800005</v>
      </c>
      <c r="BA8" s="5">
        <f t="shared" ref="BA8" si="44">+BA6+BA7</f>
        <v>4071.8500022016005</v>
      </c>
      <c r="BB8" s="5">
        <f t="shared" ref="BB8" si="45">+BB6+BB7</f>
        <v>4153.2870022456327</v>
      </c>
    </row>
    <row r="9" spans="1:513" s="5" customFormat="1" x14ac:dyDescent="0.25">
      <c r="A9" s="4"/>
      <c r="B9" s="4" t="s">
        <v>13</v>
      </c>
      <c r="C9" s="5">
        <f t="shared" ref="C9:AC9" si="46">C5-C8</f>
        <v>1336</v>
      </c>
      <c r="D9" s="5">
        <f t="shared" si="46"/>
        <v>1562</v>
      </c>
      <c r="E9" s="5">
        <f t="shared" si="46"/>
        <v>1869</v>
      </c>
      <c r="F9" s="5">
        <f t="shared" si="46"/>
        <v>1645</v>
      </c>
      <c r="G9" s="5">
        <f t="shared" si="46"/>
        <v>1629</v>
      </c>
      <c r="H9" s="5">
        <f t="shared" si="46"/>
        <v>1794</v>
      </c>
      <c r="I9" s="5">
        <f t="shared" si="46"/>
        <v>2018</v>
      </c>
      <c r="J9" s="5">
        <f t="shared" si="46"/>
        <v>1593</v>
      </c>
      <c r="K9" s="5">
        <f t="shared" si="46"/>
        <v>1458</v>
      </c>
      <c r="L9" s="5">
        <f t="shared" si="46"/>
        <v>1550</v>
      </c>
      <c r="M9" s="5">
        <f t="shared" si="46"/>
        <v>1668</v>
      </c>
      <c r="N9" s="5">
        <f t="shared" si="46"/>
        <v>1299</v>
      </c>
      <c r="O9" s="5">
        <f t="shared" si="46"/>
        <v>1294</v>
      </c>
      <c r="P9" s="5">
        <f t="shared" si="46"/>
        <v>1302</v>
      </c>
      <c r="Q9" s="5">
        <f t="shared" si="46"/>
        <v>1660</v>
      </c>
      <c r="R9" s="5">
        <f t="shared" si="46"/>
        <v>1860</v>
      </c>
      <c r="S9" s="5">
        <f t="shared" si="46"/>
        <v>1986</v>
      </c>
      <c r="T9" s="5">
        <f>T5-T8</f>
        <v>2261</v>
      </c>
      <c r="U9" s="5">
        <f t="shared" si="46"/>
        <v>2352</v>
      </c>
      <c r="V9" s="5">
        <f t="shared" si="46"/>
        <v>2557</v>
      </c>
      <c r="W9" s="5">
        <f t="shared" si="46"/>
        <v>2629</v>
      </c>
      <c r="X9" s="5">
        <f t="shared" si="46"/>
        <v>2789</v>
      </c>
      <c r="Y9" s="5">
        <f t="shared" si="46"/>
        <v>2755</v>
      </c>
      <c r="Z9" s="5">
        <f>Z5-Z8</f>
        <v>2224</v>
      </c>
      <c r="AA9" s="5">
        <f t="shared" si="46"/>
        <v>1934</v>
      </c>
      <c r="AB9" s="5">
        <f t="shared" si="46"/>
        <v>1972</v>
      </c>
      <c r="AC9" s="5">
        <f t="shared" si="46"/>
        <v>1892</v>
      </c>
      <c r="AD9" s="5">
        <f>AD5-AD8</f>
        <v>1533</v>
      </c>
      <c r="AE9" s="5">
        <f t="shared" ref="AE9:AH9" si="47">AE5-AE8</f>
        <v>1140.67</v>
      </c>
      <c r="AF9" s="5">
        <f t="shared" si="47"/>
        <v>1150.55</v>
      </c>
      <c r="AG9" s="5">
        <f t="shared" si="47"/>
        <v>1386</v>
      </c>
      <c r="AH9" s="5">
        <f t="shared" si="47"/>
        <v>1482.12</v>
      </c>
      <c r="AP9" s="5">
        <f t="shared" ref="AP9" si="48">AP5-AP8</f>
        <v>6412</v>
      </c>
      <c r="AQ9" s="5">
        <f t="shared" ref="AQ9" si="49">AQ5-AQ8</f>
        <v>7034</v>
      </c>
      <c r="AR9" s="5">
        <f t="shared" ref="AR9" si="50">AR5-AR8</f>
        <v>5975</v>
      </c>
      <c r="AS9" s="5">
        <f t="shared" ref="AS9" si="51">AS5-AS8</f>
        <v>6116</v>
      </c>
      <c r="AT9" s="5">
        <f t="shared" ref="AT9" si="52">AT5-AT8</f>
        <v>9156</v>
      </c>
      <c r="AU9" s="5">
        <f t="shared" ref="AU9" si="53">AU5-AU8</f>
        <v>10397</v>
      </c>
      <c r="AV9" s="5">
        <f t="shared" ref="AV9" si="54">AV5-AV8</f>
        <v>7331</v>
      </c>
      <c r="AW9" s="5">
        <f t="shared" ref="AW9" si="55">AW5-AW8</f>
        <v>5159.3399999999983</v>
      </c>
      <c r="AX9" s="5">
        <f t="shared" ref="AX9" si="56">AX5-AX8</f>
        <v>6929.7587999999969</v>
      </c>
      <c r="AY9" s="5">
        <f t="shared" ref="AY9" si="57">AY5-AY8</f>
        <v>8632.3343759999989</v>
      </c>
      <c r="AZ9" s="5">
        <f t="shared" ref="AZ9" si="58">AZ5-AZ8</f>
        <v>10174.145371919998</v>
      </c>
      <c r="BA9" s="5">
        <f t="shared" ref="BA9" si="59">BA5-BA8</f>
        <v>11894.673381098401</v>
      </c>
      <c r="BB9" s="5">
        <f t="shared" ref="BB9" si="60">BB5-BB8</f>
        <v>13812.829041259371</v>
      </c>
    </row>
    <row r="10" spans="1:513" x14ac:dyDescent="0.25">
      <c r="B10" t="s">
        <v>14</v>
      </c>
      <c r="C10" s="1">
        <v>21</v>
      </c>
      <c r="D10" s="1">
        <v>26</v>
      </c>
      <c r="E10" s="1">
        <v>20</v>
      </c>
      <c r="F10" s="1">
        <v>8</v>
      </c>
      <c r="G10" s="1">
        <v>28</v>
      </c>
      <c r="H10" s="1">
        <v>24</v>
      </c>
      <c r="I10" s="1">
        <v>23</v>
      </c>
      <c r="J10" s="1">
        <v>23</v>
      </c>
      <c r="K10" s="1">
        <v>36</v>
      </c>
      <c r="L10" s="1">
        <v>52</v>
      </c>
      <c r="M10" s="1">
        <v>34</v>
      </c>
      <c r="N10" s="1">
        <v>53</v>
      </c>
      <c r="O10" s="1">
        <v>25</v>
      </c>
      <c r="P10" s="1">
        <v>99</v>
      </c>
      <c r="Q10" s="1">
        <v>27</v>
      </c>
      <c r="R10" s="1">
        <v>162</v>
      </c>
      <c r="S10" s="1">
        <v>46</v>
      </c>
      <c r="T10" s="1">
        <v>73</v>
      </c>
      <c r="U10" s="1">
        <v>15</v>
      </c>
      <c r="V10" s="1">
        <v>9</v>
      </c>
      <c r="W10" s="1">
        <v>15</v>
      </c>
      <c r="X10" s="1">
        <v>7</v>
      </c>
      <c r="Y10" s="1">
        <v>33</v>
      </c>
      <c r="Z10" s="1">
        <v>51</v>
      </c>
      <c r="AA10" s="1">
        <v>80</v>
      </c>
      <c r="AB10" s="1">
        <v>119</v>
      </c>
      <c r="AC10" s="1">
        <v>128</v>
      </c>
      <c r="AD10" s="1">
        <v>113</v>
      </c>
      <c r="AE10" s="1">
        <f>AA10*1.01</f>
        <v>80.8</v>
      </c>
      <c r="AF10" s="1">
        <f t="shared" ref="AF10:AF11" si="61">AB10*1.01</f>
        <v>120.19</v>
      </c>
      <c r="AG10" s="1">
        <f t="shared" ref="AG10:AG11" si="62">AC10*1.01</f>
        <v>129.28</v>
      </c>
      <c r="AH10" s="1">
        <f t="shared" ref="AH10:AH11" si="63">AD10*1.01</f>
        <v>114.13</v>
      </c>
      <c r="AP10" s="1">
        <f t="shared" ref="AP10:AP11" si="64">SUM(C10:F10)</f>
        <v>75</v>
      </c>
      <c r="AQ10" s="1">
        <f t="shared" ref="AQ10:AQ11" si="65">SUM(G10:J10)</f>
        <v>98</v>
      </c>
      <c r="AR10" s="1">
        <f t="shared" ref="AR10:AR11" si="66">SUM(K10:N10)</f>
        <v>175</v>
      </c>
      <c r="AS10" s="1">
        <f t="shared" ref="AS10:AS11" si="67">SUM(O10:R10)</f>
        <v>313</v>
      </c>
      <c r="AT10" s="1">
        <f t="shared" ref="AT10:AT11" si="68">SUM(S10:V10)</f>
        <v>143</v>
      </c>
      <c r="AU10" s="1">
        <f t="shared" ref="AU10:AU11" si="69">SUM(W10:Z10)</f>
        <v>106</v>
      </c>
      <c r="AV10" s="1">
        <f t="shared" ref="AV10:AV11" si="70">SUM(AA10:AD10)</f>
        <v>440</v>
      </c>
      <c r="AW10" s="1">
        <f t="shared" ref="AW10:AW11" si="71">SUM(AE10:AH10)</f>
        <v>444.4</v>
      </c>
      <c r="AX10" s="1">
        <f>AW10*1.01</f>
        <v>448.84399999999999</v>
      </c>
      <c r="AY10" s="1">
        <f t="shared" ref="AY10:BB10" si="72">AX10*1.01</f>
        <v>453.33244000000002</v>
      </c>
      <c r="AZ10" s="1">
        <f t="shared" si="72"/>
        <v>457.86576440000005</v>
      </c>
      <c r="BA10" s="1">
        <f t="shared" si="72"/>
        <v>462.44442204400008</v>
      </c>
      <c r="BB10" s="1">
        <f t="shared" si="72"/>
        <v>467.06886626444009</v>
      </c>
    </row>
    <row r="11" spans="1:513" x14ac:dyDescent="0.25">
      <c r="B11" t="s">
        <v>15</v>
      </c>
      <c r="C11" s="1">
        <v>18</v>
      </c>
      <c r="D11" s="1">
        <v>20</v>
      </c>
      <c r="E11" s="1">
        <v>19</v>
      </c>
      <c r="F11" s="1">
        <v>21</v>
      </c>
      <c r="G11" s="1">
        <v>23</v>
      </c>
      <c r="H11" s="1">
        <v>30</v>
      </c>
      <c r="I11" s="1">
        <v>36</v>
      </c>
      <c r="J11" s="1">
        <v>36</v>
      </c>
      <c r="K11" s="1">
        <v>38</v>
      </c>
      <c r="L11" s="1">
        <v>44</v>
      </c>
      <c r="M11" s="1">
        <v>43</v>
      </c>
      <c r="N11" s="1">
        <v>45</v>
      </c>
      <c r="O11" s="1">
        <v>45</v>
      </c>
      <c r="P11" s="1">
        <v>48</v>
      </c>
      <c r="Q11" s="1">
        <v>49</v>
      </c>
      <c r="R11" s="1">
        <v>48</v>
      </c>
      <c r="S11" s="1">
        <v>46</v>
      </c>
      <c r="T11" s="1">
        <v>44</v>
      </c>
      <c r="U11" s="1">
        <v>45</v>
      </c>
      <c r="V11" s="1">
        <v>49</v>
      </c>
      <c r="W11" s="1">
        <v>52</v>
      </c>
      <c r="X11" s="1">
        <v>49</v>
      </c>
      <c r="Y11" s="1">
        <v>53</v>
      </c>
      <c r="Z11" s="1">
        <v>60</v>
      </c>
      <c r="AA11" s="1">
        <v>68</v>
      </c>
      <c r="AB11" s="1">
        <v>89</v>
      </c>
      <c r="AC11" s="1">
        <v>98</v>
      </c>
      <c r="AD11" s="1">
        <v>98</v>
      </c>
      <c r="AE11" s="1">
        <f t="shared" ref="AE11" si="73">AA11*1.01</f>
        <v>68.680000000000007</v>
      </c>
      <c r="AF11" s="1">
        <f t="shared" si="61"/>
        <v>89.89</v>
      </c>
      <c r="AG11" s="1">
        <f t="shared" si="62"/>
        <v>98.98</v>
      </c>
      <c r="AH11" s="1">
        <f t="shared" si="63"/>
        <v>98.98</v>
      </c>
      <c r="AP11" s="1">
        <f t="shared" si="64"/>
        <v>78</v>
      </c>
      <c r="AQ11" s="1">
        <f t="shared" si="65"/>
        <v>125</v>
      </c>
      <c r="AR11" s="1">
        <f t="shared" si="66"/>
        <v>170</v>
      </c>
      <c r="AS11" s="1">
        <f t="shared" si="67"/>
        <v>190</v>
      </c>
      <c r="AT11" s="1">
        <f t="shared" si="68"/>
        <v>184</v>
      </c>
      <c r="AU11" s="1">
        <f t="shared" si="69"/>
        <v>214</v>
      </c>
      <c r="AV11" s="1">
        <f t="shared" si="70"/>
        <v>353</v>
      </c>
      <c r="AW11" s="1">
        <f t="shared" si="71"/>
        <v>356.53000000000003</v>
      </c>
      <c r="AX11" s="1">
        <f t="shared" ref="AX11:BB11" si="74">AW11*1.01</f>
        <v>360.09530000000001</v>
      </c>
      <c r="AY11" s="1">
        <f t="shared" si="74"/>
        <v>363.69625300000001</v>
      </c>
      <c r="AZ11" s="1">
        <f t="shared" si="74"/>
        <v>367.33321553000002</v>
      </c>
      <c r="BA11" s="1">
        <f t="shared" si="74"/>
        <v>371.00654768530001</v>
      </c>
      <c r="BB11" s="1">
        <f t="shared" si="74"/>
        <v>374.71661316215301</v>
      </c>
    </row>
    <row r="12" spans="1:513" s="5" customFormat="1" x14ac:dyDescent="0.25">
      <c r="A12" s="4"/>
      <c r="B12" s="4" t="s">
        <v>16</v>
      </c>
      <c r="C12" s="5">
        <f t="shared" ref="C12:AC12" si="75">+C9+C10-C11</f>
        <v>1339</v>
      </c>
      <c r="D12" s="5">
        <f t="shared" si="75"/>
        <v>1568</v>
      </c>
      <c r="E12" s="5">
        <f t="shared" si="75"/>
        <v>1870</v>
      </c>
      <c r="F12" s="5">
        <f t="shared" si="75"/>
        <v>1632</v>
      </c>
      <c r="G12" s="5">
        <f t="shared" si="75"/>
        <v>1634</v>
      </c>
      <c r="H12" s="5">
        <f t="shared" si="75"/>
        <v>1788</v>
      </c>
      <c r="I12" s="5">
        <f t="shared" si="75"/>
        <v>2005</v>
      </c>
      <c r="J12" s="5">
        <f t="shared" si="75"/>
        <v>1580</v>
      </c>
      <c r="K12" s="5">
        <f t="shared" si="75"/>
        <v>1456</v>
      </c>
      <c r="L12" s="5">
        <f t="shared" si="75"/>
        <v>1558</v>
      </c>
      <c r="M12" s="5">
        <f t="shared" si="75"/>
        <v>1659</v>
      </c>
      <c r="N12" s="5">
        <f t="shared" si="75"/>
        <v>1307</v>
      </c>
      <c r="O12" s="5">
        <f t="shared" si="75"/>
        <v>1274</v>
      </c>
      <c r="P12" s="5">
        <f t="shared" si="75"/>
        <v>1353</v>
      </c>
      <c r="Q12" s="5">
        <f t="shared" si="75"/>
        <v>1638</v>
      </c>
      <c r="R12" s="5">
        <f t="shared" si="75"/>
        <v>1974</v>
      </c>
      <c r="S12" s="5">
        <f t="shared" si="75"/>
        <v>1986</v>
      </c>
      <c r="T12" s="5">
        <f t="shared" si="75"/>
        <v>2290</v>
      </c>
      <c r="U12" s="5">
        <f t="shared" si="75"/>
        <v>2322</v>
      </c>
      <c r="V12" s="5">
        <f t="shared" si="75"/>
        <v>2517</v>
      </c>
      <c r="W12" s="5">
        <f t="shared" si="75"/>
        <v>2592</v>
      </c>
      <c r="X12" s="5">
        <f t="shared" si="75"/>
        <v>2747</v>
      </c>
      <c r="Y12" s="5">
        <f t="shared" si="75"/>
        <v>2735</v>
      </c>
      <c r="Z12" s="5">
        <f t="shared" si="75"/>
        <v>2215</v>
      </c>
      <c r="AA12" s="5">
        <f t="shared" si="75"/>
        <v>1946</v>
      </c>
      <c r="AB12" s="5">
        <f t="shared" si="75"/>
        <v>2002</v>
      </c>
      <c r="AC12" s="5">
        <f t="shared" si="75"/>
        <v>1922</v>
      </c>
      <c r="AD12" s="5">
        <f>+AD9+AD10-AD11</f>
        <v>1548</v>
      </c>
      <c r="AE12" s="5">
        <f t="shared" ref="AE12:AH12" si="76">+AE9+AE10-AE11</f>
        <v>1152.79</v>
      </c>
      <c r="AF12" s="5">
        <f t="shared" si="76"/>
        <v>1180.8499999999999</v>
      </c>
      <c r="AG12" s="5">
        <f t="shared" si="76"/>
        <v>1416.3</v>
      </c>
      <c r="AH12" s="5">
        <f t="shared" si="76"/>
        <v>1497.27</v>
      </c>
      <c r="AP12" s="5">
        <f t="shared" ref="AP12" si="77">+AP9+AP10-AP11</f>
        <v>6409</v>
      </c>
      <c r="AQ12" s="5">
        <f t="shared" ref="AQ12" si="78">+AQ9+AQ10-AQ11</f>
        <v>7007</v>
      </c>
      <c r="AR12" s="5">
        <f t="shared" ref="AR12" si="79">+AR9+AR10-AR11</f>
        <v>5980</v>
      </c>
      <c r="AS12" s="5">
        <f t="shared" ref="AS12" si="80">+AS9+AS10-AS11</f>
        <v>6239</v>
      </c>
      <c r="AT12" s="5">
        <f t="shared" ref="AT12" si="81">+AT9+AT10-AT11</f>
        <v>9115</v>
      </c>
      <c r="AU12" s="5">
        <f t="shared" ref="AU12" si="82">+AU9+AU10-AU11</f>
        <v>10289</v>
      </c>
      <c r="AV12" s="5">
        <f t="shared" ref="AV12" si="83">+AV9+AV10-AV11</f>
        <v>7418</v>
      </c>
      <c r="AW12" s="5">
        <f t="shared" ref="AW12" si="84">+AW9+AW10-AW11</f>
        <v>5247.2099999999982</v>
      </c>
      <c r="AX12" s="5">
        <f t="shared" ref="AX12" si="85">+AX9+AX10-AX11</f>
        <v>7018.507499999997</v>
      </c>
      <c r="AY12" s="5">
        <f t="shared" ref="AY12" si="86">+AY9+AY10-AY11</f>
        <v>8721.9705629999989</v>
      </c>
      <c r="AZ12" s="5">
        <f t="shared" ref="AZ12" si="87">+AZ9+AZ10-AZ11</f>
        <v>10264.677920789998</v>
      </c>
      <c r="BA12" s="5">
        <f t="shared" ref="BA12" si="88">+BA9+BA10-BA11</f>
        <v>11986.111255457101</v>
      </c>
      <c r="BB12" s="5">
        <f t="shared" ref="BB12" si="89">+BB9+BB10-BB11</f>
        <v>13905.181294361659</v>
      </c>
    </row>
    <row r="13" spans="1:513" x14ac:dyDescent="0.25">
      <c r="B13" t="s">
        <v>17</v>
      </c>
      <c r="C13" s="1">
        <v>258</v>
      </c>
      <c r="D13" s="1">
        <v>430</v>
      </c>
      <c r="E13" s="1">
        <v>504</v>
      </c>
      <c r="F13" s="1">
        <v>1206</v>
      </c>
      <c r="G13" s="1">
        <v>187</v>
      </c>
      <c r="H13" s="1">
        <v>301</v>
      </c>
      <c r="I13" s="1">
        <v>354</v>
      </c>
      <c r="J13" s="1">
        <v>264</v>
      </c>
      <c r="K13" s="1">
        <v>160</v>
      </c>
      <c r="L13" s="1">
        <v>209</v>
      </c>
      <c r="M13" s="1">
        <v>155</v>
      </c>
      <c r="N13" s="1">
        <v>187</v>
      </c>
      <c r="O13" s="1">
        <v>50</v>
      </c>
      <c r="P13" s="1">
        <v>-101</v>
      </c>
      <c r="Q13" s="1">
        <v>234</v>
      </c>
      <c r="R13" s="1">
        <v>239</v>
      </c>
      <c r="S13" s="1">
        <v>186</v>
      </c>
      <c r="T13" s="1">
        <v>311</v>
      </c>
      <c r="U13" s="1">
        <v>328</v>
      </c>
      <c r="V13" s="1">
        <v>325</v>
      </c>
      <c r="W13" s="1">
        <v>325</v>
      </c>
      <c r="X13" s="1">
        <v>390</v>
      </c>
      <c r="Y13" s="1">
        <v>363</v>
      </c>
      <c r="Z13" s="1">
        <v>205</v>
      </c>
      <c r="AA13" s="1">
        <v>238</v>
      </c>
      <c r="AB13" s="1">
        <v>280</v>
      </c>
      <c r="AC13" s="1">
        <v>213</v>
      </c>
      <c r="AD13" s="1">
        <v>177</v>
      </c>
      <c r="AE13" s="1">
        <f>0.2*AE12</f>
        <v>230.55799999999999</v>
      </c>
      <c r="AF13" s="1">
        <f t="shared" ref="AF13:AH13" si="90">0.2*AF12</f>
        <v>236.17</v>
      </c>
      <c r="AG13" s="1">
        <f t="shared" si="90"/>
        <v>283.26</v>
      </c>
      <c r="AH13" s="1">
        <f t="shared" si="90"/>
        <v>299.45400000000001</v>
      </c>
      <c r="AP13" s="1">
        <f>SUM(C13:F13)</f>
        <v>2398</v>
      </c>
      <c r="AQ13" s="1">
        <f>SUM(G13:J13)</f>
        <v>1106</v>
      </c>
      <c r="AR13" s="1">
        <f>SUM(K13:N13)</f>
        <v>711</v>
      </c>
      <c r="AS13" s="1">
        <f>SUM(O13:R13)</f>
        <v>422</v>
      </c>
      <c r="AT13" s="1">
        <f>SUM(S13:V13)</f>
        <v>1150</v>
      </c>
      <c r="AU13" s="1">
        <f>SUM(W13:Z13)</f>
        <v>1283</v>
      </c>
      <c r="AV13" s="1">
        <f>SUM(AA13:AD13)</f>
        <v>908</v>
      </c>
      <c r="AW13" s="1">
        <f>0.16*AW12</f>
        <v>839.55359999999973</v>
      </c>
      <c r="AX13" s="1">
        <f t="shared" ref="AX13:BB13" si="91">0.16*AX12</f>
        <v>1122.9611999999995</v>
      </c>
      <c r="AY13" s="1">
        <f t="shared" si="91"/>
        <v>1395.5152900799999</v>
      </c>
      <c r="AZ13" s="1">
        <f t="shared" si="91"/>
        <v>1642.3484673263997</v>
      </c>
      <c r="BA13" s="1">
        <f t="shared" si="91"/>
        <v>1917.7778008731361</v>
      </c>
      <c r="BB13" s="1">
        <f t="shared" si="91"/>
        <v>2224.8290070978655</v>
      </c>
    </row>
    <row r="14" spans="1:513" s="5" customFormat="1" x14ac:dyDescent="0.25">
      <c r="A14" s="4"/>
      <c r="B14" s="4" t="s">
        <v>18</v>
      </c>
      <c r="C14" s="5">
        <f t="shared" ref="C14:AC14" si="92">+C12-C13</f>
        <v>1081</v>
      </c>
      <c r="D14" s="5">
        <f t="shared" si="92"/>
        <v>1138</v>
      </c>
      <c r="E14" s="5">
        <f t="shared" si="92"/>
        <v>1366</v>
      </c>
      <c r="F14" s="5">
        <f t="shared" si="92"/>
        <v>426</v>
      </c>
      <c r="G14" s="5">
        <f t="shared" si="92"/>
        <v>1447</v>
      </c>
      <c r="H14" s="5">
        <f t="shared" si="92"/>
        <v>1487</v>
      </c>
      <c r="I14" s="5">
        <f t="shared" si="92"/>
        <v>1651</v>
      </c>
      <c r="J14" s="5">
        <f t="shared" si="92"/>
        <v>1316</v>
      </c>
      <c r="K14" s="5">
        <f t="shared" si="92"/>
        <v>1296</v>
      </c>
      <c r="L14" s="5">
        <f t="shared" si="92"/>
        <v>1349</v>
      </c>
      <c r="M14" s="5">
        <f t="shared" si="92"/>
        <v>1504</v>
      </c>
      <c r="N14" s="5">
        <f t="shared" si="92"/>
        <v>1120</v>
      </c>
      <c r="O14" s="5">
        <f t="shared" si="92"/>
        <v>1224</v>
      </c>
      <c r="P14" s="5">
        <f t="shared" si="92"/>
        <v>1454</v>
      </c>
      <c r="Q14" s="5">
        <f t="shared" si="92"/>
        <v>1404</v>
      </c>
      <c r="R14" s="5">
        <f t="shared" si="92"/>
        <v>1735</v>
      </c>
      <c r="S14" s="5">
        <f t="shared" si="92"/>
        <v>1800</v>
      </c>
      <c r="T14" s="5">
        <f t="shared" si="92"/>
        <v>1979</v>
      </c>
      <c r="U14" s="5">
        <f t="shared" si="92"/>
        <v>1994</v>
      </c>
      <c r="V14" s="5">
        <f t="shared" si="92"/>
        <v>2192</v>
      </c>
      <c r="W14" s="5">
        <f t="shared" si="92"/>
        <v>2267</v>
      </c>
      <c r="X14" s="5">
        <f t="shared" si="92"/>
        <v>2357</v>
      </c>
      <c r="Y14" s="5">
        <f t="shared" si="92"/>
        <v>2372</v>
      </c>
      <c r="Z14" s="5">
        <f t="shared" si="92"/>
        <v>2010</v>
      </c>
      <c r="AA14" s="5">
        <f t="shared" si="92"/>
        <v>1708</v>
      </c>
      <c r="AB14" s="5">
        <f t="shared" si="92"/>
        <v>1722</v>
      </c>
      <c r="AC14" s="5">
        <f t="shared" si="92"/>
        <v>1709</v>
      </c>
      <c r="AD14" s="5">
        <f>+AD12-AD13</f>
        <v>1371</v>
      </c>
      <c r="AE14" s="5">
        <f t="shared" ref="AE14:AH14" si="93">+AE12-AE13</f>
        <v>922.23199999999997</v>
      </c>
      <c r="AF14" s="5">
        <f t="shared" si="93"/>
        <v>944.68</v>
      </c>
      <c r="AG14" s="5">
        <f t="shared" si="93"/>
        <v>1133.04</v>
      </c>
      <c r="AH14" s="5">
        <f t="shared" si="93"/>
        <v>1197.816</v>
      </c>
      <c r="AP14" s="5">
        <f t="shared" ref="AP14" si="94">+AP12-AP13</f>
        <v>4011</v>
      </c>
      <c r="AQ14" s="5">
        <f t="shared" ref="AQ14" si="95">+AQ12-AQ13</f>
        <v>5901</v>
      </c>
      <c r="AR14" s="5">
        <f t="shared" ref="AR14" si="96">+AR12-AR13</f>
        <v>5269</v>
      </c>
      <c r="AS14" s="5">
        <f t="shared" ref="AS14" si="97">+AS12-AS13</f>
        <v>5817</v>
      </c>
      <c r="AT14" s="5">
        <f t="shared" ref="AT14" si="98">+AT12-AT13</f>
        <v>7965</v>
      </c>
      <c r="AU14" s="5">
        <f t="shared" ref="AU14" si="99">+AU12-AU13</f>
        <v>9006</v>
      </c>
      <c r="AV14" s="5">
        <f t="shared" ref="AV14" si="100">+AV12-AV13</f>
        <v>6510</v>
      </c>
      <c r="AW14" s="5">
        <f t="shared" ref="AW14" si="101">+AW12-AW13</f>
        <v>4407.656399999998</v>
      </c>
      <c r="AX14" s="5">
        <f t="shared" ref="AX14" si="102">+AX12-AX13</f>
        <v>5895.5462999999972</v>
      </c>
      <c r="AY14" s="5">
        <f t="shared" ref="AY14" si="103">+AY12-AY13</f>
        <v>7326.4552729199986</v>
      </c>
      <c r="AZ14" s="5">
        <f t="shared" ref="AZ14" si="104">+AZ12-AZ13</f>
        <v>8622.3294534635988</v>
      </c>
      <c r="BA14" s="5">
        <f t="shared" ref="BA14" si="105">+BA12-BA13</f>
        <v>10068.333454583964</v>
      </c>
      <c r="BB14" s="5">
        <f t="shared" ref="BB14" si="106">+BB12-BB13</f>
        <v>11680.352287263793</v>
      </c>
      <c r="BC14" s="5">
        <f>BB14*(1+$BH$23)</f>
        <v>11563.548764391155</v>
      </c>
      <c r="BD14" s="5">
        <f t="shared" ref="BD14:DO14" si="107">BC14*(1+$BH$23)</f>
        <v>11447.913276747244</v>
      </c>
      <c r="BE14" s="5">
        <f t="shared" si="107"/>
        <v>11333.434143979772</v>
      </c>
      <c r="BF14" s="5">
        <f t="shared" si="107"/>
        <v>11220.099802539973</v>
      </c>
      <c r="BG14" s="5">
        <f t="shared" si="107"/>
        <v>11107.898804514572</v>
      </c>
      <c r="BH14" s="5">
        <f t="shared" si="107"/>
        <v>10996.819816469426</v>
      </c>
      <c r="BI14" s="5">
        <f t="shared" si="107"/>
        <v>10886.851618304732</v>
      </c>
      <c r="BJ14" s="5">
        <f t="shared" si="107"/>
        <v>10777.983102121685</v>
      </c>
      <c r="BK14" s="5">
        <f t="shared" si="107"/>
        <v>10670.203271100469</v>
      </c>
      <c r="BL14" s="5">
        <f t="shared" si="107"/>
        <v>10563.501238389465</v>
      </c>
      <c r="BM14" s="5">
        <f t="shared" si="107"/>
        <v>10457.86622600557</v>
      </c>
      <c r="BN14" s="5">
        <f t="shared" si="107"/>
        <v>10353.287563745514</v>
      </c>
      <c r="BO14" s="5">
        <f t="shared" si="107"/>
        <v>10249.75468810806</v>
      </c>
      <c r="BP14" s="5">
        <f t="shared" si="107"/>
        <v>10147.257141226979</v>
      </c>
      <c r="BQ14" s="5">
        <f t="shared" si="107"/>
        <v>10045.784569814708</v>
      </c>
      <c r="BR14" s="5">
        <f t="shared" si="107"/>
        <v>9945.3267241165613</v>
      </c>
      <c r="BS14" s="5">
        <f t="shared" si="107"/>
        <v>9845.8734568753953</v>
      </c>
      <c r="BT14" s="5">
        <f t="shared" si="107"/>
        <v>9747.4147223066411</v>
      </c>
      <c r="BU14" s="5">
        <f t="shared" si="107"/>
        <v>9649.940575083574</v>
      </c>
      <c r="BV14" s="5">
        <f t="shared" si="107"/>
        <v>9553.4411693327384</v>
      </c>
      <c r="BW14" s="5">
        <f t="shared" si="107"/>
        <v>9457.90675763941</v>
      </c>
      <c r="BX14" s="5">
        <f t="shared" si="107"/>
        <v>9363.3276900630153</v>
      </c>
      <c r="BY14" s="5">
        <f t="shared" si="107"/>
        <v>9269.6944131623859</v>
      </c>
      <c r="BZ14" s="5">
        <f t="shared" si="107"/>
        <v>9176.9974690307627</v>
      </c>
      <c r="CA14" s="5">
        <f t="shared" si="107"/>
        <v>9085.2274943404555</v>
      </c>
      <c r="CB14" s="5">
        <f t="shared" si="107"/>
        <v>8994.3752193970504</v>
      </c>
      <c r="CC14" s="5">
        <f t="shared" si="107"/>
        <v>8904.4314672030796</v>
      </c>
      <c r="CD14" s="5">
        <f t="shared" si="107"/>
        <v>8815.3871525310478</v>
      </c>
      <c r="CE14" s="5">
        <f t="shared" si="107"/>
        <v>8727.2332810057378</v>
      </c>
      <c r="CF14" s="5">
        <f t="shared" si="107"/>
        <v>8639.9609481956795</v>
      </c>
      <c r="CG14" s="5">
        <f t="shared" si="107"/>
        <v>8553.5613387137219</v>
      </c>
      <c r="CH14" s="5">
        <f t="shared" si="107"/>
        <v>8468.0257253265845</v>
      </c>
      <c r="CI14" s="5">
        <f t="shared" si="107"/>
        <v>8383.3454680733194</v>
      </c>
      <c r="CJ14" s="5">
        <f t="shared" si="107"/>
        <v>8299.5120133925866</v>
      </c>
      <c r="CK14" s="5">
        <f t="shared" si="107"/>
        <v>8216.5168932586603</v>
      </c>
      <c r="CL14" s="5">
        <f t="shared" si="107"/>
        <v>8134.351724326074</v>
      </c>
      <c r="CM14" s="5">
        <f t="shared" si="107"/>
        <v>8053.008207082813</v>
      </c>
      <c r="CN14" s="5">
        <f t="shared" si="107"/>
        <v>7972.478125011985</v>
      </c>
      <c r="CO14" s="5">
        <f t="shared" si="107"/>
        <v>7892.7533437618649</v>
      </c>
      <c r="CP14" s="5">
        <f t="shared" si="107"/>
        <v>7813.825810324246</v>
      </c>
      <c r="CQ14" s="5">
        <f t="shared" si="107"/>
        <v>7735.6875522210039</v>
      </c>
      <c r="CR14" s="5">
        <f t="shared" si="107"/>
        <v>7658.3306766987935</v>
      </c>
      <c r="CS14" s="5">
        <f t="shared" si="107"/>
        <v>7581.7473699318052</v>
      </c>
      <c r="CT14" s="5">
        <f t="shared" si="107"/>
        <v>7505.9298962324874</v>
      </c>
      <c r="CU14" s="5">
        <f t="shared" si="107"/>
        <v>7430.8705972701628</v>
      </c>
      <c r="CV14" s="5">
        <f t="shared" si="107"/>
        <v>7356.5618912974614</v>
      </c>
      <c r="CW14" s="5">
        <f t="shared" si="107"/>
        <v>7282.9962723844865</v>
      </c>
      <c r="CX14" s="5">
        <f t="shared" si="107"/>
        <v>7210.1663096606417</v>
      </c>
      <c r="CY14" s="5">
        <f t="shared" si="107"/>
        <v>7138.0646465640348</v>
      </c>
      <c r="CZ14" s="5">
        <f t="shared" si="107"/>
        <v>7066.6840000983948</v>
      </c>
      <c r="DA14" s="5">
        <f t="shared" si="107"/>
        <v>6996.0171600974109</v>
      </c>
      <c r="DB14" s="5">
        <f t="shared" si="107"/>
        <v>6926.056988496437</v>
      </c>
      <c r="DC14" s="5">
        <f t="shared" si="107"/>
        <v>6856.7964186114723</v>
      </c>
      <c r="DD14" s="5">
        <f t="shared" si="107"/>
        <v>6788.2284544253571</v>
      </c>
      <c r="DE14" s="5">
        <f t="shared" si="107"/>
        <v>6720.3461698811034</v>
      </c>
      <c r="DF14" s="5">
        <f t="shared" si="107"/>
        <v>6653.1427081822922</v>
      </c>
      <c r="DG14" s="5">
        <f t="shared" si="107"/>
        <v>6586.6112811004696</v>
      </c>
      <c r="DH14" s="5">
        <f t="shared" si="107"/>
        <v>6520.7451682894653</v>
      </c>
      <c r="DI14" s="5">
        <f t="shared" si="107"/>
        <v>6455.5377166065709</v>
      </c>
      <c r="DJ14" s="5">
        <f t="shared" si="107"/>
        <v>6390.9823394405048</v>
      </c>
      <c r="DK14" s="5">
        <f t="shared" si="107"/>
        <v>6327.0725160460997</v>
      </c>
      <c r="DL14" s="5">
        <f t="shared" si="107"/>
        <v>6263.8017908856391</v>
      </c>
      <c r="DM14" s="5">
        <f t="shared" si="107"/>
        <v>6201.1637729767826</v>
      </c>
      <c r="DN14" s="5">
        <f t="shared" si="107"/>
        <v>6139.1521352470145</v>
      </c>
      <c r="DO14" s="5">
        <f t="shared" si="107"/>
        <v>6077.7606138945439</v>
      </c>
      <c r="DP14" s="5">
        <f t="shared" ref="DP14:GA14" si="108">DO14*(1+$BH$23)</f>
        <v>6016.983007755598</v>
      </c>
      <c r="DQ14" s="5">
        <f t="shared" si="108"/>
        <v>5956.8131776780419</v>
      </c>
      <c r="DR14" s="5">
        <f t="shared" si="108"/>
        <v>5897.2450459012616</v>
      </c>
      <c r="DS14" s="5">
        <f t="shared" si="108"/>
        <v>5838.2725954422485</v>
      </c>
      <c r="DT14" s="5">
        <f t="shared" si="108"/>
        <v>5779.8898694878262</v>
      </c>
      <c r="DU14" s="5">
        <f t="shared" si="108"/>
        <v>5722.0909707929477</v>
      </c>
      <c r="DV14" s="5">
        <f t="shared" si="108"/>
        <v>5664.8700610850183</v>
      </c>
      <c r="DW14" s="5">
        <f t="shared" si="108"/>
        <v>5608.2213604741683</v>
      </c>
      <c r="DX14" s="5">
        <f t="shared" si="108"/>
        <v>5552.1391468694264</v>
      </c>
      <c r="DY14" s="5">
        <f t="shared" si="108"/>
        <v>5496.6177554007318</v>
      </c>
      <c r="DZ14" s="5">
        <f t="shared" si="108"/>
        <v>5441.6515778467246</v>
      </c>
      <c r="EA14" s="5">
        <f t="shared" si="108"/>
        <v>5387.2350620682573</v>
      </c>
      <c r="EB14" s="5">
        <f t="shared" si="108"/>
        <v>5333.3627114475748</v>
      </c>
      <c r="EC14" s="5">
        <f t="shared" si="108"/>
        <v>5280.0290843330995</v>
      </c>
      <c r="ED14" s="5">
        <f t="shared" si="108"/>
        <v>5227.2287934897686</v>
      </c>
      <c r="EE14" s="5">
        <f t="shared" si="108"/>
        <v>5174.956505554871</v>
      </c>
      <c r="EF14" s="5">
        <f t="shared" si="108"/>
        <v>5123.2069404993226</v>
      </c>
      <c r="EG14" s="5">
        <f t="shared" si="108"/>
        <v>5071.9748710943295</v>
      </c>
      <c r="EH14" s="5">
        <f t="shared" si="108"/>
        <v>5021.2551223833862</v>
      </c>
      <c r="EI14" s="5">
        <f t="shared" si="108"/>
        <v>4971.0425711595526</v>
      </c>
      <c r="EJ14" s="5">
        <f t="shared" si="108"/>
        <v>4921.3321454479574</v>
      </c>
      <c r="EK14" s="5">
        <f t="shared" si="108"/>
        <v>4872.1188239934781</v>
      </c>
      <c r="EL14" s="5">
        <f t="shared" si="108"/>
        <v>4823.397635753543</v>
      </c>
      <c r="EM14" s="5">
        <f t="shared" si="108"/>
        <v>4775.1636593960075</v>
      </c>
      <c r="EN14" s="5">
        <f t="shared" si="108"/>
        <v>4727.4120228020474</v>
      </c>
      <c r="EO14" s="5">
        <f t="shared" si="108"/>
        <v>4680.1379025740271</v>
      </c>
      <c r="EP14" s="5">
        <f t="shared" si="108"/>
        <v>4633.336523548287</v>
      </c>
      <c r="EQ14" s="5">
        <f t="shared" si="108"/>
        <v>4587.0031583128039</v>
      </c>
      <c r="ER14" s="5">
        <f t="shared" si="108"/>
        <v>4541.1331267296755</v>
      </c>
      <c r="ES14" s="5">
        <f t="shared" si="108"/>
        <v>4495.7217954623784</v>
      </c>
      <c r="ET14" s="5">
        <f t="shared" si="108"/>
        <v>4450.7645775077544</v>
      </c>
      <c r="EU14" s="5">
        <f t="shared" si="108"/>
        <v>4406.256931732677</v>
      </c>
      <c r="EV14" s="5">
        <f t="shared" si="108"/>
        <v>4362.19436241535</v>
      </c>
      <c r="EW14" s="5">
        <f t="shared" si="108"/>
        <v>4318.5724187911965</v>
      </c>
      <c r="EX14" s="5">
        <f t="shared" si="108"/>
        <v>4275.386694603284</v>
      </c>
      <c r="EY14" s="5">
        <f t="shared" si="108"/>
        <v>4232.6328276572513</v>
      </c>
      <c r="EZ14" s="5">
        <f t="shared" si="108"/>
        <v>4190.3064993806784</v>
      </c>
      <c r="FA14" s="5">
        <f t="shared" si="108"/>
        <v>4148.4034343868716</v>
      </c>
      <c r="FB14" s="5">
        <f t="shared" si="108"/>
        <v>4106.9194000430025</v>
      </c>
      <c r="FC14" s="5">
        <f t="shared" si="108"/>
        <v>4065.8502060425726</v>
      </c>
      <c r="FD14" s="5">
        <f t="shared" si="108"/>
        <v>4025.1917039821469</v>
      </c>
      <c r="FE14" s="5">
        <f t="shared" si="108"/>
        <v>3984.9397869423256</v>
      </c>
      <c r="FF14" s="5">
        <f t="shared" si="108"/>
        <v>3945.0903890729023</v>
      </c>
      <c r="FG14" s="5">
        <f t="shared" si="108"/>
        <v>3905.6394851821733</v>
      </c>
      <c r="FH14" s="5">
        <f t="shared" si="108"/>
        <v>3866.5830903303518</v>
      </c>
      <c r="FI14" s="5">
        <f t="shared" si="108"/>
        <v>3827.9172594270481</v>
      </c>
      <c r="FJ14" s="5">
        <f t="shared" si="108"/>
        <v>3789.6380868327774</v>
      </c>
      <c r="FK14" s="5">
        <f t="shared" si="108"/>
        <v>3751.7417059644495</v>
      </c>
      <c r="FL14" s="5">
        <f t="shared" si="108"/>
        <v>3714.2242889048048</v>
      </c>
      <c r="FM14" s="5">
        <f t="shared" si="108"/>
        <v>3677.0820460157565</v>
      </c>
      <c r="FN14" s="5">
        <f t="shared" si="108"/>
        <v>3640.3112255555989</v>
      </c>
      <c r="FO14" s="5">
        <f t="shared" si="108"/>
        <v>3603.9081133000427</v>
      </c>
      <c r="FP14" s="5">
        <f t="shared" si="108"/>
        <v>3567.8690321670424</v>
      </c>
      <c r="FQ14" s="5">
        <f t="shared" si="108"/>
        <v>3532.1903418453721</v>
      </c>
      <c r="FR14" s="5">
        <f t="shared" si="108"/>
        <v>3496.8684384269186</v>
      </c>
      <c r="FS14" s="5">
        <f t="shared" si="108"/>
        <v>3461.8997540426494</v>
      </c>
      <c r="FT14" s="5">
        <f t="shared" si="108"/>
        <v>3427.2807565022231</v>
      </c>
      <c r="FU14" s="5">
        <f t="shared" si="108"/>
        <v>3393.007948937201</v>
      </c>
      <c r="FV14" s="5">
        <f t="shared" si="108"/>
        <v>3359.077869447829</v>
      </c>
      <c r="FW14" s="5">
        <f t="shared" si="108"/>
        <v>3325.4870907533509</v>
      </c>
      <c r="FX14" s="5">
        <f t="shared" si="108"/>
        <v>3292.2322198458173</v>
      </c>
      <c r="FY14" s="5">
        <f t="shared" si="108"/>
        <v>3259.3098976473593</v>
      </c>
      <c r="FZ14" s="5">
        <f t="shared" si="108"/>
        <v>3226.7167986708855</v>
      </c>
      <c r="GA14" s="5">
        <f t="shared" si="108"/>
        <v>3194.4496306841766</v>
      </c>
      <c r="GB14" s="5">
        <f t="shared" ref="GB14:IM14" si="109">GA14*(1+$BH$23)</f>
        <v>3162.5051343773348</v>
      </c>
      <c r="GC14" s="5">
        <f t="shared" si="109"/>
        <v>3130.8800830335613</v>
      </c>
      <c r="GD14" s="5">
        <f t="shared" si="109"/>
        <v>3099.5712822032256</v>
      </c>
      <c r="GE14" s="5">
        <f t="shared" si="109"/>
        <v>3068.5755693811934</v>
      </c>
      <c r="GF14" s="5">
        <f t="shared" si="109"/>
        <v>3037.8898136873813</v>
      </c>
      <c r="GG14" s="5">
        <f t="shared" si="109"/>
        <v>3007.5109155505074</v>
      </c>
      <c r="GH14" s="5">
        <f t="shared" si="109"/>
        <v>2977.4358063950021</v>
      </c>
      <c r="GI14" s="5">
        <f t="shared" si="109"/>
        <v>2947.6614483310523</v>
      </c>
      <c r="GJ14" s="5">
        <f t="shared" si="109"/>
        <v>2918.1848338477416</v>
      </c>
      <c r="GK14" s="5">
        <f t="shared" si="109"/>
        <v>2889.0029855092644</v>
      </c>
      <c r="GL14" s="5">
        <f t="shared" si="109"/>
        <v>2860.1129556541719</v>
      </c>
      <c r="GM14" s="5">
        <f t="shared" si="109"/>
        <v>2831.5118260976301</v>
      </c>
      <c r="GN14" s="5">
        <f t="shared" si="109"/>
        <v>2803.1967078366538</v>
      </c>
      <c r="GO14" s="5">
        <f t="shared" si="109"/>
        <v>2775.1647407582873</v>
      </c>
      <c r="GP14" s="5">
        <f t="shared" si="109"/>
        <v>2747.4130933507045</v>
      </c>
      <c r="GQ14" s="5">
        <f t="shared" si="109"/>
        <v>2719.9389624171972</v>
      </c>
      <c r="GR14" s="5">
        <f t="shared" si="109"/>
        <v>2692.7395727930252</v>
      </c>
      <c r="GS14" s="5">
        <f t="shared" si="109"/>
        <v>2665.8121770650951</v>
      </c>
      <c r="GT14" s="5">
        <f t="shared" si="109"/>
        <v>2639.1540552944439</v>
      </c>
      <c r="GU14" s="5">
        <f t="shared" si="109"/>
        <v>2612.7625147414992</v>
      </c>
      <c r="GV14" s="5">
        <f t="shared" si="109"/>
        <v>2586.6348895940841</v>
      </c>
      <c r="GW14" s="5">
        <f t="shared" si="109"/>
        <v>2560.7685406981432</v>
      </c>
      <c r="GX14" s="5">
        <f t="shared" si="109"/>
        <v>2535.1608552911616</v>
      </c>
      <c r="GY14" s="5">
        <f t="shared" si="109"/>
        <v>2509.8092467382498</v>
      </c>
      <c r="GZ14" s="5">
        <f t="shared" si="109"/>
        <v>2484.7111542708672</v>
      </c>
      <c r="HA14" s="5">
        <f t="shared" si="109"/>
        <v>2459.8640427281584</v>
      </c>
      <c r="HB14" s="5">
        <f t="shared" si="109"/>
        <v>2435.2654023008768</v>
      </c>
      <c r="HC14" s="5">
        <f t="shared" si="109"/>
        <v>2410.9127482778681</v>
      </c>
      <c r="HD14" s="5">
        <f t="shared" si="109"/>
        <v>2386.8036207950895</v>
      </c>
      <c r="HE14" s="5">
        <f t="shared" si="109"/>
        <v>2362.9355845871387</v>
      </c>
      <c r="HF14" s="5">
        <f t="shared" si="109"/>
        <v>2339.3062287412672</v>
      </c>
      <c r="HG14" s="5">
        <f t="shared" si="109"/>
        <v>2315.9131664538545</v>
      </c>
      <c r="HH14" s="5">
        <f t="shared" si="109"/>
        <v>2292.7540347893159</v>
      </c>
      <c r="HI14" s="5">
        <f t="shared" si="109"/>
        <v>2269.8264944414227</v>
      </c>
      <c r="HJ14" s="5">
        <f t="shared" si="109"/>
        <v>2247.1282294970083</v>
      </c>
      <c r="HK14" s="5">
        <f t="shared" si="109"/>
        <v>2224.6569472020383</v>
      </c>
      <c r="HL14" s="5">
        <f t="shared" si="109"/>
        <v>2202.4103777300179</v>
      </c>
      <c r="HM14" s="5">
        <f t="shared" si="109"/>
        <v>2180.3862739527176</v>
      </c>
      <c r="HN14" s="5">
        <f t="shared" si="109"/>
        <v>2158.5824112131904</v>
      </c>
      <c r="HO14" s="5">
        <f t="shared" si="109"/>
        <v>2136.9965871010586</v>
      </c>
      <c r="HP14" s="5">
        <f t="shared" si="109"/>
        <v>2115.6266212300479</v>
      </c>
      <c r="HQ14" s="5">
        <f t="shared" si="109"/>
        <v>2094.4703550177474</v>
      </c>
      <c r="HR14" s="5">
        <f t="shared" si="109"/>
        <v>2073.5256514675698</v>
      </c>
      <c r="HS14" s="5">
        <f t="shared" si="109"/>
        <v>2052.7903949528941</v>
      </c>
      <c r="HT14" s="5">
        <f t="shared" si="109"/>
        <v>2032.2624910033651</v>
      </c>
      <c r="HU14" s="5">
        <f t="shared" si="109"/>
        <v>2011.9398660933314</v>
      </c>
      <c r="HV14" s="5">
        <f t="shared" si="109"/>
        <v>1991.8204674323981</v>
      </c>
      <c r="HW14" s="5">
        <f t="shared" si="109"/>
        <v>1971.9022627580741</v>
      </c>
      <c r="HX14" s="5">
        <f t="shared" si="109"/>
        <v>1952.1832401304935</v>
      </c>
      <c r="HY14" s="5">
        <f t="shared" si="109"/>
        <v>1932.6614077291886</v>
      </c>
      <c r="HZ14" s="5">
        <f t="shared" si="109"/>
        <v>1913.3347936518967</v>
      </c>
      <c r="IA14" s="5">
        <f t="shared" si="109"/>
        <v>1894.2014457153778</v>
      </c>
      <c r="IB14" s="5">
        <f t="shared" si="109"/>
        <v>1875.2594312582239</v>
      </c>
      <c r="IC14" s="5">
        <f t="shared" si="109"/>
        <v>1856.5068369456417</v>
      </c>
      <c r="ID14" s="5">
        <f t="shared" si="109"/>
        <v>1837.9417685761853</v>
      </c>
      <c r="IE14" s="5">
        <f t="shared" si="109"/>
        <v>1819.5623508904234</v>
      </c>
      <c r="IF14" s="5">
        <f t="shared" si="109"/>
        <v>1801.3667273815192</v>
      </c>
      <c r="IG14" s="5">
        <f t="shared" si="109"/>
        <v>1783.3530601077041</v>
      </c>
      <c r="IH14" s="5">
        <f t="shared" si="109"/>
        <v>1765.5195295066271</v>
      </c>
      <c r="II14" s="5">
        <f t="shared" si="109"/>
        <v>1747.8643342115608</v>
      </c>
      <c r="IJ14" s="5">
        <f t="shared" si="109"/>
        <v>1730.3856908694452</v>
      </c>
      <c r="IK14" s="5">
        <f t="shared" si="109"/>
        <v>1713.0818339607506</v>
      </c>
      <c r="IL14" s="5">
        <f t="shared" si="109"/>
        <v>1695.9510156211431</v>
      </c>
      <c r="IM14" s="5">
        <f t="shared" si="109"/>
        <v>1678.9915054649316</v>
      </c>
      <c r="IN14" s="5">
        <f t="shared" ref="IN14:KY14" si="110">IM14*(1+$BH$23)</f>
        <v>1662.2015904102823</v>
      </c>
      <c r="IO14" s="5">
        <f t="shared" si="110"/>
        <v>1645.5795745061794</v>
      </c>
      <c r="IP14" s="5">
        <f t="shared" si="110"/>
        <v>1629.1237787611176</v>
      </c>
      <c r="IQ14" s="5">
        <f t="shared" si="110"/>
        <v>1612.8325409735064</v>
      </c>
      <c r="IR14" s="5">
        <f t="shared" si="110"/>
        <v>1596.7042155637714</v>
      </c>
      <c r="IS14" s="5">
        <f t="shared" si="110"/>
        <v>1580.7371734081337</v>
      </c>
      <c r="IT14" s="5">
        <f t="shared" si="110"/>
        <v>1564.9298016740524</v>
      </c>
      <c r="IU14" s="5">
        <f t="shared" si="110"/>
        <v>1549.280503657312</v>
      </c>
      <c r="IV14" s="5">
        <f t="shared" si="110"/>
        <v>1533.7876986207389</v>
      </c>
      <c r="IW14" s="5">
        <f t="shared" si="110"/>
        <v>1518.4498216345314</v>
      </c>
      <c r="IX14" s="5">
        <f t="shared" si="110"/>
        <v>1503.2653234181862</v>
      </c>
      <c r="IY14" s="5">
        <f t="shared" si="110"/>
        <v>1488.2326701840043</v>
      </c>
      <c r="IZ14" s="5">
        <f t="shared" si="110"/>
        <v>1473.3503434821641</v>
      </c>
      <c r="JA14" s="5">
        <f t="shared" si="110"/>
        <v>1458.6168400473425</v>
      </c>
      <c r="JB14" s="5">
        <f t="shared" si="110"/>
        <v>1444.030671646869</v>
      </c>
      <c r="JC14" s="5">
        <f t="shared" si="110"/>
        <v>1429.5903649304003</v>
      </c>
      <c r="JD14" s="5">
        <f t="shared" si="110"/>
        <v>1415.2944612810963</v>
      </c>
      <c r="JE14" s="5">
        <f t="shared" si="110"/>
        <v>1401.1415166682855</v>
      </c>
      <c r="JF14" s="5">
        <f t="shared" si="110"/>
        <v>1387.1301015016027</v>
      </c>
      <c r="JG14" s="5">
        <f t="shared" si="110"/>
        <v>1373.2588004865866</v>
      </c>
      <c r="JH14" s="5">
        <f t="shared" si="110"/>
        <v>1359.5262124817207</v>
      </c>
      <c r="JI14" s="5">
        <f t="shared" si="110"/>
        <v>1345.9309503569034</v>
      </c>
      <c r="JJ14" s="5">
        <f t="shared" si="110"/>
        <v>1332.4716408533343</v>
      </c>
      <c r="JK14" s="5">
        <f t="shared" si="110"/>
        <v>1319.146924444801</v>
      </c>
      <c r="JL14" s="5">
        <f t="shared" si="110"/>
        <v>1305.9554552003531</v>
      </c>
      <c r="JM14" s="5">
        <f t="shared" si="110"/>
        <v>1292.8959006483494</v>
      </c>
      <c r="JN14" s="5">
        <f t="shared" si="110"/>
        <v>1279.966941641866</v>
      </c>
      <c r="JO14" s="5">
        <f t="shared" si="110"/>
        <v>1267.1672722254473</v>
      </c>
      <c r="JP14" s="5">
        <f t="shared" si="110"/>
        <v>1254.4955995031928</v>
      </c>
      <c r="JQ14" s="5">
        <f t="shared" si="110"/>
        <v>1241.950643508161</v>
      </c>
      <c r="JR14" s="5">
        <f t="shared" si="110"/>
        <v>1229.5311370730794</v>
      </c>
      <c r="JS14" s="5">
        <f t="shared" si="110"/>
        <v>1217.2358257023486</v>
      </c>
      <c r="JT14" s="5">
        <f t="shared" si="110"/>
        <v>1205.0634674453252</v>
      </c>
      <c r="JU14" s="5">
        <f t="shared" si="110"/>
        <v>1193.0128327708719</v>
      </c>
      <c r="JV14" s="5">
        <f t="shared" si="110"/>
        <v>1181.0827044431633</v>
      </c>
      <c r="JW14" s="5">
        <f t="shared" si="110"/>
        <v>1169.2718773987317</v>
      </c>
      <c r="JX14" s="5">
        <f t="shared" si="110"/>
        <v>1157.5791586247444</v>
      </c>
      <c r="JY14" s="5">
        <f t="shared" si="110"/>
        <v>1146.0033670384969</v>
      </c>
      <c r="JZ14" s="5">
        <f t="shared" si="110"/>
        <v>1134.5433333681119</v>
      </c>
      <c r="KA14" s="5">
        <f t="shared" si="110"/>
        <v>1123.1979000344309</v>
      </c>
      <c r="KB14" s="5">
        <f t="shared" si="110"/>
        <v>1111.9659210340865</v>
      </c>
      <c r="KC14" s="5">
        <f t="shared" si="110"/>
        <v>1100.8462618237456</v>
      </c>
      <c r="KD14" s="5">
        <f t="shared" si="110"/>
        <v>1089.8377992055082</v>
      </c>
      <c r="KE14" s="5">
        <f t="shared" si="110"/>
        <v>1078.939421213453</v>
      </c>
      <c r="KF14" s="5">
        <f t="shared" si="110"/>
        <v>1068.1500270013184</v>
      </c>
      <c r="KG14" s="5">
        <f t="shared" si="110"/>
        <v>1057.4685267313052</v>
      </c>
      <c r="KH14" s="5">
        <f t="shared" si="110"/>
        <v>1046.8938414639922</v>
      </c>
      <c r="KI14" s="5">
        <f t="shared" si="110"/>
        <v>1036.4249030493522</v>
      </c>
      <c r="KJ14" s="5">
        <f t="shared" si="110"/>
        <v>1026.0606540188587</v>
      </c>
      <c r="KK14" s="5">
        <f t="shared" si="110"/>
        <v>1015.8000474786701</v>
      </c>
      <c r="KL14" s="5">
        <f t="shared" si="110"/>
        <v>1005.6420470038834</v>
      </c>
      <c r="KM14" s="5">
        <f t="shared" si="110"/>
        <v>995.58562653384456</v>
      </c>
      <c r="KN14" s="5">
        <f t="shared" si="110"/>
        <v>985.62977026850615</v>
      </c>
      <c r="KO14" s="5">
        <f t="shared" si="110"/>
        <v>975.77347256582107</v>
      </c>
      <c r="KP14" s="5">
        <f t="shared" si="110"/>
        <v>966.01573784016284</v>
      </c>
      <c r="KQ14" s="5">
        <f t="shared" si="110"/>
        <v>956.35558046176118</v>
      </c>
      <c r="KR14" s="5">
        <f t="shared" si="110"/>
        <v>946.79202465714354</v>
      </c>
      <c r="KS14" s="5">
        <f t="shared" si="110"/>
        <v>937.32410441057209</v>
      </c>
      <c r="KT14" s="5">
        <f t="shared" si="110"/>
        <v>927.95086336646636</v>
      </c>
      <c r="KU14" s="5">
        <f t="shared" si="110"/>
        <v>918.67135473280166</v>
      </c>
      <c r="KV14" s="5">
        <f t="shared" si="110"/>
        <v>909.48464118547361</v>
      </c>
      <c r="KW14" s="5">
        <f t="shared" si="110"/>
        <v>900.38979477361886</v>
      </c>
      <c r="KX14" s="5">
        <f t="shared" si="110"/>
        <v>891.3858968258827</v>
      </c>
      <c r="KY14" s="5">
        <f t="shared" si="110"/>
        <v>882.47203785762383</v>
      </c>
      <c r="KZ14" s="5">
        <f t="shared" ref="KZ14:NK14" si="111">KY14*(1+$BH$23)</f>
        <v>873.64731747904762</v>
      </c>
      <c r="LA14" s="5">
        <f t="shared" si="111"/>
        <v>864.91084430425713</v>
      </c>
      <c r="LB14" s="5">
        <f t="shared" si="111"/>
        <v>856.26173586121456</v>
      </c>
      <c r="LC14" s="5">
        <f t="shared" si="111"/>
        <v>847.69911850260246</v>
      </c>
      <c r="LD14" s="5">
        <f t="shared" si="111"/>
        <v>839.22212731757645</v>
      </c>
      <c r="LE14" s="5">
        <f t="shared" si="111"/>
        <v>830.82990604440067</v>
      </c>
      <c r="LF14" s="5">
        <f t="shared" si="111"/>
        <v>822.52160698395664</v>
      </c>
      <c r="LG14" s="5">
        <f t="shared" si="111"/>
        <v>814.29639091411707</v>
      </c>
      <c r="LH14" s="5">
        <f t="shared" si="111"/>
        <v>806.15342700497592</v>
      </c>
      <c r="LI14" s="5">
        <f t="shared" si="111"/>
        <v>798.0918927349262</v>
      </c>
      <c r="LJ14" s="5">
        <f t="shared" si="111"/>
        <v>790.1109738075769</v>
      </c>
      <c r="LK14" s="5">
        <f t="shared" si="111"/>
        <v>782.20986406950112</v>
      </c>
      <c r="LL14" s="5">
        <f t="shared" si="111"/>
        <v>774.38776542880612</v>
      </c>
      <c r="LM14" s="5">
        <f t="shared" si="111"/>
        <v>766.64388777451802</v>
      </c>
      <c r="LN14" s="5">
        <f t="shared" si="111"/>
        <v>758.97744889677278</v>
      </c>
      <c r="LO14" s="5">
        <f t="shared" si="111"/>
        <v>751.38767440780509</v>
      </c>
      <c r="LP14" s="5">
        <f t="shared" si="111"/>
        <v>743.87379766372703</v>
      </c>
      <c r="LQ14" s="5">
        <f t="shared" si="111"/>
        <v>736.43505968708973</v>
      </c>
      <c r="LR14" s="5">
        <f t="shared" si="111"/>
        <v>729.07070909021888</v>
      </c>
      <c r="LS14" s="5">
        <f t="shared" si="111"/>
        <v>721.78000199931671</v>
      </c>
      <c r="LT14" s="5">
        <f t="shared" si="111"/>
        <v>714.5622019793235</v>
      </c>
      <c r="LU14" s="5">
        <f t="shared" si="111"/>
        <v>707.41657995953028</v>
      </c>
      <c r="LV14" s="5">
        <f t="shared" si="111"/>
        <v>700.34241415993495</v>
      </c>
      <c r="LW14" s="5">
        <f t="shared" si="111"/>
        <v>693.33899001833561</v>
      </c>
      <c r="LX14" s="5">
        <f t="shared" si="111"/>
        <v>686.40560011815228</v>
      </c>
      <c r="LY14" s="5">
        <f t="shared" si="111"/>
        <v>679.54154411697073</v>
      </c>
      <c r="LZ14" s="5">
        <f t="shared" si="111"/>
        <v>672.74612867580106</v>
      </c>
      <c r="MA14" s="5">
        <f t="shared" si="111"/>
        <v>666.018667389043</v>
      </c>
      <c r="MB14" s="5">
        <f t="shared" si="111"/>
        <v>659.35848071515261</v>
      </c>
      <c r="MC14" s="5">
        <f t="shared" si="111"/>
        <v>652.76489590800111</v>
      </c>
      <c r="MD14" s="5">
        <f t="shared" si="111"/>
        <v>646.2372469489211</v>
      </c>
      <c r="ME14" s="5">
        <f t="shared" si="111"/>
        <v>639.7748744794319</v>
      </c>
      <c r="MF14" s="5">
        <f t="shared" si="111"/>
        <v>633.37712573463762</v>
      </c>
      <c r="MG14" s="5">
        <f t="shared" si="111"/>
        <v>627.04335447729125</v>
      </c>
      <c r="MH14" s="5">
        <f t="shared" si="111"/>
        <v>620.77292093251833</v>
      </c>
      <c r="MI14" s="5">
        <f t="shared" si="111"/>
        <v>614.56519172319315</v>
      </c>
      <c r="MJ14" s="5">
        <f t="shared" si="111"/>
        <v>608.41953980596122</v>
      </c>
      <c r="MK14" s="5">
        <f t="shared" si="111"/>
        <v>602.33534440790163</v>
      </c>
      <c r="ML14" s="5">
        <f t="shared" si="111"/>
        <v>596.31199096382261</v>
      </c>
      <c r="MM14" s="5">
        <f t="shared" si="111"/>
        <v>590.34887105418443</v>
      </c>
      <c r="MN14" s="5">
        <f t="shared" si="111"/>
        <v>584.44538234364256</v>
      </c>
      <c r="MO14" s="5">
        <f t="shared" si="111"/>
        <v>578.60092852020614</v>
      </c>
      <c r="MP14" s="5">
        <f t="shared" si="111"/>
        <v>572.81491923500403</v>
      </c>
      <c r="MQ14" s="5">
        <f t="shared" si="111"/>
        <v>567.08677004265394</v>
      </c>
      <c r="MR14" s="5">
        <f t="shared" si="111"/>
        <v>561.41590234222735</v>
      </c>
      <c r="MS14" s="5">
        <f t="shared" si="111"/>
        <v>555.80174331880505</v>
      </c>
      <c r="MT14" s="5">
        <f t="shared" si="111"/>
        <v>550.24372588561698</v>
      </c>
      <c r="MU14" s="5">
        <f t="shared" si="111"/>
        <v>544.74128862676082</v>
      </c>
      <c r="MV14" s="5">
        <f t="shared" si="111"/>
        <v>539.29387574049326</v>
      </c>
      <c r="MW14" s="5">
        <f t="shared" si="111"/>
        <v>533.90093698308829</v>
      </c>
      <c r="MX14" s="5">
        <f t="shared" si="111"/>
        <v>528.56192761325735</v>
      </c>
      <c r="MY14" s="5">
        <f t="shared" si="111"/>
        <v>523.27630833712476</v>
      </c>
      <c r="MZ14" s="5">
        <f t="shared" si="111"/>
        <v>518.04354525375356</v>
      </c>
      <c r="NA14" s="5">
        <f t="shared" si="111"/>
        <v>512.86310980121607</v>
      </c>
      <c r="NB14" s="5">
        <f t="shared" si="111"/>
        <v>507.73447870320388</v>
      </c>
      <c r="NC14" s="5">
        <f t="shared" si="111"/>
        <v>502.65713391617186</v>
      </c>
      <c r="ND14" s="5">
        <f t="shared" si="111"/>
        <v>497.63056257701015</v>
      </c>
      <c r="NE14" s="5">
        <f t="shared" si="111"/>
        <v>492.65425695124003</v>
      </c>
      <c r="NF14" s="5">
        <f t="shared" si="111"/>
        <v>487.72771438172765</v>
      </c>
      <c r="NG14" s="5">
        <f t="shared" si="111"/>
        <v>482.8504372379104</v>
      </c>
      <c r="NH14" s="5">
        <f t="shared" si="111"/>
        <v>478.02193286553131</v>
      </c>
      <c r="NI14" s="5">
        <f t="shared" si="111"/>
        <v>473.24171353687598</v>
      </c>
      <c r="NJ14" s="5">
        <f t="shared" si="111"/>
        <v>468.50929640150719</v>
      </c>
      <c r="NK14" s="5">
        <f t="shared" si="111"/>
        <v>463.82420343749209</v>
      </c>
      <c r="NL14" s="5">
        <f t="shared" ref="NL14:PW14" si="112">NK14*(1+$BH$23)</f>
        <v>459.18596140311718</v>
      </c>
      <c r="NM14" s="5">
        <f t="shared" si="112"/>
        <v>454.59410178908598</v>
      </c>
      <c r="NN14" s="5">
        <f t="shared" si="112"/>
        <v>450.04816077119511</v>
      </c>
      <c r="NO14" s="5">
        <f t="shared" si="112"/>
        <v>445.54767916348317</v>
      </c>
      <c r="NP14" s="5">
        <f t="shared" si="112"/>
        <v>441.09220237184832</v>
      </c>
      <c r="NQ14" s="5">
        <f t="shared" si="112"/>
        <v>436.6812803481298</v>
      </c>
      <c r="NR14" s="5">
        <f t="shared" si="112"/>
        <v>432.31446754464849</v>
      </c>
      <c r="NS14" s="5">
        <f t="shared" si="112"/>
        <v>427.99132286920201</v>
      </c>
      <c r="NT14" s="5">
        <f t="shared" si="112"/>
        <v>423.71140964051</v>
      </c>
      <c r="NU14" s="5">
        <f t="shared" si="112"/>
        <v>419.4742955441049</v>
      </c>
      <c r="NV14" s="5">
        <f t="shared" si="112"/>
        <v>415.27955258866388</v>
      </c>
      <c r="NW14" s="5">
        <f t="shared" si="112"/>
        <v>411.12675706277724</v>
      </c>
      <c r="NX14" s="5">
        <f t="shared" si="112"/>
        <v>407.01548949214947</v>
      </c>
      <c r="NY14" s="5">
        <f t="shared" si="112"/>
        <v>402.945334597228</v>
      </c>
      <c r="NZ14" s="5">
        <f t="shared" si="112"/>
        <v>398.91588125125571</v>
      </c>
      <c r="OA14" s="5">
        <f t="shared" si="112"/>
        <v>394.92672243874313</v>
      </c>
      <c r="OB14" s="5">
        <f t="shared" si="112"/>
        <v>390.9774552143557</v>
      </c>
      <c r="OC14" s="5">
        <f t="shared" si="112"/>
        <v>387.06768066221213</v>
      </c>
      <c r="OD14" s="5">
        <f t="shared" si="112"/>
        <v>383.19700385559003</v>
      </c>
      <c r="OE14" s="5">
        <f t="shared" si="112"/>
        <v>379.36503381703415</v>
      </c>
      <c r="OF14" s="5">
        <f t="shared" si="112"/>
        <v>375.57138347886382</v>
      </c>
      <c r="OG14" s="5">
        <f t="shared" si="112"/>
        <v>371.81566964407517</v>
      </c>
      <c r="OH14" s="5">
        <f t="shared" si="112"/>
        <v>368.09751294763441</v>
      </c>
      <c r="OI14" s="5">
        <f t="shared" si="112"/>
        <v>364.41653781815808</v>
      </c>
      <c r="OJ14" s="5">
        <f t="shared" si="112"/>
        <v>360.77237243997649</v>
      </c>
      <c r="OK14" s="5">
        <f t="shared" si="112"/>
        <v>357.16464871557673</v>
      </c>
      <c r="OL14" s="5">
        <f t="shared" si="112"/>
        <v>353.59300222842097</v>
      </c>
      <c r="OM14" s="5">
        <f t="shared" si="112"/>
        <v>350.05707220613675</v>
      </c>
      <c r="ON14" s="5">
        <f t="shared" si="112"/>
        <v>346.5565014840754</v>
      </c>
      <c r="OO14" s="5">
        <f t="shared" si="112"/>
        <v>343.09093646923463</v>
      </c>
      <c r="OP14" s="5">
        <f t="shared" si="112"/>
        <v>339.66002710454228</v>
      </c>
      <c r="OQ14" s="5">
        <f t="shared" si="112"/>
        <v>336.26342683349685</v>
      </c>
      <c r="OR14" s="5">
        <f t="shared" si="112"/>
        <v>332.90079256516191</v>
      </c>
      <c r="OS14" s="5">
        <f t="shared" si="112"/>
        <v>329.57178463951027</v>
      </c>
      <c r="OT14" s="5">
        <f t="shared" si="112"/>
        <v>326.27606679311515</v>
      </c>
      <c r="OU14" s="5">
        <f t="shared" si="112"/>
        <v>323.01330612518399</v>
      </c>
      <c r="OV14" s="5">
        <f t="shared" si="112"/>
        <v>319.78317306393217</v>
      </c>
      <c r="OW14" s="5">
        <f t="shared" si="112"/>
        <v>316.58534133329283</v>
      </c>
      <c r="OX14" s="5">
        <f t="shared" si="112"/>
        <v>313.41948791995992</v>
      </c>
      <c r="OY14" s="5">
        <f t="shared" si="112"/>
        <v>310.28529304076034</v>
      </c>
      <c r="OZ14" s="5">
        <f t="shared" si="112"/>
        <v>307.18244011035273</v>
      </c>
      <c r="PA14" s="5">
        <f t="shared" si="112"/>
        <v>304.1106157092492</v>
      </c>
      <c r="PB14" s="5">
        <f t="shared" si="112"/>
        <v>301.06950955215672</v>
      </c>
      <c r="PC14" s="5">
        <f t="shared" si="112"/>
        <v>298.05881445663516</v>
      </c>
      <c r="PD14" s="5">
        <f t="shared" si="112"/>
        <v>295.07822631206881</v>
      </c>
      <c r="PE14" s="5">
        <f t="shared" si="112"/>
        <v>292.12744404894812</v>
      </c>
      <c r="PF14" s="5">
        <f t="shared" si="112"/>
        <v>289.20616960845865</v>
      </c>
      <c r="PG14" s="5">
        <f t="shared" si="112"/>
        <v>286.31410791237408</v>
      </c>
      <c r="PH14" s="5">
        <f t="shared" si="112"/>
        <v>283.45096683325033</v>
      </c>
      <c r="PI14" s="5">
        <f t="shared" si="112"/>
        <v>280.61645716491785</v>
      </c>
      <c r="PJ14" s="5">
        <f t="shared" si="112"/>
        <v>277.81029259326868</v>
      </c>
      <c r="PK14" s="5">
        <f t="shared" si="112"/>
        <v>275.03218966733601</v>
      </c>
      <c r="PL14" s="5">
        <f t="shared" si="112"/>
        <v>272.28186777066264</v>
      </c>
      <c r="PM14" s="5">
        <f t="shared" si="112"/>
        <v>269.559049092956</v>
      </c>
      <c r="PN14" s="5">
        <f t="shared" si="112"/>
        <v>266.86345860202641</v>
      </c>
      <c r="PO14" s="5">
        <f t="shared" si="112"/>
        <v>264.19482401600612</v>
      </c>
      <c r="PP14" s="5">
        <f t="shared" si="112"/>
        <v>261.55287577584608</v>
      </c>
      <c r="PQ14" s="5">
        <f t="shared" si="112"/>
        <v>258.93734701808762</v>
      </c>
      <c r="PR14" s="5">
        <f t="shared" si="112"/>
        <v>256.34797354790675</v>
      </c>
      <c r="PS14" s="5">
        <f t="shared" si="112"/>
        <v>253.78449381242768</v>
      </c>
      <c r="PT14" s="5">
        <f t="shared" si="112"/>
        <v>251.24664887430342</v>
      </c>
      <c r="PU14" s="5">
        <f t="shared" si="112"/>
        <v>248.73418238556039</v>
      </c>
      <c r="PV14" s="5">
        <f t="shared" si="112"/>
        <v>246.24684056170477</v>
      </c>
      <c r="PW14" s="5">
        <f t="shared" si="112"/>
        <v>243.78437215608773</v>
      </c>
      <c r="PX14" s="5">
        <f t="shared" ref="PX14:SI14" si="113">PW14*(1+$BH$23)</f>
        <v>241.34652843452685</v>
      </c>
      <c r="PY14" s="5">
        <f t="shared" si="113"/>
        <v>238.93306315018157</v>
      </c>
      <c r="PZ14" s="5">
        <f t="shared" si="113"/>
        <v>236.54373251867975</v>
      </c>
      <c r="QA14" s="5">
        <f t="shared" si="113"/>
        <v>234.17829519349294</v>
      </c>
      <c r="QB14" s="5">
        <f t="shared" si="113"/>
        <v>231.83651224155801</v>
      </c>
      <c r="QC14" s="5">
        <f t="shared" si="113"/>
        <v>229.51814711914244</v>
      </c>
      <c r="QD14" s="5">
        <f t="shared" si="113"/>
        <v>227.22296564795101</v>
      </c>
      <c r="QE14" s="5">
        <f t="shared" si="113"/>
        <v>224.9507359914715</v>
      </c>
      <c r="QF14" s="5">
        <f t="shared" si="113"/>
        <v>222.70122863155677</v>
      </c>
      <c r="QG14" s="5">
        <f t="shared" si="113"/>
        <v>220.47421634524122</v>
      </c>
      <c r="QH14" s="5">
        <f t="shared" si="113"/>
        <v>218.26947418178881</v>
      </c>
      <c r="QI14" s="5">
        <f t="shared" si="113"/>
        <v>216.08677943997091</v>
      </c>
      <c r="QJ14" s="5">
        <f t="shared" si="113"/>
        <v>213.9259116455712</v>
      </c>
      <c r="QK14" s="5">
        <f t="shared" si="113"/>
        <v>211.78665252911549</v>
      </c>
      <c r="QL14" s="5">
        <f t="shared" si="113"/>
        <v>209.66878600382432</v>
      </c>
      <c r="QM14" s="5">
        <f t="shared" si="113"/>
        <v>207.57209814378606</v>
      </c>
      <c r="QN14" s="5">
        <f t="shared" si="113"/>
        <v>205.49637716234821</v>
      </c>
      <c r="QO14" s="5">
        <f t="shared" si="113"/>
        <v>203.44141339072473</v>
      </c>
      <c r="QP14" s="5">
        <f t="shared" si="113"/>
        <v>201.40699925681747</v>
      </c>
      <c r="QQ14" s="5">
        <f t="shared" si="113"/>
        <v>199.39292926424929</v>
      </c>
      <c r="QR14" s="5">
        <f t="shared" si="113"/>
        <v>197.3989999716068</v>
      </c>
      <c r="QS14" s="5">
        <f t="shared" si="113"/>
        <v>195.42500997189072</v>
      </c>
      <c r="QT14" s="5">
        <f t="shared" si="113"/>
        <v>193.47075987217181</v>
      </c>
      <c r="QU14" s="5">
        <f t="shared" si="113"/>
        <v>191.53605227345008</v>
      </c>
      <c r="QV14" s="5">
        <f t="shared" si="113"/>
        <v>189.62069175071559</v>
      </c>
      <c r="QW14" s="5">
        <f t="shared" si="113"/>
        <v>187.72448483320844</v>
      </c>
      <c r="QX14" s="5">
        <f t="shared" si="113"/>
        <v>185.84723998487635</v>
      </c>
      <c r="QY14" s="5">
        <f t="shared" si="113"/>
        <v>183.98876758502757</v>
      </c>
      <c r="QZ14" s="5">
        <f t="shared" si="113"/>
        <v>182.14887990917731</v>
      </c>
      <c r="RA14" s="5">
        <f t="shared" si="113"/>
        <v>180.32739111008553</v>
      </c>
      <c r="RB14" s="5">
        <f t="shared" si="113"/>
        <v>178.52411719898467</v>
      </c>
      <c r="RC14" s="5">
        <f t="shared" si="113"/>
        <v>176.73887602699483</v>
      </c>
      <c r="RD14" s="5">
        <f t="shared" si="113"/>
        <v>174.97148726672489</v>
      </c>
      <c r="RE14" s="5">
        <f t="shared" si="113"/>
        <v>173.22177239405764</v>
      </c>
      <c r="RF14" s="5">
        <f t="shared" si="113"/>
        <v>171.48955467011706</v>
      </c>
      <c r="RG14" s="5">
        <f t="shared" si="113"/>
        <v>169.77465912341589</v>
      </c>
      <c r="RH14" s="5">
        <f t="shared" si="113"/>
        <v>168.07691253218172</v>
      </c>
      <c r="RI14" s="5">
        <f t="shared" si="113"/>
        <v>166.39614340685989</v>
      </c>
      <c r="RJ14" s="5">
        <f t="shared" si="113"/>
        <v>164.7321819727913</v>
      </c>
      <c r="RK14" s="5">
        <f t="shared" si="113"/>
        <v>163.08486015306337</v>
      </c>
      <c r="RL14" s="5">
        <f t="shared" si="113"/>
        <v>161.45401155153274</v>
      </c>
      <c r="RM14" s="5">
        <f t="shared" si="113"/>
        <v>159.83947143601742</v>
      </c>
      <c r="RN14" s="5">
        <f t="shared" si="113"/>
        <v>158.24107672165724</v>
      </c>
      <c r="RO14" s="5">
        <f t="shared" si="113"/>
        <v>156.65866595444066</v>
      </c>
      <c r="RP14" s="5">
        <f t="shared" si="113"/>
        <v>155.09207929489625</v>
      </c>
      <c r="RQ14" s="5">
        <f t="shared" si="113"/>
        <v>153.54115850194728</v>
      </c>
      <c r="RR14" s="5">
        <f t="shared" si="113"/>
        <v>152.00574691692782</v>
      </c>
      <c r="RS14" s="5">
        <f t="shared" si="113"/>
        <v>150.48568944775855</v>
      </c>
      <c r="RT14" s="5">
        <f t="shared" si="113"/>
        <v>148.98083255328095</v>
      </c>
      <c r="RU14" s="5">
        <f t="shared" si="113"/>
        <v>147.49102422774814</v>
      </c>
      <c r="RV14" s="5">
        <f t="shared" si="113"/>
        <v>146.01611398547067</v>
      </c>
      <c r="RW14" s="5">
        <f t="shared" si="113"/>
        <v>144.55595284561596</v>
      </c>
      <c r="RX14" s="5">
        <f t="shared" si="113"/>
        <v>143.1103933171598</v>
      </c>
      <c r="RY14" s="5">
        <f t="shared" si="113"/>
        <v>141.67928938398819</v>
      </c>
      <c r="RZ14" s="5">
        <f t="shared" si="113"/>
        <v>140.26249649014829</v>
      </c>
      <c r="SA14" s="5">
        <f t="shared" si="113"/>
        <v>138.8598715252468</v>
      </c>
      <c r="SB14" s="5">
        <f t="shared" si="113"/>
        <v>137.47127280999433</v>
      </c>
      <c r="SC14" s="5">
        <f t="shared" si="113"/>
        <v>136.09656008189438</v>
      </c>
      <c r="SD14" s="5">
        <f t="shared" si="113"/>
        <v>134.73559448107542</v>
      </c>
      <c r="SE14" s="5">
        <f t="shared" si="113"/>
        <v>133.38823853626468</v>
      </c>
      <c r="SF14" s="5">
        <f t="shared" si="113"/>
        <v>132.05435615090204</v>
      </c>
      <c r="SG14" s="5">
        <f t="shared" si="113"/>
        <v>130.73381258939301</v>
      </c>
      <c r="SH14" s="5">
        <f t="shared" si="113"/>
        <v>129.42647446349909</v>
      </c>
      <c r="SI14" s="5">
        <f t="shared" si="113"/>
        <v>128.13220971886409</v>
      </c>
      <c r="SJ14" s="5">
        <f t="shared" ref="SJ14:SS14" si="114">SI14*(1+$BH$23)</f>
        <v>126.85088762167545</v>
      </c>
      <c r="SK14" s="5">
        <f t="shared" si="114"/>
        <v>125.5823787454587</v>
      </c>
      <c r="SL14" s="5">
        <f t="shared" si="114"/>
        <v>124.32655495800411</v>
      </c>
      <c r="SM14" s="5">
        <f t="shared" si="114"/>
        <v>123.08328940842406</v>
      </c>
      <c r="SN14" s="5">
        <f t="shared" si="114"/>
        <v>121.85245651433982</v>
      </c>
      <c r="SO14" s="5">
        <f t="shared" si="114"/>
        <v>120.63393194919642</v>
      </c>
      <c r="SP14" s="5">
        <f t="shared" si="114"/>
        <v>119.42759262970446</v>
      </c>
      <c r="SQ14" s="5">
        <f t="shared" si="114"/>
        <v>118.23331670340741</v>
      </c>
      <c r="SR14" s="5">
        <f t="shared" si="114"/>
        <v>117.05098353637334</v>
      </c>
      <c r="SS14" s="5">
        <f t="shared" si="114"/>
        <v>115.88047370100961</v>
      </c>
    </row>
    <row r="15" spans="1:513" x14ac:dyDescent="0.25">
      <c r="B15" t="s">
        <v>2</v>
      </c>
      <c r="C15" s="1">
        <v>1019</v>
      </c>
      <c r="D15" s="1">
        <v>1015</v>
      </c>
      <c r="E15" s="1">
        <v>1008</v>
      </c>
      <c r="F15" s="1">
        <v>1007</v>
      </c>
      <c r="G15" s="1">
        <v>1005</v>
      </c>
      <c r="H15" s="1">
        <v>997</v>
      </c>
      <c r="I15" s="1">
        <v>989</v>
      </c>
      <c r="J15" s="1">
        <v>970</v>
      </c>
      <c r="K15" s="1">
        <v>956</v>
      </c>
      <c r="L15" s="1">
        <v>953</v>
      </c>
      <c r="M15" s="1">
        <v>950</v>
      </c>
      <c r="N15" s="1">
        <v>948</v>
      </c>
      <c r="O15" s="1">
        <v>943</v>
      </c>
      <c r="P15" s="1">
        <v>927</v>
      </c>
      <c r="Q15" s="1">
        <v>929</v>
      </c>
      <c r="R15" s="1">
        <v>932</v>
      </c>
      <c r="S15" s="1">
        <v>935</v>
      </c>
      <c r="T15" s="1">
        <v>937</v>
      </c>
      <c r="U15" s="1">
        <v>936</v>
      </c>
      <c r="V15" s="1">
        <v>936</v>
      </c>
      <c r="W15" s="1">
        <v>934</v>
      </c>
      <c r="X15" s="1">
        <v>930</v>
      </c>
      <c r="Y15" s="1">
        <v>923</v>
      </c>
      <c r="Z15" s="1">
        <v>916</v>
      </c>
      <c r="AA15" s="1">
        <v>916</v>
      </c>
      <c r="AB15" s="1">
        <v>916</v>
      </c>
      <c r="AC15" s="1">
        <v>916</v>
      </c>
      <c r="AD15" s="1">
        <v>915</v>
      </c>
      <c r="AE15" s="1">
        <f>AA15*0.999</f>
        <v>915.08399999999995</v>
      </c>
      <c r="AF15" s="1">
        <f t="shared" ref="AF15:AH15" si="115">AB15*0.999</f>
        <v>915.08399999999995</v>
      </c>
      <c r="AG15" s="1">
        <f t="shared" si="115"/>
        <v>915.08399999999995</v>
      </c>
      <c r="AH15" s="1">
        <f t="shared" si="115"/>
        <v>914.08500000000004</v>
      </c>
      <c r="AP15" s="1">
        <f>F15</f>
        <v>1007</v>
      </c>
      <c r="AQ15" s="1">
        <f>J15</f>
        <v>970</v>
      </c>
      <c r="AR15" s="1">
        <f>N15</f>
        <v>948</v>
      </c>
      <c r="AS15" s="1">
        <f>R15</f>
        <v>932</v>
      </c>
      <c r="AT15" s="1">
        <f>V15</f>
        <v>936</v>
      </c>
      <c r="AU15" s="1">
        <f>Z15</f>
        <v>916</v>
      </c>
      <c r="AV15" s="1">
        <f>AD15</f>
        <v>915</v>
      </c>
      <c r="AW15" s="1">
        <f>AH15</f>
        <v>914.08500000000004</v>
      </c>
      <c r="AX15" s="1">
        <f>AW15*0.999</f>
        <v>913.17091500000004</v>
      </c>
      <c r="AY15" s="1">
        <f t="shared" ref="AY15:BB15" si="116">AX15*0.999</f>
        <v>912.25774408500001</v>
      </c>
      <c r="AZ15" s="1">
        <f t="shared" si="116"/>
        <v>911.34548634091504</v>
      </c>
      <c r="BA15" s="1">
        <f t="shared" si="116"/>
        <v>910.43414085457414</v>
      </c>
      <c r="BB15" s="1">
        <f t="shared" si="116"/>
        <v>909.52370671371955</v>
      </c>
    </row>
    <row r="16" spans="1:513" s="2" customFormat="1" x14ac:dyDescent="0.25">
      <c r="A16"/>
      <c r="B16" t="s">
        <v>19</v>
      </c>
      <c r="C16" s="2">
        <f t="shared" ref="C16:AC16" si="117">C14/C15</f>
        <v>1.0608439646712464</v>
      </c>
      <c r="D16" s="2">
        <f t="shared" si="117"/>
        <v>1.1211822660098523</v>
      </c>
      <c r="E16" s="2">
        <f t="shared" si="117"/>
        <v>1.3551587301587302</v>
      </c>
      <c r="F16" s="2">
        <f t="shared" si="117"/>
        <v>0.42303872889771599</v>
      </c>
      <c r="G16" s="2">
        <f t="shared" si="117"/>
        <v>1.4398009950248756</v>
      </c>
      <c r="H16" s="2">
        <f t="shared" si="117"/>
        <v>1.4914744232698094</v>
      </c>
      <c r="I16" s="2">
        <f t="shared" si="117"/>
        <v>1.6693629929221436</v>
      </c>
      <c r="J16" s="2">
        <f t="shared" si="117"/>
        <v>1.3567010309278351</v>
      </c>
      <c r="K16" s="2">
        <f t="shared" si="117"/>
        <v>1.3556485355648535</v>
      </c>
      <c r="L16" s="2">
        <f t="shared" si="117"/>
        <v>1.415529905561385</v>
      </c>
      <c r="M16" s="2">
        <f t="shared" si="117"/>
        <v>1.5831578947368421</v>
      </c>
      <c r="N16" s="2">
        <f t="shared" si="117"/>
        <v>1.1814345991561181</v>
      </c>
      <c r="O16" s="2">
        <f t="shared" si="117"/>
        <v>1.2979851537645812</v>
      </c>
      <c r="P16" s="2">
        <f t="shared" si="117"/>
        <v>1.5685005393743259</v>
      </c>
      <c r="Q16" s="2">
        <f t="shared" si="117"/>
        <v>1.511302475780409</v>
      </c>
      <c r="R16" s="2">
        <f t="shared" si="117"/>
        <v>1.8615879828326181</v>
      </c>
      <c r="S16" s="2">
        <f t="shared" si="117"/>
        <v>1.9251336898395721</v>
      </c>
      <c r="T16" s="2">
        <f t="shared" si="117"/>
        <v>2.112059765208111</v>
      </c>
      <c r="U16" s="2">
        <f t="shared" si="117"/>
        <v>2.1303418803418803</v>
      </c>
      <c r="V16" s="2">
        <f t="shared" si="117"/>
        <v>2.341880341880342</v>
      </c>
      <c r="W16" s="2">
        <f t="shared" si="117"/>
        <v>2.4271948608137044</v>
      </c>
      <c r="X16" s="2">
        <f t="shared" si="117"/>
        <v>2.5344086021505374</v>
      </c>
      <c r="Y16" s="2">
        <f t="shared" si="117"/>
        <v>2.5698808234019501</v>
      </c>
      <c r="Z16" s="2">
        <f t="shared" si="117"/>
        <v>2.1943231441048034</v>
      </c>
      <c r="AA16" s="2">
        <f t="shared" si="117"/>
        <v>1.8646288209606987</v>
      </c>
      <c r="AB16" s="2">
        <f t="shared" si="117"/>
        <v>1.8799126637554586</v>
      </c>
      <c r="AC16" s="2">
        <f t="shared" si="117"/>
        <v>1.8657205240174672</v>
      </c>
      <c r="AD16" s="2">
        <f>AD14/AD15</f>
        <v>1.4983606557377049</v>
      </c>
      <c r="AE16" s="2">
        <f t="shared" ref="AE16:AH16" si="118">AE14/AE15</f>
        <v>1.0078113047545363</v>
      </c>
      <c r="AF16" s="2">
        <f t="shared" si="118"/>
        <v>1.0323423860541765</v>
      </c>
      <c r="AG16" s="2">
        <f t="shared" si="118"/>
        <v>1.2381814128539019</v>
      </c>
      <c r="AH16" s="2">
        <f t="shared" si="118"/>
        <v>1.3103989235136777</v>
      </c>
      <c r="AP16" s="2">
        <f t="shared" ref="AP16" si="119">AP14/AP15</f>
        <v>3.9831181727904665</v>
      </c>
      <c r="AQ16" s="2">
        <f t="shared" ref="AQ16" si="120">AQ14/AQ15</f>
        <v>6.083505154639175</v>
      </c>
      <c r="AR16" s="2">
        <f t="shared" ref="AR16" si="121">AR14/AR15</f>
        <v>5.5580168776371304</v>
      </c>
      <c r="AS16" s="2">
        <f t="shared" ref="AS16" si="122">AS14/AS15</f>
        <v>6.2414163090128758</v>
      </c>
      <c r="AT16" s="2">
        <f t="shared" ref="AT16" si="123">AT14/AT15</f>
        <v>8.509615384615385</v>
      </c>
      <c r="AU16" s="2">
        <f t="shared" ref="AU16" si="124">AU14/AU15</f>
        <v>9.8318777292576414</v>
      </c>
      <c r="AV16" s="2">
        <f t="shared" ref="AV16" si="125">AV14/AV15</f>
        <v>7.1147540983606561</v>
      </c>
      <c r="AW16" s="2">
        <f t="shared" ref="AW16" si="126">AW14/AW15</f>
        <v>4.8219327524245532</v>
      </c>
      <c r="AX16" s="2">
        <f t="shared" ref="AX16" si="127">AX14/AX15</f>
        <v>6.4561257954651312</v>
      </c>
      <c r="AY16" s="2">
        <f t="shared" ref="AY16" si="128">AY14/AY15</f>
        <v>8.0311242304316934</v>
      </c>
      <c r="AZ16" s="2">
        <f t="shared" ref="AZ16" si="129">AZ14/AZ15</f>
        <v>9.4610985435200448</v>
      </c>
      <c r="BA16" s="2">
        <f t="shared" ref="BA16" si="130">BA14/BA15</f>
        <v>11.058826775908663</v>
      </c>
      <c r="BB16" s="2">
        <f t="shared" ref="BB16" si="131">BB14/BB15</f>
        <v>12.842273599956076</v>
      </c>
    </row>
    <row r="19" spans="1:60" s="2" customFormat="1" x14ac:dyDescent="0.25">
      <c r="A19"/>
      <c r="B19" t="s">
        <v>20</v>
      </c>
      <c r="C19" s="2">
        <v>0.5</v>
      </c>
      <c r="D19" s="2">
        <v>0.5</v>
      </c>
      <c r="E19" s="2">
        <v>0.5</v>
      </c>
      <c r="F19" s="2">
        <v>0.62</v>
      </c>
      <c r="G19" s="2">
        <v>0.62</v>
      </c>
      <c r="H19" s="2">
        <v>0.62</v>
      </c>
      <c r="I19" s="2">
        <v>0.62</v>
      </c>
      <c r="J19" s="2">
        <v>0.77</v>
      </c>
      <c r="K19" s="2">
        <v>0.77</v>
      </c>
      <c r="L19" s="2">
        <v>0.77</v>
      </c>
      <c r="M19" s="2">
        <v>0.77</v>
      </c>
      <c r="N19" s="2">
        <v>0.9</v>
      </c>
      <c r="O19" s="2">
        <v>0.9</v>
      </c>
      <c r="P19" s="2">
        <v>0.9</v>
      </c>
      <c r="Q19" s="2">
        <v>0.9</v>
      </c>
      <c r="R19" s="2">
        <v>1.02</v>
      </c>
      <c r="S19" s="2">
        <v>1.02</v>
      </c>
      <c r="T19" s="2">
        <v>1.02</v>
      </c>
      <c r="U19" s="2">
        <v>1.02</v>
      </c>
      <c r="V19" s="2">
        <v>1.1499999999999999</v>
      </c>
      <c r="W19" s="2">
        <v>1.1499999999999999</v>
      </c>
      <c r="X19" s="2">
        <v>1.1499999999999999</v>
      </c>
      <c r="Y19" s="2">
        <v>1.1499999999999999</v>
      </c>
      <c r="Z19" s="2">
        <v>1.24</v>
      </c>
      <c r="AA19" s="2">
        <v>1.24</v>
      </c>
      <c r="AB19" s="2">
        <v>1.24</v>
      </c>
      <c r="AC19" s="2">
        <v>1.24</v>
      </c>
      <c r="AD19" s="2">
        <v>1.3</v>
      </c>
      <c r="AP19" s="2">
        <f>SUM(C19:F19)</f>
        <v>2.12</v>
      </c>
      <c r="AQ19" s="2">
        <f>SUM(G19:J19)</f>
        <v>2.63</v>
      </c>
      <c r="AR19" s="2">
        <f>SUM(K19:N19)</f>
        <v>3.21</v>
      </c>
      <c r="AS19" s="2">
        <f>SUM(O19:R19)</f>
        <v>3.72</v>
      </c>
      <c r="AT19" s="2">
        <f>SUM(S19:V19)</f>
        <v>4.21</v>
      </c>
      <c r="AU19" s="2">
        <f>SUM(W19:Z19)</f>
        <v>4.6899999999999995</v>
      </c>
      <c r="AV19" s="2">
        <f>SUM(AA19:AD19)</f>
        <v>5.0199999999999996</v>
      </c>
    </row>
    <row r="20" spans="1:60" x14ac:dyDescent="0.25">
      <c r="B20" t="s">
        <v>64</v>
      </c>
      <c r="G20" s="6">
        <f t="shared" ref="G20:AC20" si="132">G19/C19-1</f>
        <v>0.24</v>
      </c>
      <c r="H20" s="6">
        <f t="shared" si="132"/>
        <v>0.24</v>
      </c>
      <c r="I20" s="6">
        <f t="shared" si="132"/>
        <v>0.24</v>
      </c>
      <c r="J20" s="6">
        <f t="shared" si="132"/>
        <v>0.24193548387096775</v>
      </c>
      <c r="K20" s="6">
        <f t="shared" si="132"/>
        <v>0.24193548387096775</v>
      </c>
      <c r="L20" s="6">
        <f t="shared" si="132"/>
        <v>0.24193548387096775</v>
      </c>
      <c r="M20" s="6">
        <f t="shared" si="132"/>
        <v>0.24193548387096775</v>
      </c>
      <c r="N20" s="6">
        <f t="shared" si="132"/>
        <v>0.16883116883116878</v>
      </c>
      <c r="O20" s="6">
        <f t="shared" si="132"/>
        <v>0.16883116883116878</v>
      </c>
      <c r="P20" s="6">
        <f t="shared" si="132"/>
        <v>0.16883116883116878</v>
      </c>
      <c r="Q20" s="6">
        <f t="shared" si="132"/>
        <v>0.16883116883116878</v>
      </c>
      <c r="R20" s="6">
        <f t="shared" si="132"/>
        <v>0.1333333333333333</v>
      </c>
      <c r="S20" s="6">
        <f t="shared" si="132"/>
        <v>0.1333333333333333</v>
      </c>
      <c r="T20" s="6">
        <f t="shared" si="132"/>
        <v>0.1333333333333333</v>
      </c>
      <c r="U20" s="6">
        <f t="shared" si="132"/>
        <v>0.1333333333333333</v>
      </c>
      <c r="V20" s="6">
        <f t="shared" si="132"/>
        <v>0.12745098039215685</v>
      </c>
      <c r="W20" s="6">
        <f t="shared" si="132"/>
        <v>0.12745098039215685</v>
      </c>
      <c r="X20" s="6">
        <f t="shared" si="132"/>
        <v>0.12745098039215685</v>
      </c>
      <c r="Y20" s="6">
        <f t="shared" si="132"/>
        <v>0.12745098039215685</v>
      </c>
      <c r="Z20" s="6">
        <f t="shared" si="132"/>
        <v>7.8260869565217384E-2</v>
      </c>
      <c r="AA20" s="6">
        <f t="shared" si="132"/>
        <v>7.8260869565217384E-2</v>
      </c>
      <c r="AB20" s="6">
        <f t="shared" si="132"/>
        <v>7.8260869565217384E-2</v>
      </c>
      <c r="AC20" s="6">
        <f t="shared" si="132"/>
        <v>7.8260869565217384E-2</v>
      </c>
      <c r="AD20" s="6">
        <f>AD19/Z19-1</f>
        <v>4.8387096774193505E-2</v>
      </c>
      <c r="AQ20" s="6">
        <f t="shared" ref="AQ20:AU20" si="133">AQ19/AP19-1</f>
        <v>0.24056603773584895</v>
      </c>
      <c r="AR20" s="6">
        <f t="shared" si="133"/>
        <v>0.22053231939163509</v>
      </c>
      <c r="AS20" s="6">
        <f t="shared" si="133"/>
        <v>0.15887850467289732</v>
      </c>
      <c r="AT20" s="6">
        <f t="shared" si="133"/>
        <v>0.13172043010752676</v>
      </c>
      <c r="AU20" s="6">
        <f t="shared" si="133"/>
        <v>0.11401425178147262</v>
      </c>
      <c r="AV20" s="6">
        <f>AV19/AU19-1</f>
        <v>7.0362473347548082E-2</v>
      </c>
    </row>
    <row r="23" spans="1:60" s="5" customFormat="1" x14ac:dyDescent="0.25">
      <c r="A23" s="4"/>
      <c r="B23" s="4" t="s">
        <v>21</v>
      </c>
      <c r="G23" s="7">
        <f t="shared" ref="G23:N23" si="134">G3/C3-1</f>
        <v>0.11375661375661372</v>
      </c>
      <c r="H23" s="7">
        <f t="shared" si="134"/>
        <v>8.773354995938254E-2</v>
      </c>
      <c r="I23" s="7">
        <f t="shared" si="134"/>
        <v>3.5228377065111838E-2</v>
      </c>
      <c r="J23" s="7">
        <f t="shared" si="134"/>
        <v>-8.80000000000003E-3</v>
      </c>
      <c r="K23" s="7">
        <f t="shared" si="134"/>
        <v>-5.1464766429136999E-2</v>
      </c>
      <c r="L23" s="7">
        <f t="shared" si="134"/>
        <v>-8.6880756783669355E-2</v>
      </c>
      <c r="M23" s="7">
        <f t="shared" si="134"/>
        <v>-0.11499647969960103</v>
      </c>
      <c r="N23" s="7">
        <f t="shared" si="134"/>
        <v>-9.8735539413505546E-2</v>
      </c>
      <c r="O23" s="7">
        <f>O3/K3-1</f>
        <v>-7.3734001112966019E-2</v>
      </c>
      <c r="P23" s="7">
        <f t="shared" ref="P23:AH25" si="135">P3/L3-1</f>
        <v>-0.11695747001090517</v>
      </c>
      <c r="Q23" s="7">
        <f t="shared" si="135"/>
        <v>1.2198355873773492E-2</v>
      </c>
      <c r="R23" s="7">
        <f t="shared" si="135"/>
        <v>0.21671641791044771</v>
      </c>
      <c r="S23" s="7">
        <f t="shared" si="135"/>
        <v>0.28837488735355965</v>
      </c>
      <c r="T23" s="7">
        <f t="shared" si="135"/>
        <v>0.41401667181228774</v>
      </c>
      <c r="U23" s="7">
        <f t="shared" si="135"/>
        <v>0.21640031438302332</v>
      </c>
      <c r="V23" s="7">
        <f t="shared" si="135"/>
        <v>0.18547595682041207</v>
      </c>
      <c r="W23" s="7">
        <f t="shared" si="135"/>
        <v>0.14362322219631607</v>
      </c>
      <c r="X23" s="7">
        <f t="shared" si="135"/>
        <v>0.13799126637554582</v>
      </c>
      <c r="Y23" s="7">
        <f t="shared" si="135"/>
        <v>0.12879603704501408</v>
      </c>
      <c r="Z23" s="7">
        <f t="shared" si="135"/>
        <v>-3.3526490066225212E-2</v>
      </c>
      <c r="AA23" s="7">
        <f t="shared" si="135"/>
        <v>-0.10723751274209992</v>
      </c>
      <c r="AB23" s="7">
        <f t="shared" si="135"/>
        <v>-0.13066001534919414</v>
      </c>
      <c r="AC23" s="7">
        <f t="shared" si="135"/>
        <v>-0.13527952680786115</v>
      </c>
      <c r="AD23" s="7">
        <f t="shared" si="135"/>
        <v>-0.12698072805139182</v>
      </c>
      <c r="AE23" s="7">
        <f t="shared" si="135"/>
        <v>-0.17000000000000004</v>
      </c>
      <c r="AF23" s="7">
        <f t="shared" si="135"/>
        <v>-0.17000000000000004</v>
      </c>
      <c r="AG23" s="7">
        <f t="shared" si="135"/>
        <v>-9.9999999999999978E-2</v>
      </c>
      <c r="AH23" s="7">
        <f t="shared" si="135"/>
        <v>0</v>
      </c>
      <c r="AQ23" s="7">
        <f t="shared" ref="AQ23:AU23" si="136">AQ3/AP3-1</f>
        <v>5.5009691865516963E-2</v>
      </c>
      <c r="AR23" s="7">
        <f t="shared" si="136"/>
        <v>-8.876077040040542E-2</v>
      </c>
      <c r="AS23" s="7">
        <f t="shared" si="136"/>
        <v>5.4230689007856991E-3</v>
      </c>
      <c r="AT23" s="7">
        <f t="shared" si="136"/>
        <v>0.26851531705967768</v>
      </c>
      <c r="AU23" s="7">
        <f t="shared" si="136"/>
        <v>9.1801133885739183E-2</v>
      </c>
      <c r="AV23" s="7">
        <f>AV3/AU3-1</f>
        <v>-0.12527461553824648</v>
      </c>
      <c r="AW23" s="7">
        <f t="shared" ref="AW23:BB23" si="137">AW3/AV3-1</f>
        <v>-0.11232947086020895</v>
      </c>
      <c r="AX23" s="7">
        <f t="shared" si="137"/>
        <v>0.1399999999999999</v>
      </c>
      <c r="AY23" s="7">
        <f t="shared" si="137"/>
        <v>0.12000000000000011</v>
      </c>
      <c r="AZ23" s="7">
        <f t="shared" si="137"/>
        <v>0.10000000000000009</v>
      </c>
      <c r="BA23" s="7">
        <f t="shared" si="137"/>
        <v>0.10000000000000009</v>
      </c>
      <c r="BB23" s="7">
        <f t="shared" si="137"/>
        <v>0.10000000000000009</v>
      </c>
      <c r="BG23" s="8" t="s">
        <v>81</v>
      </c>
      <c r="BH23" s="11">
        <v>-0.01</v>
      </c>
    </row>
    <row r="24" spans="1:60" x14ac:dyDescent="0.25">
      <c r="B24" t="s">
        <v>22</v>
      </c>
      <c r="G24" s="6">
        <f t="shared" ref="G24:G25" si="138">G4/C4-1</f>
        <v>6.6772655007949044E-2</v>
      </c>
      <c r="H24" s="6">
        <f t="shared" ref="H24:H25" si="139">H4/D4-1</f>
        <v>5.9893858984078951E-2</v>
      </c>
      <c r="I24" s="6">
        <f t="shared" ref="I24:I25" si="140">I4/E4-1</f>
        <v>-2.054794520547909E-3</v>
      </c>
      <c r="J24" s="6">
        <f t="shared" ref="J24:J25" si="141">J4/F4-1</f>
        <v>0</v>
      </c>
      <c r="K24" s="6">
        <f t="shared" ref="K24:K25" si="142">K4/G4-1</f>
        <v>-6.7064083457526458E-3</v>
      </c>
      <c r="L24" s="6">
        <f t="shared" ref="L24:L25" si="143">L4/H4-1</f>
        <v>-6.4377682403433445E-2</v>
      </c>
      <c r="M24" s="6">
        <f t="shared" ref="M24:M25" si="144">M4/I4-1</f>
        <v>-9.0597117364447532E-2</v>
      </c>
      <c r="N24" s="6">
        <f t="shared" ref="N24:N25" si="145">N4/J4-1</f>
        <v>-4.3511450381679362E-2</v>
      </c>
      <c r="O24" s="6">
        <f t="shared" ref="O24:O25" si="146">O4/K4-1</f>
        <v>-6.9017254313578413E-2</v>
      </c>
      <c r="P24" s="6">
        <f t="shared" si="135"/>
        <v>-0.11544342507645255</v>
      </c>
      <c r="Q24" s="6">
        <f t="shared" si="135"/>
        <v>2.9433962264150848E-2</v>
      </c>
      <c r="R24" s="6">
        <f t="shared" si="135"/>
        <v>0.14126097366320822</v>
      </c>
      <c r="S24" s="6">
        <f t="shared" si="135"/>
        <v>0.20225624496373884</v>
      </c>
      <c r="T24" s="6">
        <f t="shared" si="135"/>
        <v>0.29904926534140008</v>
      </c>
      <c r="U24" s="6">
        <f t="shared" si="135"/>
        <v>9.3108504398826897E-2</v>
      </c>
      <c r="V24" s="6">
        <f t="shared" si="135"/>
        <v>3.6363636363636376E-2</v>
      </c>
      <c r="W24" s="6">
        <f t="shared" si="135"/>
        <v>-1.943699731903481E-2</v>
      </c>
      <c r="X24" s="6">
        <f t="shared" si="135"/>
        <v>5.5888223552894134E-2</v>
      </c>
      <c r="Y24" s="6">
        <f t="shared" si="135"/>
        <v>8.9201877934272256E-2</v>
      </c>
      <c r="Z24" s="6">
        <f t="shared" si="135"/>
        <v>6.8151147098515441E-2</v>
      </c>
      <c r="AA24" s="6">
        <f t="shared" si="135"/>
        <v>3.6226930963773052E-2</v>
      </c>
      <c r="AB24" s="6">
        <f t="shared" si="135"/>
        <v>2.1424070573409004E-2</v>
      </c>
      <c r="AC24" s="6">
        <f t="shared" si="135"/>
        <v>5.7266009852216859E-2</v>
      </c>
      <c r="AD24" s="6">
        <f t="shared" si="135"/>
        <v>3.9797852179406235E-2</v>
      </c>
      <c r="AE24" s="6">
        <f t="shared" si="135"/>
        <v>2.0000000000000018E-2</v>
      </c>
      <c r="AF24" s="6">
        <f t="shared" si="135"/>
        <v>2.0000000000000018E-2</v>
      </c>
      <c r="AG24" s="6">
        <f t="shared" si="135"/>
        <v>2.0000000000000018E-2</v>
      </c>
      <c r="AH24" s="6">
        <f t="shared" si="135"/>
        <v>2.0000000000000018E-2</v>
      </c>
      <c r="AQ24" s="6">
        <f t="shared" ref="AQ24:AU24" si="147">AQ4/AP4-1</f>
        <v>2.9923321488685151E-2</v>
      </c>
      <c r="AR24" s="6">
        <f t="shared" si="147"/>
        <v>-5.2297076448156843E-2</v>
      </c>
      <c r="AS24" s="6">
        <f t="shared" si="147"/>
        <v>-5.1734048668327093E-3</v>
      </c>
      <c r="AT24" s="6">
        <f t="shared" si="147"/>
        <v>0.14946070878274265</v>
      </c>
      <c r="AU24" s="6">
        <f t="shared" si="147"/>
        <v>4.8424932975871249E-2</v>
      </c>
      <c r="AV24" s="6">
        <f>AV4/AU4-1</f>
        <v>3.8836503116509435E-2</v>
      </c>
      <c r="AW24" s="6">
        <f t="shared" ref="AW24:BB24" si="148">AW4/AV4-1</f>
        <v>2.0000000000000018E-2</v>
      </c>
      <c r="AX24" s="6">
        <f t="shared" si="148"/>
        <v>5.0000000000000044E-2</v>
      </c>
      <c r="AY24" s="6">
        <f t="shared" si="148"/>
        <v>5.0000000000000044E-2</v>
      </c>
      <c r="AZ24" s="6">
        <f t="shared" si="148"/>
        <v>5.0000000000000044E-2</v>
      </c>
      <c r="BA24" s="6">
        <f t="shared" si="148"/>
        <v>5.0000000000000044E-2</v>
      </c>
      <c r="BB24" s="6">
        <f t="shared" si="148"/>
        <v>5.0000000000000044E-2</v>
      </c>
      <c r="BG24" s="8" t="s">
        <v>82</v>
      </c>
      <c r="BH24" s="12">
        <f>WACC!C18</f>
        <v>7.7239621578546455E-2</v>
      </c>
    </row>
    <row r="25" spans="1:60" s="5" customFormat="1" x14ac:dyDescent="0.25">
      <c r="A25" s="4"/>
      <c r="B25" s="4" t="s">
        <v>25</v>
      </c>
      <c r="G25" s="7">
        <f t="shared" si="138"/>
        <v>0.1413246268656716</v>
      </c>
      <c r="H25" s="7">
        <f t="shared" si="139"/>
        <v>0.10320134793597302</v>
      </c>
      <c r="I25" s="7">
        <f t="shared" si="140"/>
        <v>5.5722891566265087E-2</v>
      </c>
      <c r="J25" s="7">
        <f t="shared" si="141"/>
        <v>-1.352459016393448E-2</v>
      </c>
      <c r="K25" s="7">
        <f t="shared" si="142"/>
        <v>-7.6011442582754385E-2</v>
      </c>
      <c r="L25" s="7">
        <f t="shared" si="143"/>
        <v>-9.8892707140129765E-2</v>
      </c>
      <c r="M25" s="7">
        <f t="shared" si="144"/>
        <v>-0.12767475035663334</v>
      </c>
      <c r="N25" s="7">
        <f t="shared" si="145"/>
        <v>-0.12879102617366012</v>
      </c>
      <c r="O25" s="7">
        <f t="shared" si="146"/>
        <v>-7.6514816452896928E-2</v>
      </c>
      <c r="P25" s="7">
        <f t="shared" si="135"/>
        <v>-0.1177966101694915</v>
      </c>
      <c r="Q25" s="7">
        <f t="shared" si="135"/>
        <v>2.8618152085035931E-3</v>
      </c>
      <c r="R25" s="7">
        <f t="shared" si="135"/>
        <v>0.2618025751072961</v>
      </c>
      <c r="S25" s="7">
        <f t="shared" si="135"/>
        <v>0.33955938697318011</v>
      </c>
      <c r="T25" s="7">
        <f t="shared" si="135"/>
        <v>0.47790585975024014</v>
      </c>
      <c r="U25" s="7">
        <f t="shared" si="135"/>
        <v>0.28495719527109653</v>
      </c>
      <c r="V25" s="7">
        <f t="shared" si="135"/>
        <v>0.26606198034769468</v>
      </c>
      <c r="W25" s="7">
        <f t="shared" si="135"/>
        <v>0.23060421880586346</v>
      </c>
      <c r="X25" s="7">
        <f t="shared" si="135"/>
        <v>0.17809554761130975</v>
      </c>
      <c r="Y25" s="7">
        <f t="shared" si="135"/>
        <v>0.14752538071065979</v>
      </c>
      <c r="Z25" s="7">
        <f t="shared" si="135"/>
        <v>-7.8507462686567164E-2</v>
      </c>
      <c r="AA25" s="7">
        <f t="shared" si="135"/>
        <v>-0.1682161533991865</v>
      </c>
      <c r="AB25" s="7">
        <f t="shared" si="135"/>
        <v>-0.1972413793103448</v>
      </c>
      <c r="AC25" s="7">
        <f t="shared" si="135"/>
        <v>-0.22173071606303563</v>
      </c>
      <c r="AD25" s="7">
        <f t="shared" si="135"/>
        <v>-0.21250404923874311</v>
      </c>
      <c r="AE25" s="7">
        <f t="shared" si="135"/>
        <v>-0.27060775410408666</v>
      </c>
      <c r="AF25" s="7">
        <f t="shared" si="135"/>
        <v>-0.27583848797250865</v>
      </c>
      <c r="AG25" s="7">
        <f t="shared" si="135"/>
        <v>-0.17319360568383657</v>
      </c>
      <c r="AH25" s="7">
        <f t="shared" si="135"/>
        <v>-1.3541752365281767E-2</v>
      </c>
      <c r="AQ25" s="7">
        <f t="shared" ref="AQ25:AU25" si="149">AQ5/AP5-1</f>
        <v>6.8961930517994485E-2</v>
      </c>
      <c r="AR25" s="7">
        <f t="shared" si="149"/>
        <v>-0.10830008757419485</v>
      </c>
      <c r="AS25" s="7">
        <f t="shared" si="149"/>
        <v>1.1457878655608988E-2</v>
      </c>
      <c r="AT25" s="7">
        <f t="shared" si="149"/>
        <v>0.33520336605890599</v>
      </c>
      <c r="AU25" s="7">
        <f t="shared" si="149"/>
        <v>0.11271816418875247</v>
      </c>
      <c r="AV25" s="7">
        <f>AV5/AU5-1</f>
        <v>-0.19984024399099554</v>
      </c>
      <c r="AW25" s="7">
        <f t="shared" ref="AW25:BB25" si="150">AW5/AV5-1</f>
        <v>-0.19038932752518389</v>
      </c>
      <c r="AX25" s="7">
        <f t="shared" si="150"/>
        <v>0.20688637051484671</v>
      </c>
      <c r="AY25" s="7">
        <f t="shared" si="150"/>
        <v>0.16526015919004022</v>
      </c>
      <c r="AZ25" s="7">
        <f t="shared" si="150"/>
        <v>0.12913093623326577</v>
      </c>
      <c r="BA25" s="7">
        <f t="shared" si="150"/>
        <v>0.12708940306512861</v>
      </c>
      <c r="BB25" s="7">
        <f t="shared" si="150"/>
        <v>0.12523657230831198</v>
      </c>
      <c r="BG25" s="8" t="s">
        <v>83</v>
      </c>
      <c r="BH25" s="13">
        <f>NPV(BH24,AV14:SS14)</f>
        <v>118062.69513515611</v>
      </c>
    </row>
    <row r="26" spans="1:60" x14ac:dyDescent="0.25">
      <c r="B26" t="s">
        <v>23</v>
      </c>
      <c r="G26" s="6">
        <f>G8/C8-1</f>
        <v>1.2376237623762387E-2</v>
      </c>
      <c r="H26" s="6">
        <f t="shared" ref="H26:AH26" si="151">H8/D8-1</f>
        <v>1.6009852216748666E-2</v>
      </c>
      <c r="I26" s="6">
        <f t="shared" si="151"/>
        <v>-1.2706480304955914E-3</v>
      </c>
      <c r="J26" s="6">
        <f t="shared" si="151"/>
        <v>2.3899371069182385E-2</v>
      </c>
      <c r="K26" s="6">
        <f t="shared" si="151"/>
        <v>-1.8337408312958381E-2</v>
      </c>
      <c r="L26" s="6">
        <f t="shared" si="151"/>
        <v>-1.8181818181818188E-2</v>
      </c>
      <c r="M26" s="6">
        <f t="shared" si="151"/>
        <v>-1.0178117048346036E-2</v>
      </c>
      <c r="N26" s="6">
        <f t="shared" si="151"/>
        <v>-1.9656019656019708E-2</v>
      </c>
      <c r="O26" s="6">
        <f t="shared" si="151"/>
        <v>-1.1207970112079746E-2</v>
      </c>
      <c r="P26" s="6">
        <f t="shared" si="151"/>
        <v>-3.703703703703709E-2</v>
      </c>
      <c r="Q26" s="6">
        <f t="shared" si="151"/>
        <v>1.9280205655527016E-2</v>
      </c>
      <c r="R26" s="6">
        <f t="shared" si="151"/>
        <v>-1.5037593984962405E-2</v>
      </c>
      <c r="S26" s="6">
        <f t="shared" si="151"/>
        <v>2.1410579345088054E-2</v>
      </c>
      <c r="T26" s="6">
        <f t="shared" si="151"/>
        <v>4.6153846153846212E-2</v>
      </c>
      <c r="U26" s="6">
        <f t="shared" si="151"/>
        <v>8.8272383354350836E-3</v>
      </c>
      <c r="V26" s="6">
        <f t="shared" si="151"/>
        <v>8.9058524173029063E-3</v>
      </c>
      <c r="W26" s="6">
        <f t="shared" si="151"/>
        <v>2.4660912453760009E-3</v>
      </c>
      <c r="X26" s="6">
        <f t="shared" si="151"/>
        <v>2.450980392156854E-2</v>
      </c>
      <c r="Y26" s="6">
        <f t="shared" si="151"/>
        <v>7.7499999999999902E-2</v>
      </c>
      <c r="Z26" s="6">
        <f t="shared" si="151"/>
        <v>8.8272383354350614E-2</v>
      </c>
      <c r="AA26" s="6">
        <f t="shared" si="151"/>
        <v>0.14268142681426821</v>
      </c>
      <c r="AB26" s="6">
        <f t="shared" si="151"/>
        <v>0.12200956937799035</v>
      </c>
      <c r="AC26" s="6">
        <f t="shared" si="151"/>
        <v>7.0765661252900181E-2</v>
      </c>
      <c r="AD26" s="6">
        <f t="shared" si="151"/>
        <v>4.0556199304750962E-2</v>
      </c>
      <c r="AE26" s="6">
        <f t="shared" si="151"/>
        <v>2.0000000000000018E-2</v>
      </c>
      <c r="AF26" s="6">
        <f t="shared" si="151"/>
        <v>2.0000000000000018E-2</v>
      </c>
      <c r="AG26" s="6">
        <f t="shared" si="151"/>
        <v>2.0000000000000018E-2</v>
      </c>
      <c r="AH26" s="6">
        <f t="shared" si="151"/>
        <v>2.0000000000000018E-2</v>
      </c>
      <c r="AQ26" s="6">
        <f t="shared" ref="AQ26:AU26" si="152">AQ8/AP8-1</f>
        <v>1.2804497189256692E-2</v>
      </c>
      <c r="AR26" s="6">
        <f t="shared" si="152"/>
        <v>-1.6651248843663313E-2</v>
      </c>
      <c r="AS26" s="6">
        <f t="shared" si="152"/>
        <v>-1.1288805268109159E-2</v>
      </c>
      <c r="AT26" s="6">
        <f t="shared" si="152"/>
        <v>2.1249603552172536E-2</v>
      </c>
      <c r="AU26" s="6">
        <f t="shared" si="152"/>
        <v>4.7826086956521685E-2</v>
      </c>
      <c r="AV26" s="6">
        <f>AV8/AU8-1</f>
        <v>9.3064611736810798E-2</v>
      </c>
      <c r="AW26" s="6">
        <f t="shared" ref="AW26:BB26" si="153">AW8/AV8-1</f>
        <v>2.0000000000000018E-2</v>
      </c>
      <c r="AX26" s="6">
        <f t="shared" si="153"/>
        <v>2.0000000000000018E-2</v>
      </c>
      <c r="AY26" s="6">
        <f t="shared" si="153"/>
        <v>2.0000000000000018E-2</v>
      </c>
      <c r="AZ26" s="6">
        <f t="shared" si="153"/>
        <v>2.0000000000000018E-2</v>
      </c>
      <c r="BA26" s="6">
        <f t="shared" si="153"/>
        <v>2.0000000000000018E-2</v>
      </c>
      <c r="BB26" s="6">
        <f t="shared" si="153"/>
        <v>2.0000000000000018E-2</v>
      </c>
      <c r="BG26" s="8" t="s">
        <v>84</v>
      </c>
      <c r="BH26" s="13">
        <f>Main!C7-Main!C8</f>
        <v>-2648</v>
      </c>
    </row>
    <row r="27" spans="1:60" s="5" customFormat="1" x14ac:dyDescent="0.25">
      <c r="A27" s="4"/>
      <c r="B27" s="4" t="s">
        <v>24</v>
      </c>
      <c r="G27" s="7">
        <f>G9/C9-1</f>
        <v>0.21931137724550909</v>
      </c>
      <c r="H27" s="7">
        <f t="shared" ref="H27:AH27" si="154">H9/D9-1</f>
        <v>0.14852752880921893</v>
      </c>
      <c r="I27" s="7">
        <f t="shared" si="154"/>
        <v>7.972177635098987E-2</v>
      </c>
      <c r="J27" s="7">
        <f t="shared" si="154"/>
        <v>-3.1610942249240104E-2</v>
      </c>
      <c r="K27" s="7">
        <f t="shared" si="154"/>
        <v>-0.10497237569060769</v>
      </c>
      <c r="L27" s="7">
        <f t="shared" si="154"/>
        <v>-0.13600891861761422</v>
      </c>
      <c r="M27" s="7">
        <f t="shared" si="154"/>
        <v>-0.17343904856293357</v>
      </c>
      <c r="N27" s="7">
        <f t="shared" si="154"/>
        <v>-0.18455743879472697</v>
      </c>
      <c r="O27" s="7">
        <f t="shared" si="154"/>
        <v>-0.11248285322359397</v>
      </c>
      <c r="P27" s="7">
        <f t="shared" si="154"/>
        <v>-0.16000000000000003</v>
      </c>
      <c r="Q27" s="7">
        <f t="shared" si="154"/>
        <v>-4.7961630695443347E-3</v>
      </c>
      <c r="R27" s="7">
        <f t="shared" si="154"/>
        <v>0.43187066974595845</v>
      </c>
      <c r="S27" s="7">
        <f t="shared" si="154"/>
        <v>0.53477588871715609</v>
      </c>
      <c r="T27" s="7">
        <f t="shared" si="154"/>
        <v>0.73655913978494625</v>
      </c>
      <c r="U27" s="7">
        <f t="shared" si="154"/>
        <v>0.41686746987951806</v>
      </c>
      <c r="V27" s="7">
        <f t="shared" si="154"/>
        <v>0.37473118279569895</v>
      </c>
      <c r="W27" s="7">
        <f t="shared" si="154"/>
        <v>0.32376636455186314</v>
      </c>
      <c r="X27" s="7">
        <f t="shared" si="154"/>
        <v>0.2335249889429456</v>
      </c>
      <c r="Y27" s="7">
        <f t="shared" si="154"/>
        <v>0.17134353741496589</v>
      </c>
      <c r="Z27" s="7">
        <f t="shared" si="154"/>
        <v>-0.13023073914743843</v>
      </c>
      <c r="AA27" s="7">
        <f t="shared" si="154"/>
        <v>-0.2643590718904526</v>
      </c>
      <c r="AB27" s="7">
        <f t="shared" si="154"/>
        <v>-0.29293653639297235</v>
      </c>
      <c r="AC27" s="7">
        <f t="shared" si="154"/>
        <v>-0.31324863883847553</v>
      </c>
      <c r="AD27" s="7">
        <f t="shared" si="154"/>
        <v>-0.31070143884892087</v>
      </c>
      <c r="AE27" s="7">
        <f t="shared" si="154"/>
        <v>-0.41020165460186142</v>
      </c>
      <c r="AF27" s="7">
        <f t="shared" si="154"/>
        <v>-0.41655679513184585</v>
      </c>
      <c r="AG27" s="7">
        <f t="shared" si="154"/>
        <v>-0.26744186046511631</v>
      </c>
      <c r="AH27" s="7">
        <f t="shared" si="154"/>
        <v>-3.3189823874755442E-2</v>
      </c>
      <c r="AQ27" s="6">
        <f t="shared" ref="AQ27:AU27" si="155">AQ9/AP9-1</f>
        <v>9.7005614472863488E-2</v>
      </c>
      <c r="AR27" s="6">
        <f t="shared" si="155"/>
        <v>-0.1505544498151834</v>
      </c>
      <c r="AS27" s="6">
        <f t="shared" si="155"/>
        <v>2.3598326359832722E-2</v>
      </c>
      <c r="AT27" s="6">
        <f t="shared" si="155"/>
        <v>0.49705689993459767</v>
      </c>
      <c r="AU27" s="6">
        <f t="shared" si="155"/>
        <v>0.13553953691568377</v>
      </c>
      <c r="AV27" s="6">
        <f>AV9/AU9-1</f>
        <v>-0.29489275752620947</v>
      </c>
      <c r="AW27" s="6">
        <f t="shared" ref="AW27:BB27" si="156">AW9/AV9-1</f>
        <v>-0.29622970945300797</v>
      </c>
      <c r="AX27" s="6">
        <f t="shared" si="156"/>
        <v>0.34314830966751542</v>
      </c>
      <c r="AY27" s="6">
        <f t="shared" si="156"/>
        <v>0.24569045260276634</v>
      </c>
      <c r="AZ27" s="6">
        <f t="shared" si="156"/>
        <v>0.17860881295407305</v>
      </c>
      <c r="BA27" s="6">
        <f t="shared" si="156"/>
        <v>0.16910786570112823</v>
      </c>
      <c r="BB27" s="6">
        <f t="shared" si="156"/>
        <v>0.16126173445073944</v>
      </c>
      <c r="BG27" s="13" t="s">
        <v>85</v>
      </c>
      <c r="BH27" s="13">
        <f>BH25+BH26</f>
        <v>115414.69513515611</v>
      </c>
    </row>
    <row r="28" spans="1:60" s="5" customFormat="1" x14ac:dyDescent="0.25">
      <c r="A28" s="4"/>
      <c r="B28" s="4" t="s">
        <v>26</v>
      </c>
      <c r="G28" s="7">
        <f>G14/C14-1</f>
        <v>0.33857539315448659</v>
      </c>
      <c r="H28" s="7">
        <f t="shared" ref="H28:AH28" si="157">H14/D14-1</f>
        <v>0.30667838312829532</v>
      </c>
      <c r="I28" s="7">
        <f t="shared" si="157"/>
        <v>0.20863836017569537</v>
      </c>
      <c r="J28" s="7">
        <f t="shared" si="157"/>
        <v>2.0892018779342725</v>
      </c>
      <c r="K28" s="7">
        <f t="shared" si="157"/>
        <v>-0.10435383552176913</v>
      </c>
      <c r="L28" s="7">
        <f t="shared" si="157"/>
        <v>-9.2804303967720214E-2</v>
      </c>
      <c r="M28" s="7">
        <f t="shared" si="157"/>
        <v>-8.9036947304663827E-2</v>
      </c>
      <c r="N28" s="7">
        <f t="shared" si="157"/>
        <v>-0.14893617021276595</v>
      </c>
      <c r="O28" s="7">
        <f t="shared" si="157"/>
        <v>-5.555555555555558E-2</v>
      </c>
      <c r="P28" s="7">
        <f t="shared" si="157"/>
        <v>7.7835433654559028E-2</v>
      </c>
      <c r="Q28" s="7">
        <f t="shared" si="157"/>
        <v>-6.6489361702127714E-2</v>
      </c>
      <c r="R28" s="7">
        <f t="shared" si="157"/>
        <v>0.54910714285714279</v>
      </c>
      <c r="S28" s="7">
        <f t="shared" si="157"/>
        <v>0.47058823529411775</v>
      </c>
      <c r="T28" s="7">
        <f t="shared" si="157"/>
        <v>0.36107290233837697</v>
      </c>
      <c r="U28" s="7">
        <f t="shared" si="157"/>
        <v>0.42022792022792022</v>
      </c>
      <c r="V28" s="7">
        <f t="shared" si="157"/>
        <v>0.26340057636887604</v>
      </c>
      <c r="W28" s="7">
        <f t="shared" si="157"/>
        <v>0.25944444444444437</v>
      </c>
      <c r="X28" s="7">
        <f t="shared" si="157"/>
        <v>0.19100555836280941</v>
      </c>
      <c r="Y28" s="7">
        <f t="shared" si="157"/>
        <v>0.18956870611835508</v>
      </c>
      <c r="Z28" s="7">
        <f t="shared" si="157"/>
        <v>-8.3029197080291994E-2</v>
      </c>
      <c r="AA28" s="7">
        <f t="shared" si="157"/>
        <v>-0.24658138509042793</v>
      </c>
      <c r="AB28" s="7">
        <f t="shared" si="157"/>
        <v>-0.26941026728892659</v>
      </c>
      <c r="AC28" s="7">
        <f t="shared" si="157"/>
        <v>-0.2795109612141653</v>
      </c>
      <c r="AD28" s="7">
        <f t="shared" si="157"/>
        <v>-0.31791044776119404</v>
      </c>
      <c r="AE28" s="7">
        <f t="shared" si="157"/>
        <v>-0.46005152224824353</v>
      </c>
      <c r="AF28" s="7">
        <f t="shared" si="157"/>
        <v>-0.45140534262485488</v>
      </c>
      <c r="AG28" s="7">
        <f t="shared" si="157"/>
        <v>-0.33701579871269749</v>
      </c>
      <c r="AH28" s="7">
        <f t="shared" si="157"/>
        <v>-0.12631947483588624</v>
      </c>
      <c r="AQ28" s="7">
        <f t="shared" ref="AQ28:AU28" si="158">AQ14/AP14-1</f>
        <v>0.47120418848167533</v>
      </c>
      <c r="AR28" s="7">
        <f t="shared" si="158"/>
        <v>-0.10710049144212841</v>
      </c>
      <c r="AS28" s="7">
        <f t="shared" si="158"/>
        <v>0.10400455494401206</v>
      </c>
      <c r="AT28" s="7">
        <f t="shared" si="158"/>
        <v>0.36926250644662195</v>
      </c>
      <c r="AU28" s="7">
        <f t="shared" si="158"/>
        <v>0.13069679849340865</v>
      </c>
      <c r="AV28" s="7">
        <f>AV14/AU14-1</f>
        <v>-0.27714856762158557</v>
      </c>
      <c r="AW28" s="7">
        <f t="shared" ref="AW28:BB28" si="159">AW14/AV14-1</f>
        <v>-0.32294064516129062</v>
      </c>
      <c r="AX28" s="7">
        <f t="shared" si="159"/>
        <v>0.33756939402082242</v>
      </c>
      <c r="AY28" s="7">
        <f t="shared" si="159"/>
        <v>0.24271015782201588</v>
      </c>
      <c r="AZ28" s="7">
        <f t="shared" si="159"/>
        <v>0.17687601060411895</v>
      </c>
      <c r="BA28" s="7">
        <f t="shared" si="159"/>
        <v>0.1677045639377075</v>
      </c>
      <c r="BB28" s="7">
        <f t="shared" si="159"/>
        <v>0.16010781128289908</v>
      </c>
      <c r="BG28" s="13" t="s">
        <v>86</v>
      </c>
      <c r="BH28" s="14">
        <f>BH27/Main!C5</f>
        <v>126.13627883623619</v>
      </c>
    </row>
    <row r="29" spans="1:60" x14ac:dyDescent="0.25">
      <c r="B29" t="s">
        <v>27</v>
      </c>
      <c r="G29" s="6">
        <f>G15/C15-1</f>
        <v>-1.3738959764474923E-2</v>
      </c>
      <c r="H29" s="6">
        <f t="shared" ref="H29:AH29" si="160">H15/D15-1</f>
        <v>-1.7733990147783207E-2</v>
      </c>
      <c r="I29" s="6">
        <f t="shared" si="160"/>
        <v>-1.8849206349206393E-2</v>
      </c>
      <c r="J29" s="6">
        <f t="shared" si="160"/>
        <v>-3.6742800397219444E-2</v>
      </c>
      <c r="K29" s="6">
        <f t="shared" si="160"/>
        <v>-4.8756218905472659E-2</v>
      </c>
      <c r="L29" s="6">
        <f t="shared" si="160"/>
        <v>-4.413239719157469E-2</v>
      </c>
      <c r="M29" s="6">
        <f t="shared" si="160"/>
        <v>-3.9433771486349856E-2</v>
      </c>
      <c r="N29" s="6">
        <f t="shared" si="160"/>
        <v>-2.2680412371134051E-2</v>
      </c>
      <c r="O29" s="6">
        <f t="shared" si="160"/>
        <v>-1.3598326359832602E-2</v>
      </c>
      <c r="P29" s="6">
        <f t="shared" si="160"/>
        <v>-2.7282266526757581E-2</v>
      </c>
      <c r="Q29" s="6">
        <f t="shared" si="160"/>
        <v>-2.2105263157894739E-2</v>
      </c>
      <c r="R29" s="6">
        <f t="shared" si="160"/>
        <v>-1.6877637130801704E-2</v>
      </c>
      <c r="S29" s="6">
        <f t="shared" si="160"/>
        <v>-8.4835630965005571E-3</v>
      </c>
      <c r="T29" s="6">
        <f t="shared" si="160"/>
        <v>1.0787486515641875E-2</v>
      </c>
      <c r="U29" s="6">
        <f t="shared" si="160"/>
        <v>7.5349838536060698E-3</v>
      </c>
      <c r="V29" s="6">
        <f t="shared" si="160"/>
        <v>4.2918454935623185E-3</v>
      </c>
      <c r="W29" s="6">
        <f t="shared" si="160"/>
        <v>-1.0695187165775666E-3</v>
      </c>
      <c r="X29" s="6">
        <f t="shared" si="160"/>
        <v>-7.4706510138741189E-3</v>
      </c>
      <c r="Y29" s="6">
        <f t="shared" si="160"/>
        <v>-1.388888888888884E-2</v>
      </c>
      <c r="Z29" s="6">
        <f t="shared" si="160"/>
        <v>-2.1367521367521403E-2</v>
      </c>
      <c r="AA29" s="6">
        <f t="shared" si="160"/>
        <v>-1.9271948608137079E-2</v>
      </c>
      <c r="AB29" s="6">
        <f t="shared" si="160"/>
        <v>-1.5053763440860179E-2</v>
      </c>
      <c r="AC29" s="6">
        <f t="shared" si="160"/>
        <v>-7.5839653304442534E-3</v>
      </c>
      <c r="AD29" s="6">
        <f t="shared" si="160"/>
        <v>-1.0917030567685337E-3</v>
      </c>
      <c r="AE29" s="6">
        <f t="shared" si="160"/>
        <v>-1.0000000000001119E-3</v>
      </c>
      <c r="AF29" s="6">
        <f t="shared" si="160"/>
        <v>-1.0000000000001119E-3</v>
      </c>
      <c r="AG29" s="6">
        <f t="shared" si="160"/>
        <v>-1.0000000000001119E-3</v>
      </c>
      <c r="AH29" s="6">
        <f t="shared" si="160"/>
        <v>-1.0000000000000009E-3</v>
      </c>
      <c r="AQ29" s="7">
        <f t="shared" ref="AQ29:AU29" si="161">AQ15/AP15-1</f>
        <v>-3.6742800397219444E-2</v>
      </c>
      <c r="AR29" s="7">
        <f t="shared" si="161"/>
        <v>-2.2680412371134051E-2</v>
      </c>
      <c r="AS29" s="7">
        <f t="shared" si="161"/>
        <v>-1.6877637130801704E-2</v>
      </c>
      <c r="AT29" s="7">
        <f t="shared" si="161"/>
        <v>4.2918454935623185E-3</v>
      </c>
      <c r="AU29" s="7">
        <f t="shared" si="161"/>
        <v>-2.1367521367521403E-2</v>
      </c>
      <c r="AV29" s="7">
        <f>AV15/AU15-1</f>
        <v>-1.0917030567685337E-3</v>
      </c>
      <c r="AW29" s="7">
        <f t="shared" ref="AW29:BB29" si="162">AW15/AV15-1</f>
        <v>-1.0000000000000009E-3</v>
      </c>
      <c r="AX29" s="7">
        <f t="shared" si="162"/>
        <v>-1.0000000000000009E-3</v>
      </c>
      <c r="AY29" s="7">
        <f t="shared" si="162"/>
        <v>-1.0000000000000009E-3</v>
      </c>
      <c r="AZ29" s="7">
        <f t="shared" si="162"/>
        <v>-1.0000000000000009E-3</v>
      </c>
      <c r="BA29" s="7">
        <f t="shared" si="162"/>
        <v>-1.0000000000000009E-3</v>
      </c>
      <c r="BB29" s="7">
        <f t="shared" si="162"/>
        <v>-1.0000000000000009E-3</v>
      </c>
      <c r="BG29" s="13" t="s">
        <v>87</v>
      </c>
      <c r="BH29" s="14">
        <f>Main!C4</f>
        <v>167.91</v>
      </c>
    </row>
    <row r="30" spans="1:60" x14ac:dyDescent="0.25">
      <c r="B30" t="s">
        <v>28</v>
      </c>
      <c r="G30" s="6">
        <f>G16/C16-1</f>
        <v>0.35722221455166325</v>
      </c>
      <c r="H30" s="6">
        <f t="shared" ref="H30:AH30" si="163">H16/D16-1</f>
        <v>0.33026936697614806</v>
      </c>
      <c r="I30" s="6">
        <f t="shared" si="163"/>
        <v>0.23185790400111328</v>
      </c>
      <c r="J30" s="6">
        <f t="shared" si="163"/>
        <v>2.2070374134843425</v>
      </c>
      <c r="K30" s="6">
        <f t="shared" si="163"/>
        <v>-5.8447285250395442E-2</v>
      </c>
      <c r="L30" s="6">
        <f t="shared" si="163"/>
        <v>-5.0919088201277107E-2</v>
      </c>
      <c r="M30" s="6">
        <f t="shared" si="163"/>
        <v>-5.1639516720329071E-2</v>
      </c>
      <c r="N30" s="6">
        <f t="shared" si="163"/>
        <v>-0.12918574378310443</v>
      </c>
      <c r="O30" s="6">
        <f t="shared" si="163"/>
        <v>-4.2535642747731695E-2</v>
      </c>
      <c r="P30" s="6">
        <f t="shared" si="163"/>
        <v>0.10806598519179578</v>
      </c>
      <c r="Q30" s="6">
        <f t="shared" si="163"/>
        <v>-4.5387398941895918E-2</v>
      </c>
      <c r="R30" s="6">
        <f t="shared" si="163"/>
        <v>0.57570125689760876</v>
      </c>
      <c r="S30" s="6">
        <f t="shared" si="163"/>
        <v>0.48317080843032389</v>
      </c>
      <c r="T30" s="6">
        <f t="shared" si="163"/>
        <v>0.34654704425579008</v>
      </c>
      <c r="U30" s="6">
        <f t="shared" si="163"/>
        <v>0.40960655757664299</v>
      </c>
      <c r="V30" s="6">
        <f t="shared" si="163"/>
        <v>0.2580014286066159</v>
      </c>
      <c r="W30" s="6">
        <f t="shared" si="163"/>
        <v>0.26079288603378536</v>
      </c>
      <c r="X30" s="6">
        <f t="shared" si="163"/>
        <v>0.1999701163289811</v>
      </c>
      <c r="Y30" s="6">
        <f t="shared" si="163"/>
        <v>0.20632319493692353</v>
      </c>
      <c r="Z30" s="6">
        <f t="shared" si="163"/>
        <v>-6.3008000509992779E-2</v>
      </c>
      <c r="AA30" s="6">
        <f t="shared" si="163"/>
        <v>-0.23177621580181185</v>
      </c>
      <c r="AB30" s="6">
        <f t="shared" si="163"/>
        <v>-0.25824404866670481</v>
      </c>
      <c r="AC30" s="6">
        <f t="shared" si="163"/>
        <v>-0.27400504061209008</v>
      </c>
      <c r="AD30" s="6">
        <f t="shared" si="163"/>
        <v>-0.3171649946986379</v>
      </c>
      <c r="AE30" s="6">
        <f t="shared" si="163"/>
        <v>-0.45951103328152509</v>
      </c>
      <c r="AF30" s="6">
        <f t="shared" si="163"/>
        <v>-0.45085619882367856</v>
      </c>
      <c r="AG30" s="6">
        <f t="shared" si="163"/>
        <v>-0.33635215086356107</v>
      </c>
      <c r="AH30" s="6">
        <f t="shared" si="163"/>
        <v>-0.12544491975564176</v>
      </c>
      <c r="AQ30" s="7">
        <f t="shared" ref="AQ30:AU30" si="164">AQ16/AP16-1</f>
        <v>0.52732228639283218</v>
      </c>
      <c r="AR30" s="7">
        <f t="shared" si="164"/>
        <v>-8.6379194830025985E-2</v>
      </c>
      <c r="AS30" s="7">
        <f t="shared" si="164"/>
        <v>0.12295742284004674</v>
      </c>
      <c r="AT30" s="7">
        <f t="shared" si="164"/>
        <v>0.36341095727377315</v>
      </c>
      <c r="AU30" s="7">
        <f t="shared" si="164"/>
        <v>0.15538450151728211</v>
      </c>
      <c r="AV30" s="7">
        <f>AV16/AU16-1</f>
        <v>-0.27635856605614462</v>
      </c>
      <c r="AW30" s="7">
        <f t="shared" ref="AW30:BB30" si="165">AW16/AV16-1</f>
        <v>-0.32226290806936009</v>
      </c>
      <c r="AX30" s="7">
        <f t="shared" si="165"/>
        <v>0.33890830232314562</v>
      </c>
      <c r="AY30" s="7">
        <f t="shared" si="165"/>
        <v>0.24395411193394989</v>
      </c>
      <c r="AZ30" s="7">
        <f t="shared" si="165"/>
        <v>0.17805406466878759</v>
      </c>
      <c r="BA30" s="7">
        <f t="shared" si="165"/>
        <v>0.16887343737508265</v>
      </c>
      <c r="BB30" s="7">
        <f t="shared" si="165"/>
        <v>0.16126908036326237</v>
      </c>
      <c r="BG30" s="5" t="s">
        <v>88</v>
      </c>
      <c r="BH30" s="7">
        <f>BH28/BH29-1</f>
        <v>-0.2487863805834305</v>
      </c>
    </row>
    <row r="31" spans="1:60" x14ac:dyDescent="0.25">
      <c r="B31" t="s">
        <v>29</v>
      </c>
      <c r="C31" s="6">
        <f>C5/C3</f>
        <v>0.630217519106408</v>
      </c>
      <c r="D31" s="6">
        <f t="shared" ref="D31:AH31" si="166">D5/D3</f>
        <v>0.64283780124559975</v>
      </c>
      <c r="E31" s="6">
        <f t="shared" si="166"/>
        <v>0.64528668610301265</v>
      </c>
      <c r="F31" s="6">
        <f t="shared" si="166"/>
        <v>0.65066666666666662</v>
      </c>
      <c r="G31" s="6">
        <f t="shared" si="166"/>
        <v>0.64581683821588809</v>
      </c>
      <c r="H31" s="6">
        <f t="shared" si="166"/>
        <v>0.65197908887229272</v>
      </c>
      <c r="I31" s="6">
        <f t="shared" si="166"/>
        <v>0.65806148791363528</v>
      </c>
      <c r="J31" s="6">
        <f t="shared" si="166"/>
        <v>0.64756524078557975</v>
      </c>
      <c r="K31" s="6">
        <f t="shared" si="166"/>
        <v>0.62910406232609906</v>
      </c>
      <c r="L31" s="6">
        <f t="shared" si="166"/>
        <v>0.64340239912759001</v>
      </c>
      <c r="M31" s="6">
        <f t="shared" si="166"/>
        <v>0.64863431450543618</v>
      </c>
      <c r="N31" s="6">
        <f t="shared" si="166"/>
        <v>0.62597014925373129</v>
      </c>
      <c r="O31" s="6">
        <f t="shared" si="166"/>
        <v>0.62721537999399224</v>
      </c>
      <c r="P31" s="6">
        <f t="shared" si="166"/>
        <v>0.64279098487187403</v>
      </c>
      <c r="Q31" s="6">
        <f t="shared" si="166"/>
        <v>0.64265129682997113</v>
      </c>
      <c r="R31" s="6">
        <f t="shared" si="166"/>
        <v>0.64916584887144257</v>
      </c>
      <c r="S31" s="6">
        <f t="shared" si="166"/>
        <v>0.65213336442061087</v>
      </c>
      <c r="T31" s="6">
        <f t="shared" si="166"/>
        <v>0.67183406113537114</v>
      </c>
      <c r="U31" s="6">
        <f t="shared" si="166"/>
        <v>0.67887141934094331</v>
      </c>
      <c r="V31" s="6">
        <f t="shared" si="166"/>
        <v>0.69329470198675491</v>
      </c>
      <c r="W31" s="6">
        <f t="shared" si="166"/>
        <v>0.70173292558613665</v>
      </c>
      <c r="X31" s="6">
        <f t="shared" si="166"/>
        <v>0.69551036070606298</v>
      </c>
      <c r="Y31" s="6">
        <f t="shared" si="166"/>
        <v>0.69013547033008971</v>
      </c>
      <c r="Z31" s="6">
        <f t="shared" si="166"/>
        <v>0.66102783725910064</v>
      </c>
      <c r="AA31" s="6">
        <f t="shared" si="166"/>
        <v>0.65380223795387071</v>
      </c>
      <c r="AB31" s="6">
        <f t="shared" si="166"/>
        <v>0.64224233061134406</v>
      </c>
      <c r="AC31" s="6">
        <f t="shared" si="166"/>
        <v>0.62113857016769636</v>
      </c>
      <c r="AD31" s="6">
        <f t="shared" si="166"/>
        <v>0.59627176845719887</v>
      </c>
      <c r="AE31" s="6">
        <f t="shared" si="166"/>
        <v>0.57455214784692554</v>
      </c>
      <c r="AF31" s="6">
        <f t="shared" si="166"/>
        <v>0.5603459966549047</v>
      </c>
      <c r="AG31" s="6">
        <f t="shared" si="166"/>
        <v>0.57062371285672253</v>
      </c>
      <c r="AH31" s="6">
        <f t="shared" si="166"/>
        <v>0.58819720382634288</v>
      </c>
      <c r="AP31" s="6">
        <f t="shared" ref="AP31:BB31" si="167">AP5/AP3</f>
        <v>0.64260410400374302</v>
      </c>
      <c r="AQ31" s="6">
        <f t="shared" si="167"/>
        <v>0.65110238215914851</v>
      </c>
      <c r="AR31" s="6">
        <f t="shared" si="167"/>
        <v>0.63714106931794479</v>
      </c>
      <c r="AS31" s="6">
        <f t="shared" si="167"/>
        <v>0.64096535509300878</v>
      </c>
      <c r="AT31" s="6">
        <f t="shared" si="167"/>
        <v>0.67466201482773658</v>
      </c>
      <c r="AU31" s="6">
        <f t="shared" si="167"/>
        <v>0.68758737767126021</v>
      </c>
      <c r="AV31" s="6">
        <f t="shared" si="167"/>
        <v>0.62897425652149097</v>
      </c>
      <c r="AW31" s="6">
        <f t="shared" si="167"/>
        <v>0.57366359935953082</v>
      </c>
      <c r="AX31" s="6">
        <f t="shared" si="167"/>
        <v>0.60732173625219943</v>
      </c>
      <c r="AY31" s="6">
        <f t="shared" si="167"/>
        <v>0.63186412773643696</v>
      </c>
      <c r="AZ31" s="6">
        <f t="shared" si="167"/>
        <v>0.64859757647568983</v>
      </c>
      <c r="BA31" s="6">
        <f t="shared" si="167"/>
        <v>0.66457041390861304</v>
      </c>
      <c r="BB31" s="6">
        <f t="shared" si="167"/>
        <v>0.67981721327640343</v>
      </c>
    </row>
    <row r="32" spans="1:60" x14ac:dyDescent="0.25">
      <c r="B32" t="s">
        <v>30</v>
      </c>
      <c r="C32" s="6">
        <f>C9/C3</f>
        <v>0.39271017048794826</v>
      </c>
      <c r="D32" s="6">
        <f t="shared" ref="D32:AH32" si="168">D9/D3</f>
        <v>0.42296236122393716</v>
      </c>
      <c r="E32" s="6">
        <f t="shared" si="168"/>
        <v>0.45408163265306123</v>
      </c>
      <c r="F32" s="6">
        <f t="shared" si="168"/>
        <v>0.43866666666666665</v>
      </c>
      <c r="G32" s="6">
        <f t="shared" si="168"/>
        <v>0.42992874109263657</v>
      </c>
      <c r="H32" s="6">
        <f t="shared" si="168"/>
        <v>0.44660194174757284</v>
      </c>
      <c r="I32" s="6">
        <f t="shared" si="168"/>
        <v>0.47359774700774465</v>
      </c>
      <c r="J32" s="6">
        <f t="shared" si="168"/>
        <v>0.42857142857142855</v>
      </c>
      <c r="K32" s="6">
        <f t="shared" si="168"/>
        <v>0.40567612687813021</v>
      </c>
      <c r="L32" s="6">
        <f t="shared" si="168"/>
        <v>0.42257360959651036</v>
      </c>
      <c r="M32" s="6">
        <f t="shared" si="168"/>
        <v>0.44232299124900559</v>
      </c>
      <c r="N32" s="6">
        <f t="shared" si="168"/>
        <v>0.38776119402985076</v>
      </c>
      <c r="O32" s="6">
        <f t="shared" si="168"/>
        <v>0.38870531691198557</v>
      </c>
      <c r="P32" s="6">
        <f t="shared" si="168"/>
        <v>0.40197591849336217</v>
      </c>
      <c r="Q32" s="6">
        <f t="shared" si="168"/>
        <v>0.43489651558815823</v>
      </c>
      <c r="R32" s="6">
        <f t="shared" si="168"/>
        <v>0.45632973503434737</v>
      </c>
      <c r="S32" s="6">
        <f t="shared" si="168"/>
        <v>0.46304499883422712</v>
      </c>
      <c r="T32" s="6">
        <f t="shared" si="168"/>
        <v>0.49366812227074236</v>
      </c>
      <c r="U32" s="6">
        <f t="shared" si="168"/>
        <v>0.50656902864527242</v>
      </c>
      <c r="V32" s="6">
        <f t="shared" si="168"/>
        <v>0.52918046357615889</v>
      </c>
      <c r="W32" s="6">
        <f t="shared" si="168"/>
        <v>0.53598369011213043</v>
      </c>
      <c r="X32" s="6">
        <f t="shared" si="168"/>
        <v>0.53511128165771293</v>
      </c>
      <c r="Y32" s="6">
        <f t="shared" si="168"/>
        <v>0.52566304140431219</v>
      </c>
      <c r="Z32" s="6">
        <f t="shared" si="168"/>
        <v>0.47623126338329763</v>
      </c>
      <c r="AA32" s="6">
        <f t="shared" si="168"/>
        <v>0.4416533455126741</v>
      </c>
      <c r="AB32" s="6">
        <f t="shared" si="168"/>
        <v>0.43522401235930258</v>
      </c>
      <c r="AC32" s="6">
        <f t="shared" si="168"/>
        <v>0.41747572815533979</v>
      </c>
      <c r="AD32" s="6">
        <f t="shared" si="168"/>
        <v>0.37601177336276675</v>
      </c>
      <c r="AE32" s="6">
        <f t="shared" si="168"/>
        <v>0.31383905111196103</v>
      </c>
      <c r="AF32" s="6">
        <f t="shared" si="168"/>
        <v>0.30593794289938386</v>
      </c>
      <c r="AG32" s="6">
        <f t="shared" si="168"/>
        <v>0.33980582524271841</v>
      </c>
      <c r="AH32" s="6">
        <f t="shared" si="168"/>
        <v>0.36353200883002207</v>
      </c>
      <c r="AP32" s="6">
        <f t="shared" ref="AP32:BB32" si="169">AP9/AP3</f>
        <v>0.4285809772074059</v>
      </c>
      <c r="AQ32" s="6">
        <f t="shared" si="169"/>
        <v>0.44564115560060819</v>
      </c>
      <c r="AR32" s="6">
        <f t="shared" si="169"/>
        <v>0.4154209831050546</v>
      </c>
      <c r="AS32" s="6">
        <f t="shared" si="169"/>
        <v>0.42293064103450662</v>
      </c>
      <c r="AT32" s="6">
        <f t="shared" si="169"/>
        <v>0.49912778020061055</v>
      </c>
      <c r="AU32" s="6">
        <f t="shared" si="169"/>
        <v>0.51912322748152584</v>
      </c>
      <c r="AV32" s="6">
        <f t="shared" si="169"/>
        <v>0.41845995776014611</v>
      </c>
      <c r="AW32" s="6">
        <f t="shared" si="169"/>
        <v>0.3317668846576769</v>
      </c>
      <c r="AX32" s="6">
        <f t="shared" si="169"/>
        <v>0.3908878336242248</v>
      </c>
      <c r="AY32" s="6">
        <f t="shared" si="169"/>
        <v>0.43475468070024587</v>
      </c>
      <c r="AZ32" s="6">
        <f t="shared" si="169"/>
        <v>0.46582336195122165</v>
      </c>
      <c r="BA32" s="6">
        <f t="shared" si="169"/>
        <v>0.49508886953137898</v>
      </c>
      <c r="BB32" s="6">
        <f t="shared" si="169"/>
        <v>0.52266159939933177</v>
      </c>
    </row>
    <row r="33" spans="2:54" x14ac:dyDescent="0.25">
      <c r="B33" t="s">
        <v>31</v>
      </c>
      <c r="C33" s="6">
        <f>C13/C12</f>
        <v>0.19268110530246452</v>
      </c>
      <c r="D33" s="6">
        <f t="shared" ref="D33:AH33" si="170">D13/D12</f>
        <v>0.27423469387755101</v>
      </c>
      <c r="E33" s="6">
        <f t="shared" si="170"/>
        <v>0.26951871657754012</v>
      </c>
      <c r="F33" s="6">
        <f t="shared" si="170"/>
        <v>0.73897058823529416</v>
      </c>
      <c r="G33" s="6">
        <f t="shared" si="170"/>
        <v>0.11444308445532436</v>
      </c>
      <c r="H33" s="6">
        <f t="shared" si="170"/>
        <v>0.16834451901565994</v>
      </c>
      <c r="I33" s="6">
        <f t="shared" si="170"/>
        <v>0.17655860349127181</v>
      </c>
      <c r="J33" s="6">
        <f t="shared" si="170"/>
        <v>0.16708860759493671</v>
      </c>
      <c r="K33" s="6">
        <f t="shared" si="170"/>
        <v>0.10989010989010989</v>
      </c>
      <c r="L33" s="6">
        <f t="shared" si="170"/>
        <v>0.13414634146341464</v>
      </c>
      <c r="M33" s="6">
        <f t="shared" si="170"/>
        <v>9.3429776974080767E-2</v>
      </c>
      <c r="N33" s="6">
        <f t="shared" si="170"/>
        <v>0.14307574598316755</v>
      </c>
      <c r="O33" s="6">
        <f t="shared" si="170"/>
        <v>3.924646781789639E-2</v>
      </c>
      <c r="P33" s="6">
        <f t="shared" si="170"/>
        <v>-7.464892830746489E-2</v>
      </c>
      <c r="Q33" s="6">
        <f t="shared" si="170"/>
        <v>0.14285714285714285</v>
      </c>
      <c r="R33" s="6">
        <f t="shared" si="170"/>
        <v>0.12107396149949341</v>
      </c>
      <c r="S33" s="6">
        <f t="shared" si="170"/>
        <v>9.3655589123867067E-2</v>
      </c>
      <c r="T33" s="6">
        <f t="shared" si="170"/>
        <v>0.13580786026200872</v>
      </c>
      <c r="U33" s="6">
        <f t="shared" si="170"/>
        <v>0.14125753660637383</v>
      </c>
      <c r="V33" s="6">
        <f t="shared" si="170"/>
        <v>0.12912197059992053</v>
      </c>
      <c r="W33" s="6">
        <f t="shared" si="170"/>
        <v>0.1253858024691358</v>
      </c>
      <c r="X33" s="6">
        <f t="shared" si="170"/>
        <v>0.14197306152166</v>
      </c>
      <c r="Y33" s="6">
        <f t="shared" si="170"/>
        <v>0.13272394881170019</v>
      </c>
      <c r="Z33" s="6">
        <f t="shared" si="170"/>
        <v>9.2550790067720087E-2</v>
      </c>
      <c r="AA33" s="6">
        <f t="shared" si="170"/>
        <v>0.1223021582733813</v>
      </c>
      <c r="AB33" s="6">
        <f t="shared" si="170"/>
        <v>0.13986013986013987</v>
      </c>
      <c r="AC33" s="6">
        <f t="shared" si="170"/>
        <v>0.11082206035379813</v>
      </c>
      <c r="AD33" s="6">
        <f t="shared" si="170"/>
        <v>0.11434108527131782</v>
      </c>
      <c r="AE33" s="6">
        <f t="shared" si="170"/>
        <v>0.2</v>
      </c>
      <c r="AF33" s="6">
        <f t="shared" si="170"/>
        <v>0.2</v>
      </c>
      <c r="AG33" s="6">
        <f t="shared" si="170"/>
        <v>0.2</v>
      </c>
      <c r="AH33" s="6">
        <f t="shared" si="170"/>
        <v>0.2</v>
      </c>
      <c r="AP33" s="6">
        <f t="shared" ref="AP33:BB33" si="171">AP13/AP12</f>
        <v>0.37416133562178189</v>
      </c>
      <c r="AQ33" s="6">
        <f t="shared" si="171"/>
        <v>0.15784215784215785</v>
      </c>
      <c r="AR33" s="6">
        <f t="shared" si="171"/>
        <v>0.11889632107023411</v>
      </c>
      <c r="AS33" s="6">
        <f t="shared" si="171"/>
        <v>6.7639044718704924E-2</v>
      </c>
      <c r="AT33" s="6">
        <f t="shared" si="171"/>
        <v>0.12616566099835436</v>
      </c>
      <c r="AU33" s="6">
        <f t="shared" si="171"/>
        <v>0.12469627757799592</v>
      </c>
      <c r="AV33" s="6">
        <f t="shared" si="171"/>
        <v>0.12240496090590455</v>
      </c>
      <c r="AW33" s="6">
        <f t="shared" si="171"/>
        <v>0.16</v>
      </c>
      <c r="AX33" s="6">
        <f t="shared" si="171"/>
        <v>0.16</v>
      </c>
      <c r="AY33" s="6">
        <f t="shared" si="171"/>
        <v>0.16</v>
      </c>
      <c r="AZ33" s="6">
        <f t="shared" si="171"/>
        <v>0.16</v>
      </c>
      <c r="BA33" s="6">
        <f t="shared" si="171"/>
        <v>0.16</v>
      </c>
      <c r="BB33" s="6">
        <f t="shared" si="171"/>
        <v>0.16</v>
      </c>
    </row>
  </sheetData>
  <phoneticPr fontId="2" type="noConversion"/>
  <conditionalFormatting sqref="BH30">
    <cfRule type="cellIs" dxfId="1" priority="1" operator="lessThan">
      <formula>0</formula>
    </cfRule>
    <cfRule type="cellIs" dxfId="0" priority="2" operator="greaterThan">
      <formula>0</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8A878-D804-4E40-9077-852B9372CEE1}">
  <dimension ref="B3:D18"/>
  <sheetViews>
    <sheetView workbookViewId="0">
      <selection activeCell="C19" sqref="C19"/>
    </sheetView>
  </sheetViews>
  <sheetFormatPr defaultRowHeight="13.8" x14ac:dyDescent="0.25"/>
  <cols>
    <col min="2" max="2" width="14.3984375" bestFit="1" customWidth="1"/>
    <col min="4" max="4" width="20.69921875" bestFit="1" customWidth="1"/>
  </cols>
  <sheetData>
    <row r="3" spans="2:4" x14ac:dyDescent="0.25">
      <c r="B3" s="8" t="s">
        <v>5</v>
      </c>
      <c r="C3" s="1">
        <f>Main!C8</f>
        <v>11223</v>
      </c>
    </row>
    <row r="4" spans="2:4" x14ac:dyDescent="0.25">
      <c r="B4" s="8" t="s">
        <v>65</v>
      </c>
      <c r="C4" s="1">
        <f>Main!C6</f>
        <v>153637.65</v>
      </c>
    </row>
    <row r="5" spans="2:4" x14ac:dyDescent="0.25">
      <c r="B5" s="8" t="s">
        <v>66</v>
      </c>
      <c r="C5" s="1">
        <f>C3+C4</f>
        <v>164860.65</v>
      </c>
    </row>
    <row r="6" spans="2:4" x14ac:dyDescent="0.25">
      <c r="B6" s="4" t="s">
        <v>67</v>
      </c>
      <c r="C6" s="6">
        <f>C3/C5</f>
        <v>6.8075674819916096E-2</v>
      </c>
    </row>
    <row r="7" spans="2:4" x14ac:dyDescent="0.25">
      <c r="B7" s="4" t="s">
        <v>68</v>
      </c>
      <c r="C7" s="6">
        <f>C4/C5</f>
        <v>0.93192432518008395</v>
      </c>
    </row>
    <row r="8" spans="2:4" x14ac:dyDescent="0.25">
      <c r="B8" s="8"/>
    </row>
    <row r="9" spans="2:4" x14ac:dyDescent="0.25">
      <c r="B9" s="8" t="s">
        <v>69</v>
      </c>
      <c r="C9" s="6">
        <f>AVERAGE(Model!AQ33:AV33)</f>
        <v>0.11960740385222529</v>
      </c>
      <c r="D9" t="s">
        <v>77</v>
      </c>
    </row>
    <row r="10" spans="2:4" x14ac:dyDescent="0.25">
      <c r="B10" s="8" t="s">
        <v>70</v>
      </c>
      <c r="C10" s="1">
        <f>Model!AV11</f>
        <v>353</v>
      </c>
    </row>
    <row r="11" spans="2:4" x14ac:dyDescent="0.25">
      <c r="B11" s="4" t="s">
        <v>71</v>
      </c>
      <c r="C11" s="6">
        <f>(C10*(1-C9))/C3</f>
        <v>2.7691222172339346E-2</v>
      </c>
    </row>
    <row r="12" spans="2:4" x14ac:dyDescent="0.25">
      <c r="B12" s="8"/>
    </row>
    <row r="13" spans="2:4" x14ac:dyDescent="0.25">
      <c r="B13" s="8" t="s">
        <v>72</v>
      </c>
      <c r="C13" s="10">
        <f>'[1]T-Bond Yields'!$C$12</f>
        <v>4.3299999999999998E-2</v>
      </c>
      <c r="D13" t="s">
        <v>78</v>
      </c>
    </row>
    <row r="14" spans="2:4" x14ac:dyDescent="0.25">
      <c r="B14" s="8" t="s">
        <v>73</v>
      </c>
      <c r="C14">
        <v>1.03</v>
      </c>
      <c r="D14" t="s">
        <v>79</v>
      </c>
    </row>
    <row r="15" spans="2:4" x14ac:dyDescent="0.25">
      <c r="B15" s="8" t="s">
        <v>74</v>
      </c>
      <c r="C15" s="6">
        <v>0.08</v>
      </c>
      <c r="D15" t="s">
        <v>80</v>
      </c>
    </row>
    <row r="16" spans="2:4" x14ac:dyDescent="0.25">
      <c r="B16" s="4" t="s">
        <v>75</v>
      </c>
      <c r="C16" s="6">
        <f>(C13+C14*(C15-C13))</f>
        <v>8.1101000000000006E-2</v>
      </c>
    </row>
    <row r="17" spans="2:3" x14ac:dyDescent="0.25">
      <c r="B17" s="8"/>
    </row>
    <row r="18" spans="2:3" x14ac:dyDescent="0.25">
      <c r="B18" s="9" t="s">
        <v>76</v>
      </c>
      <c r="C18" s="6">
        <f>(C7*C16)+(C6*C11)*(1-C9)</f>
        <v>7.7239621578546455E-2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Sheldon</dc:creator>
  <cp:lastModifiedBy>Bill Sheldon</cp:lastModifiedBy>
  <dcterms:created xsi:type="dcterms:W3CDTF">2024-03-23T20:52:00Z</dcterms:created>
  <dcterms:modified xsi:type="dcterms:W3CDTF">2024-03-27T01:55:11Z</dcterms:modified>
</cp:coreProperties>
</file>