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lshe\Documents\Models\"/>
    </mc:Choice>
  </mc:AlternateContent>
  <xr:revisionPtr revIDLastSave="0" documentId="13_ncr:1_{8DD62AEF-73D7-4B10-AFC8-B2395194B974}" xr6:coauthVersionLast="47" xr6:coauthVersionMax="47" xr10:uidLastSave="{00000000-0000-0000-0000-000000000000}"/>
  <bookViews>
    <workbookView xWindow="-28920" yWindow="-120" windowWidth="29040" windowHeight="15720" xr2:uid="{1B8B885C-C952-4F1A-B000-EF50C2E57743}"/>
  </bookViews>
  <sheets>
    <sheet name="Main" sheetId="1" r:id="rId1"/>
    <sheet name="Model" sheetId="3" r:id="rId2"/>
    <sheet name="WACC" sheetId="4" r:id="rId3"/>
    <sheet name="Ratios" sheetId="5" r:id="rId4"/>
  </sheets>
  <externalReferences>
    <externalReference r:id="rId5"/>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Y30" i="3" l="1"/>
  <c r="C9" i="4"/>
  <c r="AO56" i="3"/>
  <c r="AO61" i="3" s="1"/>
  <c r="AO63" i="3" s="1"/>
  <c r="AO46" i="3"/>
  <c r="AO43" i="3"/>
  <c r="AO49" i="3" s="1"/>
  <c r="AO38" i="3"/>
  <c r="AR12" i="3"/>
  <c r="AS12" i="3" s="1"/>
  <c r="AT12" i="3" s="1"/>
  <c r="AQ12" i="3"/>
  <c r="AP24" i="3"/>
  <c r="AP20" i="3"/>
  <c r="AP19" i="3"/>
  <c r="AP16" i="3"/>
  <c r="AP15" i="3"/>
  <c r="AP14" i="3"/>
  <c r="AP12" i="3"/>
  <c r="AR3" i="3"/>
  <c r="AS3" i="3" s="1"/>
  <c r="AT3" i="3" s="1"/>
  <c r="AQ3" i="3"/>
  <c r="AQ11" i="3" s="1"/>
  <c r="AP11" i="3"/>
  <c r="AP7" i="3"/>
  <c r="AO7" i="3"/>
  <c r="AN7" i="3"/>
  <c r="AP3" i="3"/>
  <c r="AO3" i="3"/>
  <c r="AD24" i="3"/>
  <c r="AC24" i="3"/>
  <c r="AB24" i="3"/>
  <c r="AC22" i="3"/>
  <c r="AD22" i="3"/>
  <c r="AB22" i="3"/>
  <c r="AD20" i="3"/>
  <c r="AC20" i="3"/>
  <c r="AB20" i="3"/>
  <c r="AD19" i="3"/>
  <c r="AC19" i="3"/>
  <c r="AB19" i="3"/>
  <c r="AD16" i="3"/>
  <c r="AC16" i="3"/>
  <c r="AB16" i="3"/>
  <c r="AD15" i="3"/>
  <c r="AC15" i="3"/>
  <c r="AB15" i="3"/>
  <c r="AD14" i="3"/>
  <c r="AD17" i="3" s="1"/>
  <c r="AC14" i="3"/>
  <c r="AB14" i="3"/>
  <c r="AB17" i="3" s="1"/>
  <c r="AD12" i="3"/>
  <c r="AD31" i="3" s="1"/>
  <c r="AC12" i="3"/>
  <c r="AB12" i="3"/>
  <c r="AC31" i="3"/>
  <c r="AB31" i="3"/>
  <c r="AD11" i="3"/>
  <c r="AC11" i="3"/>
  <c r="AB11" i="3"/>
  <c r="AB7" i="3"/>
  <c r="AA8" i="3"/>
  <c r="AA9" i="3"/>
  <c r="AC7" i="3"/>
  <c r="AC8" i="3" s="1"/>
  <c r="AD3" i="3"/>
  <c r="AC3" i="3"/>
  <c r="AC4" i="3" s="1"/>
  <c r="AC5" i="3" s="1"/>
  <c r="AD4" i="3"/>
  <c r="AD5" i="3" s="1"/>
  <c r="AA5" i="3"/>
  <c r="AB4" i="3"/>
  <c r="AB5" i="3" s="1"/>
  <c r="AB3" i="3"/>
  <c r="Y46" i="3"/>
  <c r="Z46" i="3"/>
  <c r="AA46" i="3"/>
  <c r="AA56" i="3"/>
  <c r="AA61" i="3" s="1"/>
  <c r="AA63" i="3" s="1"/>
  <c r="Z56" i="3"/>
  <c r="Z61" i="3" s="1"/>
  <c r="Z63" i="3" s="1"/>
  <c r="Y56" i="3"/>
  <c r="Y61" i="3" s="1"/>
  <c r="Y63" i="3" s="1"/>
  <c r="AA43" i="3"/>
  <c r="Z43" i="3"/>
  <c r="Y43" i="3"/>
  <c r="Y49" i="3" s="1"/>
  <c r="AA38" i="3"/>
  <c r="Z38" i="3"/>
  <c r="Y38" i="3"/>
  <c r="C8" i="1"/>
  <c r="G7" i="1"/>
  <c r="C7" i="1"/>
  <c r="AA31" i="3"/>
  <c r="AC30" i="3"/>
  <c r="AA30" i="3"/>
  <c r="AC17" i="3"/>
  <c r="AA17" i="3"/>
  <c r="AA18" i="3" s="1"/>
  <c r="AA21" i="3" s="1"/>
  <c r="AA23" i="3" s="1"/>
  <c r="AA25" i="3" s="1"/>
  <c r="AA13" i="3"/>
  <c r="AA33" i="3" s="1"/>
  <c r="AA7" i="3"/>
  <c r="AA4" i="3"/>
  <c r="J9" i="1"/>
  <c r="G9" i="1"/>
  <c r="BB33" i="3"/>
  <c r="BB31" i="3"/>
  <c r="AN106" i="3"/>
  <c r="AM106" i="3"/>
  <c r="AL106" i="3"/>
  <c r="AK106" i="3"/>
  <c r="AJ106" i="3"/>
  <c r="AN105" i="3"/>
  <c r="AM105" i="3"/>
  <c r="AL105" i="3"/>
  <c r="AK105" i="3"/>
  <c r="AJ105" i="3"/>
  <c r="AN104" i="3"/>
  <c r="AM104" i="3"/>
  <c r="AL104" i="3"/>
  <c r="AK104" i="3"/>
  <c r="AJ104" i="3"/>
  <c r="AN103" i="3"/>
  <c r="AM103" i="3"/>
  <c r="AL103" i="3"/>
  <c r="AK103" i="3"/>
  <c r="AJ103" i="3"/>
  <c r="AN102" i="3"/>
  <c r="AM102" i="3"/>
  <c r="AL102" i="3"/>
  <c r="AK102" i="3"/>
  <c r="AJ102" i="3"/>
  <c r="AN101" i="3"/>
  <c r="AM101" i="3"/>
  <c r="AL101" i="3"/>
  <c r="AK101" i="3"/>
  <c r="AN100" i="3"/>
  <c r="AM100" i="3"/>
  <c r="AL100" i="3"/>
  <c r="AK100" i="3"/>
  <c r="AJ100" i="3"/>
  <c r="AN99" i="3"/>
  <c r="AM99" i="3"/>
  <c r="AL99" i="3"/>
  <c r="AK99" i="3"/>
  <c r="AJ99" i="3"/>
  <c r="AN98" i="3"/>
  <c r="AM98" i="3"/>
  <c r="AL98" i="3"/>
  <c r="AK98" i="3"/>
  <c r="AJ98" i="3"/>
  <c r="AN97" i="3"/>
  <c r="AM97" i="3"/>
  <c r="AL97" i="3"/>
  <c r="AK97" i="3"/>
  <c r="AJ97" i="3"/>
  <c r="AN95" i="3"/>
  <c r="AM95" i="3"/>
  <c r="AL95" i="3"/>
  <c r="AK95" i="3"/>
  <c r="AJ95" i="3"/>
  <c r="AN94" i="3"/>
  <c r="AM94" i="3"/>
  <c r="AL94" i="3"/>
  <c r="AK94" i="3"/>
  <c r="AJ94" i="3"/>
  <c r="AN93" i="3"/>
  <c r="AM93" i="3"/>
  <c r="AL93" i="3"/>
  <c r="AK93" i="3"/>
  <c r="AJ93" i="3"/>
  <c r="AN92" i="3"/>
  <c r="AM92" i="3"/>
  <c r="AL92" i="3"/>
  <c r="AK92" i="3"/>
  <c r="AJ92" i="3"/>
  <c r="AN91" i="3"/>
  <c r="AM91" i="3"/>
  <c r="AL91" i="3"/>
  <c r="AK91" i="3"/>
  <c r="AJ91" i="3"/>
  <c r="AN90" i="3"/>
  <c r="AM90" i="3"/>
  <c r="AL90" i="3"/>
  <c r="AK90" i="3"/>
  <c r="AJ90" i="3"/>
  <c r="AN89" i="3"/>
  <c r="AM89" i="3"/>
  <c r="AL89" i="3"/>
  <c r="AK89" i="3"/>
  <c r="AJ89" i="3"/>
  <c r="AN88" i="3"/>
  <c r="AM88" i="3"/>
  <c r="AL88" i="3"/>
  <c r="AK88" i="3"/>
  <c r="AJ88" i="3"/>
  <c r="AN86" i="3"/>
  <c r="AM86" i="3"/>
  <c r="AL86" i="3"/>
  <c r="AK86" i="3"/>
  <c r="AJ86" i="3"/>
  <c r="AN85" i="3"/>
  <c r="AM85" i="3"/>
  <c r="AL85" i="3"/>
  <c r="AK85" i="3"/>
  <c r="AJ85" i="3"/>
  <c r="AN84" i="3"/>
  <c r="AM84" i="3"/>
  <c r="AL84" i="3"/>
  <c r="AK84" i="3"/>
  <c r="AJ84" i="3"/>
  <c r="AN83" i="3"/>
  <c r="AM83" i="3"/>
  <c r="AL83" i="3"/>
  <c r="AK83" i="3"/>
  <c r="AJ83" i="3"/>
  <c r="AN82" i="3"/>
  <c r="AM82" i="3"/>
  <c r="AL82" i="3"/>
  <c r="AK82" i="3"/>
  <c r="AJ82" i="3"/>
  <c r="AN81" i="3"/>
  <c r="AM81" i="3"/>
  <c r="AL81" i="3"/>
  <c r="AK81" i="3"/>
  <c r="AJ81" i="3"/>
  <c r="AN80" i="3"/>
  <c r="AM80" i="3"/>
  <c r="AL80" i="3"/>
  <c r="AK80" i="3"/>
  <c r="AJ80" i="3"/>
  <c r="AN79" i="3"/>
  <c r="AM79" i="3"/>
  <c r="AL79" i="3"/>
  <c r="AK79" i="3"/>
  <c r="AJ79" i="3"/>
  <c r="AN78" i="3"/>
  <c r="AM78" i="3"/>
  <c r="AL78" i="3"/>
  <c r="AK78" i="3"/>
  <c r="AJ78" i="3"/>
  <c r="AN77" i="3"/>
  <c r="AM77" i="3"/>
  <c r="AL77" i="3"/>
  <c r="AK77" i="3"/>
  <c r="AJ77" i="3"/>
  <c r="AN76" i="3"/>
  <c r="AM76" i="3"/>
  <c r="AL76" i="3"/>
  <c r="AK76" i="3"/>
  <c r="AJ76" i="3"/>
  <c r="AN75" i="3"/>
  <c r="AM75" i="3"/>
  <c r="AL75" i="3"/>
  <c r="AK75" i="3"/>
  <c r="AJ75" i="3"/>
  <c r="AN74" i="3"/>
  <c r="AM74" i="3"/>
  <c r="AL74" i="3"/>
  <c r="AK74" i="3"/>
  <c r="AJ74" i="3"/>
  <c r="AN73" i="3"/>
  <c r="AM73" i="3"/>
  <c r="AL73" i="3"/>
  <c r="AK73" i="3"/>
  <c r="AJ73" i="3"/>
  <c r="AN72" i="3"/>
  <c r="AM72" i="3"/>
  <c r="AL72" i="3"/>
  <c r="AK72" i="3"/>
  <c r="AJ72" i="3"/>
  <c r="AN71" i="3"/>
  <c r="AM71" i="3"/>
  <c r="AL71" i="3"/>
  <c r="AK71" i="3"/>
  <c r="AJ71" i="3"/>
  <c r="AN70" i="3"/>
  <c r="AM70" i="3"/>
  <c r="AL70" i="3"/>
  <c r="AK70" i="3"/>
  <c r="AJ70" i="3"/>
  <c r="AN69" i="3"/>
  <c r="AM69" i="3"/>
  <c r="AL69" i="3"/>
  <c r="AK69" i="3"/>
  <c r="AJ69" i="3"/>
  <c r="AN68" i="3"/>
  <c r="AM68" i="3"/>
  <c r="AL68" i="3"/>
  <c r="AK68" i="3"/>
  <c r="AJ68" i="3"/>
  <c r="AN67" i="3"/>
  <c r="AM67" i="3"/>
  <c r="AL67" i="3"/>
  <c r="AK67" i="3"/>
  <c r="AJ67" i="3"/>
  <c r="C87" i="3"/>
  <c r="G87" i="3"/>
  <c r="D87" i="3"/>
  <c r="D109" i="3" s="1"/>
  <c r="I107" i="3"/>
  <c r="H107" i="3"/>
  <c r="G107" i="3"/>
  <c r="E107" i="3"/>
  <c r="D107" i="3"/>
  <c r="C107" i="3"/>
  <c r="X107" i="3"/>
  <c r="W107" i="3"/>
  <c r="V107" i="3"/>
  <c r="U107" i="3"/>
  <c r="T107" i="3"/>
  <c r="S107" i="3"/>
  <c r="R107" i="3"/>
  <c r="Q107" i="3"/>
  <c r="P107" i="3"/>
  <c r="O107" i="3"/>
  <c r="N107" i="3"/>
  <c r="M107" i="3"/>
  <c r="L107" i="3"/>
  <c r="K107" i="3"/>
  <c r="J107" i="3"/>
  <c r="H87" i="3"/>
  <c r="H109" i="3" s="1"/>
  <c r="E87" i="3"/>
  <c r="I87" i="3"/>
  <c r="F101" i="3"/>
  <c r="AJ101" i="3" s="1"/>
  <c r="F87" i="3"/>
  <c r="J87" i="3"/>
  <c r="K87" i="3"/>
  <c r="L87" i="3"/>
  <c r="L109" i="3" s="1"/>
  <c r="L111" i="3" s="1"/>
  <c r="M87" i="3"/>
  <c r="N87" i="3"/>
  <c r="O87" i="3"/>
  <c r="P87" i="3"/>
  <c r="P109" i="3" s="1"/>
  <c r="Q87" i="3"/>
  <c r="R87" i="3"/>
  <c r="U87" i="3"/>
  <c r="V87" i="3"/>
  <c r="T87" i="3"/>
  <c r="T109" i="3" s="1"/>
  <c r="T111" i="3" s="1"/>
  <c r="S87" i="3"/>
  <c r="X87" i="3"/>
  <c r="X109" i="3" s="1"/>
  <c r="W87" i="3"/>
  <c r="W96" i="3"/>
  <c r="V96" i="3"/>
  <c r="U96" i="3"/>
  <c r="T96" i="3"/>
  <c r="S96" i="3"/>
  <c r="R96" i="3"/>
  <c r="Q96" i="3"/>
  <c r="P96" i="3"/>
  <c r="O96" i="3"/>
  <c r="N96" i="3"/>
  <c r="M96" i="3"/>
  <c r="L96" i="3"/>
  <c r="K96" i="3"/>
  <c r="J96" i="3"/>
  <c r="I96" i="3"/>
  <c r="H96" i="3"/>
  <c r="G96" i="3"/>
  <c r="F96" i="3"/>
  <c r="E96" i="3"/>
  <c r="D96" i="3"/>
  <c r="C96" i="3"/>
  <c r="X96" i="3"/>
  <c r="AN62" i="3"/>
  <c r="AN60" i="3"/>
  <c r="AN59" i="3"/>
  <c r="AN58" i="3"/>
  <c r="AN57" i="3"/>
  <c r="AN55" i="3"/>
  <c r="AN54" i="3"/>
  <c r="AN53" i="3"/>
  <c r="AN52" i="3"/>
  <c r="AN51" i="3"/>
  <c r="AN50" i="3"/>
  <c r="AN48" i="3"/>
  <c r="AN45" i="3"/>
  <c r="AN44" i="3"/>
  <c r="AN42" i="3"/>
  <c r="AN41" i="3"/>
  <c r="AN40" i="3"/>
  <c r="AN39" i="3"/>
  <c r="AM62" i="3"/>
  <c r="AM60" i="3"/>
  <c r="AM59" i="3"/>
  <c r="AM58" i="3"/>
  <c r="AM57" i="3"/>
  <c r="AM55" i="3"/>
  <c r="AM54" i="3"/>
  <c r="AM53" i="3"/>
  <c r="AM52" i="3"/>
  <c r="AM51" i="3"/>
  <c r="AM50" i="3"/>
  <c r="AM48" i="3"/>
  <c r="AM45" i="3"/>
  <c r="AM44" i="3"/>
  <c r="AM42" i="3"/>
  <c r="AM41" i="3"/>
  <c r="AM40" i="3"/>
  <c r="AM39" i="3"/>
  <c r="AL62" i="3"/>
  <c r="AL60" i="3"/>
  <c r="AL59" i="3"/>
  <c r="AL58" i="3"/>
  <c r="AL57" i="3"/>
  <c r="AL55" i="3"/>
  <c r="AL54" i="3"/>
  <c r="AL53" i="3"/>
  <c r="AL52" i="3"/>
  <c r="AL51" i="3"/>
  <c r="AL50" i="3"/>
  <c r="AL48" i="3"/>
  <c r="AL45" i="3"/>
  <c r="AL44" i="3"/>
  <c r="AL42" i="3"/>
  <c r="AL41" i="3"/>
  <c r="AL40" i="3"/>
  <c r="AL39" i="3"/>
  <c r="AK62" i="3"/>
  <c r="AK60" i="3"/>
  <c r="AK59" i="3"/>
  <c r="AK58" i="3"/>
  <c r="AK57" i="3"/>
  <c r="AK55" i="3"/>
  <c r="AK54" i="3"/>
  <c r="AK53" i="3"/>
  <c r="AK52" i="3"/>
  <c r="AK51" i="3"/>
  <c r="AK50" i="3"/>
  <c r="AK48" i="3"/>
  <c r="AK45" i="3"/>
  <c r="AK44" i="3"/>
  <c r="AK42" i="3"/>
  <c r="AK41" i="3"/>
  <c r="AK40" i="3"/>
  <c r="AK39" i="3"/>
  <c r="G60" i="3"/>
  <c r="G46" i="3"/>
  <c r="H60" i="3"/>
  <c r="H46" i="3"/>
  <c r="I60" i="3"/>
  <c r="I46" i="3"/>
  <c r="F60" i="3"/>
  <c r="F46" i="3"/>
  <c r="K46" i="3"/>
  <c r="L46" i="3"/>
  <c r="M46" i="3"/>
  <c r="J46" i="3"/>
  <c r="AK46" i="3" s="1"/>
  <c r="O46" i="3"/>
  <c r="P46" i="3"/>
  <c r="Q46" i="3"/>
  <c r="N46" i="3"/>
  <c r="AL46" i="3" s="1"/>
  <c r="S46" i="3"/>
  <c r="T46" i="3"/>
  <c r="U46" i="3"/>
  <c r="R46" i="3"/>
  <c r="AM46" i="3" s="1"/>
  <c r="W46" i="3"/>
  <c r="V46" i="3"/>
  <c r="AN46" i="3" s="1"/>
  <c r="X46" i="3"/>
  <c r="X43" i="3"/>
  <c r="W43" i="3"/>
  <c r="V43" i="3"/>
  <c r="U43" i="3"/>
  <c r="X38" i="3"/>
  <c r="W38" i="3"/>
  <c r="V38" i="3"/>
  <c r="U38" i="3"/>
  <c r="T38" i="3"/>
  <c r="S38" i="3"/>
  <c r="R38" i="3"/>
  <c r="Q38" i="3"/>
  <c r="P38" i="3"/>
  <c r="O38" i="3"/>
  <c r="N38" i="3"/>
  <c r="M38" i="3"/>
  <c r="L38" i="3"/>
  <c r="K38" i="3"/>
  <c r="J38" i="3"/>
  <c r="I38" i="3"/>
  <c r="H38" i="3"/>
  <c r="G38" i="3"/>
  <c r="F38" i="3"/>
  <c r="E38" i="3"/>
  <c r="D38" i="3"/>
  <c r="C38" i="3"/>
  <c r="T43" i="3"/>
  <c r="S43" i="3"/>
  <c r="R43" i="3"/>
  <c r="Q43" i="3"/>
  <c r="P43" i="3"/>
  <c r="P49" i="3" s="1"/>
  <c r="O43" i="3"/>
  <c r="N43" i="3"/>
  <c r="N49" i="3" s="1"/>
  <c r="M43" i="3"/>
  <c r="L43" i="3"/>
  <c r="K43" i="3"/>
  <c r="J43" i="3"/>
  <c r="I43" i="3"/>
  <c r="H43" i="3"/>
  <c r="G43" i="3"/>
  <c r="F43" i="3"/>
  <c r="E43" i="3"/>
  <c r="E49" i="3" s="1"/>
  <c r="D43" i="3"/>
  <c r="D49" i="3" s="1"/>
  <c r="X56" i="3"/>
  <c r="X61" i="3" s="1"/>
  <c r="X63" i="3" s="1"/>
  <c r="W56" i="3"/>
  <c r="W61" i="3" s="1"/>
  <c r="W63" i="3" s="1"/>
  <c r="V56" i="3"/>
  <c r="V61" i="3" s="1"/>
  <c r="V63" i="3" s="1"/>
  <c r="U56" i="3"/>
  <c r="U61" i="3" s="1"/>
  <c r="U63" i="3" s="1"/>
  <c r="T56" i="3"/>
  <c r="T61" i="3" s="1"/>
  <c r="T63" i="3" s="1"/>
  <c r="S56" i="3"/>
  <c r="S61" i="3" s="1"/>
  <c r="S63" i="3" s="1"/>
  <c r="R56" i="3"/>
  <c r="R61" i="3" s="1"/>
  <c r="R63" i="3" s="1"/>
  <c r="Q56" i="3"/>
  <c r="Q61" i="3" s="1"/>
  <c r="Q63" i="3" s="1"/>
  <c r="P56" i="3"/>
  <c r="P61" i="3" s="1"/>
  <c r="P63" i="3" s="1"/>
  <c r="O56" i="3"/>
  <c r="O61" i="3" s="1"/>
  <c r="O63" i="3" s="1"/>
  <c r="N56" i="3"/>
  <c r="N61" i="3" s="1"/>
  <c r="N63" i="3" s="1"/>
  <c r="M56" i="3"/>
  <c r="M61" i="3" s="1"/>
  <c r="M63" i="3" s="1"/>
  <c r="L56" i="3"/>
  <c r="L61" i="3" s="1"/>
  <c r="L63" i="3" s="1"/>
  <c r="K56" i="3"/>
  <c r="K61" i="3" s="1"/>
  <c r="K63" i="3" s="1"/>
  <c r="J56" i="3"/>
  <c r="J61" i="3" s="1"/>
  <c r="J63" i="3" s="1"/>
  <c r="I56" i="3"/>
  <c r="H56" i="3"/>
  <c r="H61" i="3" s="1"/>
  <c r="H63" i="3" s="1"/>
  <c r="G56" i="3"/>
  <c r="F56" i="3"/>
  <c r="E56" i="3"/>
  <c r="E61" i="3" s="1"/>
  <c r="E63" i="3" s="1"/>
  <c r="D56" i="3"/>
  <c r="D61" i="3" s="1"/>
  <c r="D63" i="3" s="1"/>
  <c r="C43" i="3"/>
  <c r="C49" i="3" s="1"/>
  <c r="C56" i="3"/>
  <c r="C61" i="3" s="1"/>
  <c r="C63" i="3" s="1"/>
  <c r="X7" i="3"/>
  <c r="X5" i="3"/>
  <c r="X4" i="3"/>
  <c r="AB13" i="3" l="1"/>
  <c r="AB33" i="3" s="1"/>
  <c r="AD13" i="3"/>
  <c r="AD33" i="3" s="1"/>
  <c r="AC13" i="3"/>
  <c r="AC33" i="3" s="1"/>
  <c r="AD30" i="3"/>
  <c r="AD7" i="3"/>
  <c r="AC9" i="3"/>
  <c r="AB30" i="3"/>
  <c r="AB8" i="3"/>
  <c r="AB9" i="3"/>
  <c r="Z49" i="3"/>
  <c r="X111" i="3"/>
  <c r="AJ87" i="3"/>
  <c r="AC18" i="3"/>
  <c r="P111" i="3"/>
  <c r="AJ96" i="3"/>
  <c r="AK87" i="3"/>
  <c r="AK96" i="3"/>
  <c r="AA49" i="3"/>
  <c r="J7" i="1"/>
  <c r="AA32" i="3"/>
  <c r="AA34" i="3"/>
  <c r="AA27" i="3"/>
  <c r="AA35" i="3"/>
  <c r="AL96" i="3"/>
  <c r="AL108" i="3" s="1"/>
  <c r="AK107" i="3"/>
  <c r="AK108" i="3" s="1"/>
  <c r="AL107" i="3"/>
  <c r="T49" i="3"/>
  <c r="AM87" i="3"/>
  <c r="AM109" i="3" s="1"/>
  <c r="AM111" i="3" s="1"/>
  <c r="AN96" i="3"/>
  <c r="AN107" i="3"/>
  <c r="AL87" i="3"/>
  <c r="AM107" i="3"/>
  <c r="U49" i="3"/>
  <c r="V49" i="3"/>
  <c r="H111" i="3"/>
  <c r="AJ107" i="3"/>
  <c r="AJ108" i="3" s="1"/>
  <c r="AM96" i="3"/>
  <c r="AN87" i="3"/>
  <c r="AN109" i="3" s="1"/>
  <c r="W49" i="3"/>
  <c r="AL109" i="3"/>
  <c r="AJ109" i="3"/>
  <c r="AK109" i="3"/>
  <c r="AK111" i="3" s="1"/>
  <c r="F107" i="3"/>
  <c r="F108" i="3" s="1"/>
  <c r="F49" i="3"/>
  <c r="R49" i="3"/>
  <c r="L49" i="3"/>
  <c r="G49" i="3"/>
  <c r="J108" i="3"/>
  <c r="N108" i="3"/>
  <c r="R108" i="3"/>
  <c r="G61" i="3"/>
  <c r="G63" i="3" s="1"/>
  <c r="AK38" i="3"/>
  <c r="AL56" i="3"/>
  <c r="AL61" i="3" s="1"/>
  <c r="AL63" i="3" s="1"/>
  <c r="AM43" i="3"/>
  <c r="AM49" i="3" s="1"/>
  <c r="W108" i="3"/>
  <c r="AL43" i="3"/>
  <c r="AL49" i="3" s="1"/>
  <c r="D108" i="3"/>
  <c r="H108" i="3"/>
  <c r="L108" i="3"/>
  <c r="P108" i="3"/>
  <c r="T108" i="3"/>
  <c r="C108" i="3"/>
  <c r="G108" i="3"/>
  <c r="K108" i="3"/>
  <c r="O108" i="3"/>
  <c r="S108" i="3"/>
  <c r="K49" i="3"/>
  <c r="S49" i="3"/>
  <c r="AK43" i="3"/>
  <c r="AK49" i="3" s="1"/>
  <c r="I61" i="3"/>
  <c r="I63" i="3" s="1"/>
  <c r="O49" i="3"/>
  <c r="V108" i="3"/>
  <c r="E108" i="3"/>
  <c r="I108" i="3"/>
  <c r="M108" i="3"/>
  <c r="Q108" i="3"/>
  <c r="U108" i="3"/>
  <c r="J109" i="3"/>
  <c r="R109" i="3"/>
  <c r="F109" i="3"/>
  <c r="N109" i="3"/>
  <c r="N111" i="3" s="1"/>
  <c r="AK56" i="3"/>
  <c r="AK61" i="3" s="1"/>
  <c r="AK63" i="3" s="1"/>
  <c r="AM56" i="3"/>
  <c r="AM61" i="3" s="1"/>
  <c r="AM63" i="3" s="1"/>
  <c r="X108" i="3"/>
  <c r="E109" i="3"/>
  <c r="I109" i="3"/>
  <c r="I111" i="3" s="1"/>
  <c r="M109" i="3"/>
  <c r="M111" i="3" s="1"/>
  <c r="Q109" i="3"/>
  <c r="Q111" i="3" s="1"/>
  <c r="U109" i="3"/>
  <c r="U111" i="3" s="1"/>
  <c r="F61" i="3"/>
  <c r="F63" i="3" s="1"/>
  <c r="AL38" i="3"/>
  <c r="AN43" i="3"/>
  <c r="AN49" i="3" s="1"/>
  <c r="AN56" i="3"/>
  <c r="AN61" i="3" s="1"/>
  <c r="AN63" i="3" s="1"/>
  <c r="W109" i="3"/>
  <c r="H49" i="3"/>
  <c r="I49" i="3"/>
  <c r="C109" i="3"/>
  <c r="G109" i="3"/>
  <c r="K109" i="3"/>
  <c r="K111" i="3" s="1"/>
  <c r="O109" i="3"/>
  <c r="O111" i="3" s="1"/>
  <c r="S109" i="3"/>
  <c r="V109" i="3"/>
  <c r="AN38" i="3"/>
  <c r="AM38" i="3"/>
  <c r="X49" i="3"/>
  <c r="J49" i="3"/>
  <c r="M49" i="3"/>
  <c r="Q49" i="3"/>
  <c r="AJ3" i="3"/>
  <c r="AK3" i="3"/>
  <c r="AL3" i="3"/>
  <c r="AM3" i="3"/>
  <c r="AN3" i="3"/>
  <c r="Y4" i="3"/>
  <c r="AO24" i="3"/>
  <c r="X31" i="3"/>
  <c r="AN24" i="3"/>
  <c r="AN22" i="3"/>
  <c r="AN20" i="3"/>
  <c r="AN19" i="3"/>
  <c r="AN16" i="3"/>
  <c r="AN15" i="3"/>
  <c r="AN14" i="3"/>
  <c r="AN12" i="3"/>
  <c r="AN11" i="3"/>
  <c r="AM11" i="3"/>
  <c r="S5" i="3"/>
  <c r="T5" i="3"/>
  <c r="U5" i="3"/>
  <c r="V5" i="3"/>
  <c r="W5" i="3"/>
  <c r="S4" i="3"/>
  <c r="T4" i="3"/>
  <c r="U4" i="3"/>
  <c r="V4" i="3"/>
  <c r="W4" i="3"/>
  <c r="R7" i="3"/>
  <c r="AM7" i="3" s="1"/>
  <c r="W7" i="3"/>
  <c r="V7" i="3"/>
  <c r="U7" i="3"/>
  <c r="T7" i="3"/>
  <c r="X8" i="3" s="1"/>
  <c r="S7" i="3"/>
  <c r="AY31" i="3"/>
  <c r="C13" i="4"/>
  <c r="S30" i="3"/>
  <c r="T30" i="3"/>
  <c r="U30" i="3"/>
  <c r="V30" i="3"/>
  <c r="W30" i="3"/>
  <c r="S31" i="3"/>
  <c r="T31" i="3"/>
  <c r="U31" i="3"/>
  <c r="V31" i="3"/>
  <c r="W31" i="3"/>
  <c r="W17" i="3"/>
  <c r="V17" i="3"/>
  <c r="U17" i="3"/>
  <c r="T17" i="3"/>
  <c r="S17" i="3"/>
  <c r="W13" i="3"/>
  <c r="W33" i="3" s="1"/>
  <c r="V13" i="3"/>
  <c r="V33" i="3" s="1"/>
  <c r="U13" i="3"/>
  <c r="U33" i="3" s="1"/>
  <c r="T13" i="3"/>
  <c r="S13" i="3"/>
  <c r="S33" i="3" s="1"/>
  <c r="P7" i="3"/>
  <c r="Q7" i="3"/>
  <c r="AB18" i="3" l="1"/>
  <c r="AB21" i="3" s="1"/>
  <c r="AD18" i="3"/>
  <c r="AD21" i="3" s="1"/>
  <c r="AD9" i="3"/>
  <c r="AD8" i="3"/>
  <c r="AM108" i="3"/>
  <c r="W111" i="3"/>
  <c r="AC21" i="3"/>
  <c r="AC34" i="3"/>
  <c r="AL111" i="3"/>
  <c r="S111" i="3"/>
  <c r="G111" i="3"/>
  <c r="AN108" i="3"/>
  <c r="V111" i="3"/>
  <c r="R111" i="3"/>
  <c r="J111" i="3"/>
  <c r="AN111" i="3"/>
  <c r="AO109" i="3"/>
  <c r="AP109" i="3" s="1"/>
  <c r="AQ109" i="3" s="1"/>
  <c r="AR109" i="3" s="1"/>
  <c r="AS109" i="3" s="1"/>
  <c r="AT109" i="3" s="1"/>
  <c r="AU109" i="3" s="1"/>
  <c r="AV109" i="3" s="1"/>
  <c r="AW109" i="3" s="1"/>
  <c r="AX109" i="3" s="1"/>
  <c r="AY109" i="3" s="1"/>
  <c r="AZ109" i="3" s="1"/>
  <c r="BA109" i="3" s="1"/>
  <c r="BB109" i="3" s="1"/>
  <c r="BC109" i="3" s="1"/>
  <c r="BD109" i="3" s="1"/>
  <c r="BE109" i="3" s="1"/>
  <c r="BF109" i="3" s="1"/>
  <c r="BG109" i="3" s="1"/>
  <c r="BH109" i="3" s="1"/>
  <c r="BI109" i="3" s="1"/>
  <c r="BJ109" i="3" s="1"/>
  <c r="BK109" i="3" s="1"/>
  <c r="BL109" i="3" s="1"/>
  <c r="BM109" i="3" s="1"/>
  <c r="BN109" i="3" s="1"/>
  <c r="BO109" i="3" s="1"/>
  <c r="BP109" i="3" s="1"/>
  <c r="BQ109" i="3" s="1"/>
  <c r="BR109" i="3" s="1"/>
  <c r="BS109" i="3" s="1"/>
  <c r="BT109" i="3" s="1"/>
  <c r="BU109" i="3" s="1"/>
  <c r="BV109" i="3" s="1"/>
  <c r="BW109" i="3" s="1"/>
  <c r="BX109" i="3" s="1"/>
  <c r="BY109" i="3" s="1"/>
  <c r="BZ109" i="3" s="1"/>
  <c r="CA109" i="3" s="1"/>
  <c r="CB109" i="3" s="1"/>
  <c r="CC109" i="3" s="1"/>
  <c r="CD109" i="3" s="1"/>
  <c r="CE109" i="3" s="1"/>
  <c r="CF109" i="3" s="1"/>
  <c r="CG109" i="3" s="1"/>
  <c r="CH109" i="3" s="1"/>
  <c r="CI109" i="3" s="1"/>
  <c r="CJ109" i="3" s="1"/>
  <c r="CK109" i="3" s="1"/>
  <c r="CL109" i="3" s="1"/>
  <c r="CM109" i="3" s="1"/>
  <c r="CN109" i="3" s="1"/>
  <c r="CO109" i="3" s="1"/>
  <c r="CP109" i="3" s="1"/>
  <c r="CQ109" i="3" s="1"/>
  <c r="CR109" i="3" s="1"/>
  <c r="CS109" i="3" s="1"/>
  <c r="CT109" i="3" s="1"/>
  <c r="CU109" i="3" s="1"/>
  <c r="CV109" i="3" s="1"/>
  <c r="CW109" i="3" s="1"/>
  <c r="CX109" i="3" s="1"/>
  <c r="CY109" i="3" s="1"/>
  <c r="CZ109" i="3" s="1"/>
  <c r="DA109" i="3" s="1"/>
  <c r="DB109" i="3" s="1"/>
  <c r="DC109" i="3" s="1"/>
  <c r="DD109" i="3" s="1"/>
  <c r="DE109" i="3" s="1"/>
  <c r="DF109" i="3" s="1"/>
  <c r="DG109" i="3" s="1"/>
  <c r="DH109" i="3" s="1"/>
  <c r="DI109" i="3" s="1"/>
  <c r="DJ109" i="3" s="1"/>
  <c r="DK109" i="3" s="1"/>
  <c r="DL109" i="3" s="1"/>
  <c r="DM109" i="3" s="1"/>
  <c r="DN109" i="3" s="1"/>
  <c r="DO109" i="3" s="1"/>
  <c r="DP109" i="3" s="1"/>
  <c r="DQ109" i="3" s="1"/>
  <c r="DR109" i="3" s="1"/>
  <c r="DS109" i="3" s="1"/>
  <c r="DT109" i="3" s="1"/>
  <c r="DU109" i="3" s="1"/>
  <c r="DV109" i="3" s="1"/>
  <c r="DW109" i="3" s="1"/>
  <c r="DX109" i="3" s="1"/>
  <c r="DY109" i="3" s="1"/>
  <c r="DZ109" i="3" s="1"/>
  <c r="EA109" i="3" s="1"/>
  <c r="EB109" i="3" s="1"/>
  <c r="EC109" i="3" s="1"/>
  <c r="ED109" i="3" s="1"/>
  <c r="EE109" i="3" s="1"/>
  <c r="EF109" i="3" s="1"/>
  <c r="EG109" i="3" s="1"/>
  <c r="EH109" i="3" s="1"/>
  <c r="EI109" i="3" s="1"/>
  <c r="EJ109" i="3" s="1"/>
  <c r="EK109" i="3" s="1"/>
  <c r="EL109" i="3" s="1"/>
  <c r="EM109" i="3" s="1"/>
  <c r="EN109" i="3" s="1"/>
  <c r="EO109" i="3" s="1"/>
  <c r="EP109" i="3" s="1"/>
  <c r="EQ109" i="3" s="1"/>
  <c r="ER109" i="3" s="1"/>
  <c r="ES109" i="3" s="1"/>
  <c r="ET109" i="3" s="1"/>
  <c r="EU109" i="3" s="1"/>
  <c r="EV109" i="3" s="1"/>
  <c r="EW109" i="3" s="1"/>
  <c r="EX109" i="3" s="1"/>
  <c r="EY109" i="3" s="1"/>
  <c r="EZ109" i="3" s="1"/>
  <c r="FA109" i="3" s="1"/>
  <c r="FB109" i="3" s="1"/>
  <c r="FC109" i="3" s="1"/>
  <c r="FD109" i="3" s="1"/>
  <c r="FE109" i="3" s="1"/>
  <c r="FF109" i="3" s="1"/>
  <c r="FG109" i="3" s="1"/>
  <c r="FH109" i="3" s="1"/>
  <c r="FI109" i="3" s="1"/>
  <c r="FJ109" i="3" s="1"/>
  <c r="FK109" i="3" s="1"/>
  <c r="FL109" i="3" s="1"/>
  <c r="FM109" i="3" s="1"/>
  <c r="FN109" i="3" s="1"/>
  <c r="FO109" i="3" s="1"/>
  <c r="FP109" i="3" s="1"/>
  <c r="FQ109" i="3" s="1"/>
  <c r="FR109" i="3" s="1"/>
  <c r="FS109" i="3" s="1"/>
  <c r="FT109" i="3" s="1"/>
  <c r="FU109" i="3" s="1"/>
  <c r="FV109" i="3" s="1"/>
  <c r="FW109" i="3" s="1"/>
  <c r="FX109" i="3" s="1"/>
  <c r="FY109" i="3" s="1"/>
  <c r="FZ109" i="3" s="1"/>
  <c r="GA109" i="3" s="1"/>
  <c r="GB109" i="3" s="1"/>
  <c r="GC109" i="3" s="1"/>
  <c r="GD109" i="3" s="1"/>
  <c r="GE109" i="3" s="1"/>
  <c r="GF109" i="3" s="1"/>
  <c r="GG109" i="3" s="1"/>
  <c r="GH109" i="3" s="1"/>
  <c r="GI109" i="3" s="1"/>
  <c r="GJ109" i="3" s="1"/>
  <c r="GK109" i="3" s="1"/>
  <c r="GL109" i="3" s="1"/>
  <c r="GM109" i="3" s="1"/>
  <c r="GN109" i="3" s="1"/>
  <c r="GO109" i="3" s="1"/>
  <c r="GP109" i="3" s="1"/>
  <c r="GQ109" i="3" s="1"/>
  <c r="GR109" i="3" s="1"/>
  <c r="GS109" i="3" s="1"/>
  <c r="GT109" i="3" s="1"/>
  <c r="AO12" i="3"/>
  <c r="AO14" i="3"/>
  <c r="AQ14" i="3" s="1"/>
  <c r="AR14" i="3" s="1"/>
  <c r="AS14" i="3" s="1"/>
  <c r="AT14" i="3" s="1"/>
  <c r="Y31" i="3"/>
  <c r="AQ7" i="3"/>
  <c r="AR7" i="3" s="1"/>
  <c r="AS7" i="3" s="1"/>
  <c r="AT7" i="3" s="1"/>
  <c r="X9" i="3"/>
  <c r="AN13" i="3"/>
  <c r="Z4" i="3"/>
  <c r="X17" i="3"/>
  <c r="AO16" i="3"/>
  <c r="AQ16" i="3" s="1"/>
  <c r="AR16" i="3" s="1"/>
  <c r="AS16" i="3" s="1"/>
  <c r="AT16" i="3" s="1"/>
  <c r="AO19" i="3"/>
  <c r="Z31" i="3"/>
  <c r="Z17" i="3"/>
  <c r="AO20" i="3"/>
  <c r="Y5" i="3"/>
  <c r="V9" i="3"/>
  <c r="Z5" i="3"/>
  <c r="AO15" i="3"/>
  <c r="AQ15" i="3" s="1"/>
  <c r="AR15" i="3" s="1"/>
  <c r="AS15" i="3" s="1"/>
  <c r="AT15" i="3" s="1"/>
  <c r="Y17" i="3"/>
  <c r="AC32" i="3" s="1"/>
  <c r="W8" i="3"/>
  <c r="S9" i="3"/>
  <c r="W9" i="3"/>
  <c r="T9" i="3"/>
  <c r="U9" i="3"/>
  <c r="V8" i="3"/>
  <c r="U8" i="3"/>
  <c r="T8" i="3"/>
  <c r="W32" i="3"/>
  <c r="T18" i="3"/>
  <c r="W18" i="3"/>
  <c r="T33" i="3"/>
  <c r="U18" i="3"/>
  <c r="V18" i="3"/>
  <c r="S18" i="3"/>
  <c r="R17" i="3"/>
  <c r="V32" i="3" s="1"/>
  <c r="G31" i="3"/>
  <c r="AM14" i="3"/>
  <c r="Q5" i="3"/>
  <c r="P5" i="3"/>
  <c r="O5" i="3"/>
  <c r="N5" i="3"/>
  <c r="M5" i="3"/>
  <c r="L5" i="3"/>
  <c r="K5" i="3"/>
  <c r="J5" i="3"/>
  <c r="I5" i="3"/>
  <c r="H5" i="3"/>
  <c r="G5" i="3"/>
  <c r="F5" i="3"/>
  <c r="E5" i="3"/>
  <c r="D5" i="3"/>
  <c r="H4" i="3"/>
  <c r="I4" i="3"/>
  <c r="J4" i="3"/>
  <c r="K4" i="3"/>
  <c r="L4" i="3"/>
  <c r="M4" i="3"/>
  <c r="N4" i="3"/>
  <c r="O4" i="3"/>
  <c r="P4" i="3"/>
  <c r="Q4" i="3"/>
  <c r="G4" i="3"/>
  <c r="Q31" i="3"/>
  <c r="Q17" i="3"/>
  <c r="U32" i="3" s="1"/>
  <c r="Q13" i="3"/>
  <c r="N7" i="3"/>
  <c r="AL7" i="3" s="1"/>
  <c r="O7" i="3"/>
  <c r="S8" i="3" s="1"/>
  <c r="Q9" i="3"/>
  <c r="M7" i="3"/>
  <c r="L7" i="3"/>
  <c r="K7" i="3"/>
  <c r="J7" i="3"/>
  <c r="AK7" i="3" s="1"/>
  <c r="I7" i="3"/>
  <c r="H7" i="3"/>
  <c r="G7" i="3"/>
  <c r="F7" i="3"/>
  <c r="AJ7" i="3" s="1"/>
  <c r="E7" i="3"/>
  <c r="D7" i="3"/>
  <c r="C7" i="3"/>
  <c r="P31" i="3"/>
  <c r="H31" i="3"/>
  <c r="I31" i="3"/>
  <c r="J31" i="3"/>
  <c r="K31" i="3"/>
  <c r="L31" i="3"/>
  <c r="M31" i="3"/>
  <c r="N31" i="3"/>
  <c r="O31" i="3"/>
  <c r="G30" i="3"/>
  <c r="AB34" i="3" l="1"/>
  <c r="AD34" i="3"/>
  <c r="AB23" i="3"/>
  <c r="AB35" i="3"/>
  <c r="X32" i="3"/>
  <c r="AB32" i="3"/>
  <c r="AD23" i="3"/>
  <c r="AD35" i="3"/>
  <c r="AC23" i="3"/>
  <c r="AC35" i="3"/>
  <c r="Z32" i="3"/>
  <c r="AD32" i="3"/>
  <c r="Y32" i="3"/>
  <c r="U21" i="3"/>
  <c r="U34" i="3"/>
  <c r="J9" i="3"/>
  <c r="V21" i="3"/>
  <c r="V34" i="3"/>
  <c r="T21" i="3"/>
  <c r="T34" i="3"/>
  <c r="O9" i="3"/>
  <c r="AK4" i="3"/>
  <c r="S21" i="3"/>
  <c r="S34" i="3"/>
  <c r="W34" i="3"/>
  <c r="W21" i="3"/>
  <c r="F9" i="3"/>
  <c r="AL4" i="3"/>
  <c r="D9" i="3"/>
  <c r="H9" i="3"/>
  <c r="N9" i="3"/>
  <c r="R5" i="3"/>
  <c r="R4" i="3"/>
  <c r="R8" i="3"/>
  <c r="E9" i="3"/>
  <c r="L8" i="3"/>
  <c r="P8" i="3"/>
  <c r="I9" i="3"/>
  <c r="J8" i="3"/>
  <c r="N8" i="3"/>
  <c r="M9" i="3"/>
  <c r="G8" i="3"/>
  <c r="K9" i="3"/>
  <c r="O8" i="3"/>
  <c r="P9" i="3"/>
  <c r="K8" i="3"/>
  <c r="H8" i="3"/>
  <c r="Q8" i="3"/>
  <c r="G9" i="3"/>
  <c r="I8" i="3"/>
  <c r="M8" i="3"/>
  <c r="L9" i="3"/>
  <c r="Q18" i="3"/>
  <c r="Q21" i="3" s="1"/>
  <c r="Q35" i="3" s="1"/>
  <c r="AY33" i="3"/>
  <c r="C16" i="4"/>
  <c r="C3" i="4"/>
  <c r="C11" i="4" s="1"/>
  <c r="AM15" i="3"/>
  <c r="AM16" i="3"/>
  <c r="AM19" i="3"/>
  <c r="AQ19" i="3" s="1"/>
  <c r="AR19" i="3" s="1"/>
  <c r="AS19" i="3" s="1"/>
  <c r="AT19" i="3" s="1"/>
  <c r="AM24" i="3"/>
  <c r="AQ24" i="3" s="1"/>
  <c r="AR24" i="3" s="1"/>
  <c r="AS24" i="3" s="1"/>
  <c r="AT24" i="3" s="1"/>
  <c r="O30" i="3"/>
  <c r="N30" i="3"/>
  <c r="M30" i="3"/>
  <c r="L30" i="3"/>
  <c r="K30" i="3"/>
  <c r="J30" i="3"/>
  <c r="I30" i="3"/>
  <c r="H30" i="3"/>
  <c r="P30" i="3"/>
  <c r="AL24" i="3"/>
  <c r="AL22" i="3"/>
  <c r="AL20" i="3"/>
  <c r="AL19" i="3"/>
  <c r="AL16" i="3"/>
  <c r="AL15" i="3"/>
  <c r="AL14" i="3"/>
  <c r="AL12" i="3"/>
  <c r="AL11" i="3"/>
  <c r="AK24" i="3"/>
  <c r="AK22" i="3"/>
  <c r="AK20" i="3"/>
  <c r="AK19" i="3"/>
  <c r="AK16" i="3"/>
  <c r="AK15" i="3"/>
  <c r="AK14" i="3"/>
  <c r="AK12" i="3"/>
  <c r="AK11" i="3"/>
  <c r="AJ24" i="3"/>
  <c r="AJ22" i="3"/>
  <c r="AJ20" i="3"/>
  <c r="AJ19" i="3"/>
  <c r="AJ16" i="3"/>
  <c r="AJ15" i="3"/>
  <c r="AJ14" i="3"/>
  <c r="AJ12" i="3"/>
  <c r="AJ11" i="3"/>
  <c r="P17" i="3"/>
  <c r="T32" i="3" s="1"/>
  <c r="O17" i="3"/>
  <c r="S32" i="3" s="1"/>
  <c r="N17" i="3"/>
  <c r="M17" i="3"/>
  <c r="Q32" i="3" s="1"/>
  <c r="L17" i="3"/>
  <c r="P13" i="3"/>
  <c r="P33" i="3" s="1"/>
  <c r="O13" i="3"/>
  <c r="O33" i="3" s="1"/>
  <c r="N13" i="3"/>
  <c r="N33" i="3" s="1"/>
  <c r="M13" i="3"/>
  <c r="M33" i="3" s="1"/>
  <c r="L13" i="3"/>
  <c r="L33" i="3" s="1"/>
  <c r="K17" i="3"/>
  <c r="K13" i="3"/>
  <c r="F17" i="3"/>
  <c r="F13" i="3"/>
  <c r="J17" i="3"/>
  <c r="J13" i="3"/>
  <c r="AB25" i="3" l="1"/>
  <c r="AB27" i="3"/>
  <c r="AC25" i="3"/>
  <c r="AC27" i="3"/>
  <c r="AD25" i="3"/>
  <c r="AD27" i="3"/>
  <c r="J32" i="3"/>
  <c r="F18" i="3"/>
  <c r="F21" i="3" s="1"/>
  <c r="F23" i="3" s="1"/>
  <c r="V23" i="3"/>
  <c r="V66" i="3" s="1"/>
  <c r="V35" i="3"/>
  <c r="W23" i="3"/>
  <c r="W66" i="3" s="1"/>
  <c r="W35" i="3"/>
  <c r="S23" i="3"/>
  <c r="S66" i="3" s="1"/>
  <c r="S35" i="3"/>
  <c r="T23" i="3"/>
  <c r="T66" i="3" s="1"/>
  <c r="T35" i="3"/>
  <c r="AL8" i="3"/>
  <c r="U23" i="3"/>
  <c r="U66" i="3" s="1"/>
  <c r="U35" i="3"/>
  <c r="O32" i="3"/>
  <c r="AM8" i="3"/>
  <c r="AM4" i="3"/>
  <c r="P32" i="3"/>
  <c r="R9" i="3"/>
  <c r="N32" i="3"/>
  <c r="AK31" i="3"/>
  <c r="AM17" i="3"/>
  <c r="AJ13" i="3"/>
  <c r="AJ33" i="3" s="1"/>
  <c r="AL31" i="3"/>
  <c r="AK13" i="3"/>
  <c r="AK33" i="3" s="1"/>
  <c r="AL30" i="3"/>
  <c r="AJ17" i="3"/>
  <c r="Q23" i="3"/>
  <c r="Q66" i="3" s="1"/>
  <c r="AL13" i="3"/>
  <c r="AL33" i="3" s="1"/>
  <c r="J18" i="3"/>
  <c r="J21" i="3" s="1"/>
  <c r="K18" i="3"/>
  <c r="AL17" i="3"/>
  <c r="AK30" i="3"/>
  <c r="AM20" i="3"/>
  <c r="AQ20" i="3" s="1"/>
  <c r="AR20" i="3" s="1"/>
  <c r="AS20" i="3" s="1"/>
  <c r="AT20" i="3" s="1"/>
  <c r="Q33" i="3"/>
  <c r="P18" i="3"/>
  <c r="K33" i="3"/>
  <c r="F33" i="3"/>
  <c r="J33" i="3"/>
  <c r="R32" i="3"/>
  <c r="R30" i="3"/>
  <c r="Q30" i="3"/>
  <c r="L18" i="3"/>
  <c r="O18" i="3"/>
  <c r="N18" i="3"/>
  <c r="M18" i="3"/>
  <c r="AN66" i="3" l="1"/>
  <c r="AJ18" i="3"/>
  <c r="AJ21" i="3" s="1"/>
  <c r="AJ35" i="3" s="1"/>
  <c r="F25" i="3"/>
  <c r="F66" i="3"/>
  <c r="AR11" i="3"/>
  <c r="F34" i="3"/>
  <c r="F35" i="3"/>
  <c r="F27" i="3"/>
  <c r="Q25" i="3"/>
  <c r="Q27" i="3"/>
  <c r="U25" i="3"/>
  <c r="U27" i="3"/>
  <c r="S25" i="3"/>
  <c r="S27" i="3"/>
  <c r="V25" i="3"/>
  <c r="V27" i="3"/>
  <c r="T25" i="3"/>
  <c r="T27" i="3"/>
  <c r="W25" i="3"/>
  <c r="W27" i="3"/>
  <c r="AA28" i="3" s="1"/>
  <c r="J23" i="3"/>
  <c r="J66" i="3" s="1"/>
  <c r="J35" i="3"/>
  <c r="AM32" i="3"/>
  <c r="AN4" i="3"/>
  <c r="AN8" i="3"/>
  <c r="AN17" i="3"/>
  <c r="AN32" i="3" s="1"/>
  <c r="AL18" i="3"/>
  <c r="AL34" i="3" s="1"/>
  <c r="J34" i="3"/>
  <c r="K21" i="3"/>
  <c r="K34" i="3"/>
  <c r="L21" i="3"/>
  <c r="L34" i="3"/>
  <c r="M21" i="3"/>
  <c r="M34" i="3"/>
  <c r="O21" i="3"/>
  <c r="O34" i="3"/>
  <c r="N21" i="3"/>
  <c r="N34" i="3"/>
  <c r="P21" i="3"/>
  <c r="P34" i="3"/>
  <c r="AJ34" i="3" l="1"/>
  <c r="AT11" i="3"/>
  <c r="AS11" i="3"/>
  <c r="W28" i="3"/>
  <c r="U28" i="3"/>
  <c r="J25" i="3"/>
  <c r="J27" i="3"/>
  <c r="J28" i="3" s="1"/>
  <c r="AL21" i="3"/>
  <c r="AL23" i="3" s="1"/>
  <c r="AO4" i="3"/>
  <c r="AO17" i="3"/>
  <c r="AO32" i="3" s="1"/>
  <c r="K23" i="3"/>
  <c r="K66" i="3" s="1"/>
  <c r="K35" i="3"/>
  <c r="Q34" i="3"/>
  <c r="N23" i="3"/>
  <c r="N66" i="3" s="1"/>
  <c r="N35" i="3"/>
  <c r="AJ23" i="3"/>
  <c r="P23" i="3"/>
  <c r="P66" i="3" s="1"/>
  <c r="P35" i="3"/>
  <c r="O23" i="3"/>
  <c r="O66" i="3" s="1"/>
  <c r="O35" i="3"/>
  <c r="L23" i="3"/>
  <c r="L66" i="3" s="1"/>
  <c r="L35" i="3"/>
  <c r="M23" i="3"/>
  <c r="M66" i="3" s="1"/>
  <c r="M35" i="3"/>
  <c r="AL66" i="3" l="1"/>
  <c r="AJ25" i="3"/>
  <c r="AJ27" i="3"/>
  <c r="AL25" i="3"/>
  <c r="AL27" i="3"/>
  <c r="M25" i="3"/>
  <c r="M27" i="3"/>
  <c r="O25" i="3"/>
  <c r="O27" i="3"/>
  <c r="K25" i="3"/>
  <c r="K27" i="3"/>
  <c r="AL35" i="3"/>
  <c r="N25" i="3"/>
  <c r="N27" i="3"/>
  <c r="N28" i="3" s="1"/>
  <c r="L25" i="3"/>
  <c r="L27" i="3"/>
  <c r="P25" i="3"/>
  <c r="P27" i="3"/>
  <c r="AP4" i="3"/>
  <c r="AS17" i="3"/>
  <c r="AP17" i="3"/>
  <c r="AP32" i="3" s="1"/>
  <c r="AM22" i="3"/>
  <c r="O28" i="3" l="1"/>
  <c r="S28" i="3"/>
  <c r="Q28" i="3"/>
  <c r="P28" i="3"/>
  <c r="T28" i="3"/>
  <c r="AQ4" i="3"/>
  <c r="AT17" i="3"/>
  <c r="AQ17" i="3"/>
  <c r="AQ32" i="3" s="1"/>
  <c r="AR4" i="3" l="1"/>
  <c r="AT32" i="3"/>
  <c r="AR17" i="3"/>
  <c r="AS4" i="3" l="1"/>
  <c r="AR32" i="3"/>
  <c r="AS32" i="3"/>
  <c r="AT4" i="3" l="1"/>
  <c r="E17" i="3" l="1"/>
  <c r="E13" i="3"/>
  <c r="E33" i="3" s="1"/>
  <c r="I17" i="3"/>
  <c r="I13" i="3"/>
  <c r="I33" i="3" s="1"/>
  <c r="D17" i="3"/>
  <c r="D13" i="3"/>
  <c r="D33" i="3" s="1"/>
  <c r="H17" i="3"/>
  <c r="H13" i="3"/>
  <c r="G17" i="3"/>
  <c r="G13" i="3"/>
  <c r="G33" i="3" s="1"/>
  <c r="C17" i="3"/>
  <c r="C13" i="3"/>
  <c r="C33" i="3" s="1"/>
  <c r="G32" i="3" l="1"/>
  <c r="K32" i="3"/>
  <c r="H32" i="3"/>
  <c r="L32" i="3"/>
  <c r="I32" i="3"/>
  <c r="M32" i="3"/>
  <c r="I18" i="3"/>
  <c r="I34" i="3" s="1"/>
  <c r="AK17" i="3"/>
  <c r="C18" i="3"/>
  <c r="H18" i="3"/>
  <c r="H33" i="3"/>
  <c r="E18" i="3"/>
  <c r="D18" i="3"/>
  <c r="G18" i="3"/>
  <c r="C4" i="1" a="1"/>
  <c r="C4" i="1" s="1"/>
  <c r="M4" i="1" l="1"/>
  <c r="G11" i="1"/>
  <c r="J11" i="1"/>
  <c r="AY35" i="3"/>
  <c r="BB35" i="3"/>
  <c r="I21" i="3"/>
  <c r="I23" i="3" s="1"/>
  <c r="I66" i="3" s="1"/>
  <c r="AK18" i="3"/>
  <c r="AK34" i="3" s="1"/>
  <c r="AK32" i="3"/>
  <c r="AL32" i="3"/>
  <c r="C6" i="1"/>
  <c r="G21" i="3"/>
  <c r="G34" i="3"/>
  <c r="D21" i="3"/>
  <c r="D34" i="3"/>
  <c r="C21" i="3"/>
  <c r="C34" i="3"/>
  <c r="H21" i="3"/>
  <c r="H34" i="3"/>
  <c r="E21" i="3"/>
  <c r="E34" i="3"/>
  <c r="I35" i="3" l="1"/>
  <c r="I25" i="3"/>
  <c r="I27" i="3"/>
  <c r="AK21" i="3"/>
  <c r="AK35" i="3" s="1"/>
  <c r="C4" i="4"/>
  <c r="C9" i="1"/>
  <c r="E23" i="3"/>
  <c r="E35" i="3"/>
  <c r="H23" i="3"/>
  <c r="H66" i="3" s="1"/>
  <c r="H35" i="3"/>
  <c r="D23" i="3"/>
  <c r="D66" i="3" s="1"/>
  <c r="D35" i="3"/>
  <c r="C35" i="3"/>
  <c r="C23" i="3"/>
  <c r="C66" i="3" s="1"/>
  <c r="G23" i="3"/>
  <c r="G66" i="3" s="1"/>
  <c r="AK66" i="3" s="1"/>
  <c r="G35" i="3"/>
  <c r="E27" i="3" l="1"/>
  <c r="E66" i="3"/>
  <c r="AJ66" i="3" s="1"/>
  <c r="AK23" i="3"/>
  <c r="AK27" i="3" s="1"/>
  <c r="M28" i="3"/>
  <c r="G25" i="3"/>
  <c r="G27" i="3"/>
  <c r="H25" i="3"/>
  <c r="H27" i="3"/>
  <c r="C25" i="3"/>
  <c r="C27" i="3"/>
  <c r="D25" i="3"/>
  <c r="D27" i="3"/>
  <c r="E25" i="3"/>
  <c r="I28" i="3"/>
  <c r="C5" i="4"/>
  <c r="C6" i="4" s="1"/>
  <c r="AK25" i="3" l="1"/>
  <c r="AK28" i="3"/>
  <c r="AL28" i="3"/>
  <c r="G28" i="3"/>
  <c r="K28" i="3"/>
  <c r="H28" i="3"/>
  <c r="L28" i="3"/>
  <c r="C7" i="4"/>
  <c r="AM30" i="3" l="1"/>
  <c r="C18" i="4" s="1"/>
  <c r="J5" i="1" s="1"/>
  <c r="J6" i="1" s="1"/>
  <c r="J8" i="1" s="1"/>
  <c r="J10" i="1" s="1"/>
  <c r="J12" i="1" s="1"/>
  <c r="AO8" i="3"/>
  <c r="BB29" i="3" l="1"/>
  <c r="BB30" i="3" s="1"/>
  <c r="BB32" i="3" s="1"/>
  <c r="BB34" i="3" s="1"/>
  <c r="BB36" i="3" s="1"/>
  <c r="G5" i="1"/>
  <c r="AY29" i="3"/>
  <c r="AN30" i="3"/>
  <c r="AO31" i="3" l="1"/>
  <c r="AN18" i="3"/>
  <c r="AN33" i="3"/>
  <c r="AN21" i="3" l="1"/>
  <c r="AN34" i="3"/>
  <c r="R31" i="3" l="1"/>
  <c r="R13" i="3"/>
  <c r="R33" i="3" s="1"/>
  <c r="AM12" i="3"/>
  <c r="AM31" i="3" l="1"/>
  <c r="AM13" i="3"/>
  <c r="R18" i="3"/>
  <c r="AN31" i="3"/>
  <c r="R34" i="3" l="1"/>
  <c r="R21" i="3"/>
  <c r="AM33" i="3"/>
  <c r="AM18" i="3"/>
  <c r="AM21" i="3" l="1"/>
  <c r="AM34" i="3"/>
  <c r="R23" i="3"/>
  <c r="R66" i="3" s="1"/>
  <c r="AM66" i="3" s="1"/>
  <c r="R35" i="3"/>
  <c r="R25" i="3" l="1"/>
  <c r="R27" i="3"/>
  <c r="AM23" i="3"/>
  <c r="AM35" i="3"/>
  <c r="AM25" i="3" l="1"/>
  <c r="AM27" i="3"/>
  <c r="AM28" i="3" s="1"/>
  <c r="R28" i="3"/>
  <c r="V28" i="3"/>
  <c r="AN35" i="3"/>
  <c r="AN23" i="3"/>
  <c r="AN27" i="3" l="1"/>
  <c r="AN28" i="3" s="1"/>
  <c r="AN25" i="3"/>
  <c r="AR8" i="3"/>
  <c r="AT8" i="3"/>
  <c r="AS8" i="3"/>
  <c r="AP8" i="3"/>
  <c r="AQ8" i="3"/>
  <c r="AQ30" i="3" l="1"/>
  <c r="AR30" i="3" l="1"/>
  <c r="AS30" i="3" l="1"/>
  <c r="AT30" i="3" l="1"/>
  <c r="AP13" i="3"/>
  <c r="AP18" i="3" s="1"/>
  <c r="AP21" i="3" s="1"/>
  <c r="AP22" i="3" s="1"/>
  <c r="AP31" i="3"/>
  <c r="AP33" i="3" l="1"/>
  <c r="AP35" i="3"/>
  <c r="AP34" i="3"/>
  <c r="AP23" i="3" l="1"/>
  <c r="AP27" i="3" s="1"/>
  <c r="AP25" i="3" l="1"/>
  <c r="AS31" i="3"/>
  <c r="AQ31" i="3"/>
  <c r="AT31" i="3"/>
  <c r="AR13" i="3"/>
  <c r="AR18" i="3" s="1"/>
  <c r="AR31" i="3"/>
  <c r="AT13" i="3"/>
  <c r="AT18" i="3" s="1"/>
  <c r="AS13" i="3"/>
  <c r="AS33" i="3" s="1"/>
  <c r="AQ13" i="3"/>
  <c r="AQ33" i="3" s="1"/>
  <c r="AQ18" i="3" l="1"/>
  <c r="AQ21" i="3" s="1"/>
  <c r="AS18" i="3"/>
  <c r="AS34" i="3" s="1"/>
  <c r="AT21" i="3"/>
  <c r="AT22" i="3" s="1"/>
  <c r="AT34" i="3"/>
  <c r="AR34" i="3"/>
  <c r="AR21" i="3"/>
  <c r="AR22" i="3" s="1"/>
  <c r="AR33" i="3"/>
  <c r="AT33" i="3"/>
  <c r="AQ34" i="3" l="1"/>
  <c r="AS21" i="3"/>
  <c r="AS22" i="3" s="1"/>
  <c r="AQ22" i="3"/>
  <c r="AQ35" i="3" s="1"/>
  <c r="AR35" i="3"/>
  <c r="AQ23" i="3" l="1"/>
  <c r="AQ27" i="3" s="1"/>
  <c r="AQ28" i="3" s="1"/>
  <c r="AR23" i="3"/>
  <c r="AS35" i="3"/>
  <c r="AS23" i="3"/>
  <c r="AQ25" i="3" l="1"/>
  <c r="AS25" i="3"/>
  <c r="AS27" i="3"/>
  <c r="AR25" i="3"/>
  <c r="AR27" i="3"/>
  <c r="AR28" i="3" s="1"/>
  <c r="AT35" i="3"/>
  <c r="AT23" i="3"/>
  <c r="AT27" i="3" s="1"/>
  <c r="AT28" i="3" l="1"/>
  <c r="AS28" i="3"/>
  <c r="AU23" i="3"/>
  <c r="AV23" i="3" s="1"/>
  <c r="AW23" i="3" s="1"/>
  <c r="AX23" i="3" s="1"/>
  <c r="AY23" i="3" s="1"/>
  <c r="AZ23" i="3" s="1"/>
  <c r="BA23" i="3" s="1"/>
  <c r="BB23" i="3" s="1"/>
  <c r="BC23" i="3" s="1"/>
  <c r="BD23" i="3" s="1"/>
  <c r="BE23" i="3" s="1"/>
  <c r="BF23" i="3" s="1"/>
  <c r="BG23" i="3" s="1"/>
  <c r="BH23" i="3" s="1"/>
  <c r="BI23" i="3" s="1"/>
  <c r="BJ23" i="3" s="1"/>
  <c r="BK23" i="3" s="1"/>
  <c r="BL23" i="3" s="1"/>
  <c r="BM23" i="3" s="1"/>
  <c r="BN23" i="3" s="1"/>
  <c r="BO23" i="3" s="1"/>
  <c r="BP23" i="3" s="1"/>
  <c r="BQ23" i="3" s="1"/>
  <c r="BR23" i="3" s="1"/>
  <c r="BS23" i="3" s="1"/>
  <c r="BT23" i="3" s="1"/>
  <c r="BU23" i="3" s="1"/>
  <c r="BV23" i="3" s="1"/>
  <c r="BW23" i="3" s="1"/>
  <c r="BX23" i="3" s="1"/>
  <c r="BY23" i="3" s="1"/>
  <c r="BZ23" i="3" s="1"/>
  <c r="CA23" i="3" s="1"/>
  <c r="CB23" i="3" s="1"/>
  <c r="CC23" i="3" s="1"/>
  <c r="CD23" i="3" s="1"/>
  <c r="CE23" i="3" s="1"/>
  <c r="CF23" i="3" s="1"/>
  <c r="CG23" i="3" s="1"/>
  <c r="CH23" i="3" s="1"/>
  <c r="CI23" i="3" s="1"/>
  <c r="CJ23" i="3" s="1"/>
  <c r="CK23" i="3" s="1"/>
  <c r="CL23" i="3" s="1"/>
  <c r="CM23" i="3" s="1"/>
  <c r="CN23" i="3" s="1"/>
  <c r="CO23" i="3" s="1"/>
  <c r="CP23" i="3" s="1"/>
  <c r="CQ23" i="3" s="1"/>
  <c r="CR23" i="3" s="1"/>
  <c r="CS23" i="3" s="1"/>
  <c r="CT23" i="3" s="1"/>
  <c r="CU23" i="3" s="1"/>
  <c r="CV23" i="3" s="1"/>
  <c r="CW23" i="3" s="1"/>
  <c r="CX23" i="3" s="1"/>
  <c r="CY23" i="3" s="1"/>
  <c r="CZ23" i="3" s="1"/>
  <c r="DA23" i="3" s="1"/>
  <c r="DB23" i="3" s="1"/>
  <c r="DC23" i="3" s="1"/>
  <c r="DD23" i="3" s="1"/>
  <c r="DE23" i="3" s="1"/>
  <c r="DF23" i="3" s="1"/>
  <c r="DG23" i="3" s="1"/>
  <c r="DH23" i="3" s="1"/>
  <c r="DI23" i="3" s="1"/>
  <c r="DJ23" i="3" s="1"/>
  <c r="DK23" i="3" s="1"/>
  <c r="DL23" i="3" s="1"/>
  <c r="DM23" i="3" s="1"/>
  <c r="DN23" i="3" s="1"/>
  <c r="DO23" i="3" s="1"/>
  <c r="DP23" i="3" s="1"/>
  <c r="DQ23" i="3" s="1"/>
  <c r="DR23" i="3" s="1"/>
  <c r="DS23" i="3" s="1"/>
  <c r="DT23" i="3" s="1"/>
  <c r="DU23" i="3" s="1"/>
  <c r="DV23" i="3" s="1"/>
  <c r="DW23" i="3" s="1"/>
  <c r="DX23" i="3" s="1"/>
  <c r="DY23" i="3" s="1"/>
  <c r="DZ23" i="3" s="1"/>
  <c r="EA23" i="3" s="1"/>
  <c r="EB23" i="3" s="1"/>
  <c r="EC23" i="3" s="1"/>
  <c r="ED23" i="3" s="1"/>
  <c r="EE23" i="3" s="1"/>
  <c r="EF23" i="3" s="1"/>
  <c r="EG23" i="3" s="1"/>
  <c r="EH23" i="3" s="1"/>
  <c r="EI23" i="3" s="1"/>
  <c r="EJ23" i="3" s="1"/>
  <c r="EK23" i="3" s="1"/>
  <c r="EL23" i="3" s="1"/>
  <c r="EM23" i="3" s="1"/>
  <c r="EN23" i="3" s="1"/>
  <c r="EO23" i="3" s="1"/>
  <c r="EP23" i="3" s="1"/>
  <c r="EQ23" i="3" s="1"/>
  <c r="ER23" i="3" s="1"/>
  <c r="ES23" i="3" s="1"/>
  <c r="ET23" i="3" s="1"/>
  <c r="EU23" i="3" s="1"/>
  <c r="EV23" i="3" s="1"/>
  <c r="EW23" i="3" s="1"/>
  <c r="EX23" i="3" s="1"/>
  <c r="EY23" i="3" s="1"/>
  <c r="EZ23" i="3" s="1"/>
  <c r="FA23" i="3" s="1"/>
  <c r="FB23" i="3" s="1"/>
  <c r="FC23" i="3" s="1"/>
  <c r="FD23" i="3" s="1"/>
  <c r="FE23" i="3" s="1"/>
  <c r="FF23" i="3" s="1"/>
  <c r="FG23" i="3" s="1"/>
  <c r="FH23" i="3" s="1"/>
  <c r="FI23" i="3" s="1"/>
  <c r="FJ23" i="3" s="1"/>
  <c r="FK23" i="3" s="1"/>
  <c r="FL23" i="3" s="1"/>
  <c r="FM23" i="3" s="1"/>
  <c r="FN23" i="3" s="1"/>
  <c r="FO23" i="3" s="1"/>
  <c r="FP23" i="3" s="1"/>
  <c r="FQ23" i="3" s="1"/>
  <c r="FR23" i="3" s="1"/>
  <c r="FS23" i="3" s="1"/>
  <c r="FT23" i="3" s="1"/>
  <c r="FU23" i="3" s="1"/>
  <c r="FV23" i="3" s="1"/>
  <c r="FW23" i="3" s="1"/>
  <c r="FX23" i="3" s="1"/>
  <c r="FY23" i="3" s="1"/>
  <c r="FZ23" i="3" s="1"/>
  <c r="GA23" i="3" s="1"/>
  <c r="GB23" i="3" s="1"/>
  <c r="GC23" i="3" s="1"/>
  <c r="GD23" i="3" s="1"/>
  <c r="GE23" i="3" s="1"/>
  <c r="GF23" i="3" s="1"/>
  <c r="GG23" i="3" s="1"/>
  <c r="GH23" i="3" s="1"/>
  <c r="GI23" i="3" s="1"/>
  <c r="GJ23" i="3" s="1"/>
  <c r="GK23" i="3" s="1"/>
  <c r="GL23" i="3" s="1"/>
  <c r="GM23" i="3" s="1"/>
  <c r="GN23" i="3" s="1"/>
  <c r="GO23" i="3" s="1"/>
  <c r="GP23" i="3" s="1"/>
  <c r="GQ23" i="3" s="1"/>
  <c r="GR23" i="3" s="1"/>
  <c r="GS23" i="3" s="1"/>
  <c r="GT23" i="3" s="1"/>
  <c r="AT25" i="3"/>
  <c r="X13" i="3" l="1"/>
  <c r="X18" i="3" s="1"/>
  <c r="X30" i="3"/>
  <c r="X33" i="3" l="1"/>
  <c r="X21" i="3"/>
  <c r="X35" i="3" s="1"/>
  <c r="X34" i="3"/>
  <c r="AO22" i="3"/>
  <c r="X23" i="3" l="1"/>
  <c r="X25" i="3" s="1"/>
  <c r="X66" i="3" l="1"/>
  <c r="X27" i="3"/>
  <c r="AO11" i="3"/>
  <c r="AP30" i="3" s="1"/>
  <c r="Y13" i="3"/>
  <c r="Y33" i="3" s="1"/>
  <c r="Z13" i="3"/>
  <c r="Z18" i="3" s="1"/>
  <c r="Z33" i="3"/>
  <c r="Y7" i="3"/>
  <c r="Y9" i="3" s="1"/>
  <c r="Y30" i="3"/>
  <c r="Z7" i="3"/>
  <c r="Z30" i="3"/>
  <c r="X28" i="3" l="1"/>
  <c r="AB28" i="3"/>
  <c r="Y18" i="3"/>
  <c r="Y21" i="3" s="1"/>
  <c r="Y23" i="3" s="1"/>
  <c r="Z9" i="3"/>
  <c r="Z34" i="3"/>
  <c r="Z21" i="3"/>
  <c r="AO30" i="3"/>
  <c r="AO13" i="3"/>
  <c r="Y8" i="3"/>
  <c r="Z8" i="3"/>
  <c r="Y35" i="3" l="1"/>
  <c r="Y34" i="3"/>
  <c r="AO18" i="3"/>
  <c r="AO33" i="3"/>
  <c r="Y27" i="3"/>
  <c r="Y25" i="3"/>
  <c r="Z23" i="3"/>
  <c r="Z35" i="3"/>
  <c r="Y28" i="3" l="1"/>
  <c r="AC28" i="3"/>
  <c r="Z27" i="3"/>
  <c r="Z25" i="3"/>
  <c r="AO34" i="3"/>
  <c r="AO21" i="3"/>
  <c r="Z28" i="3" l="1"/>
  <c r="AD28" i="3"/>
  <c r="AO23" i="3"/>
  <c r="AO35" i="3"/>
  <c r="AO27" i="3" l="1"/>
  <c r="AY32" i="3"/>
  <c r="AY34" i="3" s="1"/>
  <c r="AY36" i="3" s="1"/>
  <c r="G6" i="1"/>
  <c r="G8" i="1" s="1"/>
  <c r="G10" i="1" s="1"/>
  <c r="AO25" i="3"/>
  <c r="M3" i="1" l="1"/>
  <c r="M5" i="1" s="1"/>
  <c r="G12" i="1"/>
  <c r="AP28" i="3"/>
  <c r="AO28"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tc={079E6B2E-6A7D-454A-8833-B1F30BF8B22A}</author>
  </authors>
  <commentList>
    <comment ref="B8" authorId="0" shapeId="0" xr:uid="{079E6B2E-6A7D-454A-8833-B1F30BF8B22A}">
      <text>
        <t>[Threaded comment]
Your version of Excel allows you to read this threaded comment; however, any edits to it will get removed if the file is opened in a newer version of Excel. Learn more: https://go.microsoft.com/fwlink/?linkid=870924
Comment:
    includes operating lease liabilities and finance lease obligations</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<sst xmlns="http://schemas.openxmlformats.org/spreadsheetml/2006/main" count="198" uniqueCount="151">
  <si>
    <t>Company</t>
  </si>
  <si>
    <t>Source</t>
  </si>
  <si>
    <t>Price</t>
  </si>
  <si>
    <t>Shares</t>
  </si>
  <si>
    <t>Market Cap</t>
  </si>
  <si>
    <t>Cash</t>
  </si>
  <si>
    <t>Debt</t>
  </si>
  <si>
    <t>EV</t>
  </si>
  <si>
    <t>Revenue</t>
  </si>
  <si>
    <t>Cost of Revenue</t>
  </si>
  <si>
    <t>Gross Profit</t>
  </si>
  <si>
    <t>OpEx</t>
  </si>
  <si>
    <t>R&amp;D</t>
  </si>
  <si>
    <t>S&amp;M</t>
  </si>
  <si>
    <t>G&amp;A</t>
  </si>
  <si>
    <t>1Q17</t>
  </si>
  <si>
    <t>2Q17</t>
  </si>
  <si>
    <t>3Q17</t>
  </si>
  <si>
    <t>4Q17</t>
  </si>
  <si>
    <t>1Q18</t>
  </si>
  <si>
    <t>2Q18</t>
  </si>
  <si>
    <t>3Q18</t>
  </si>
  <si>
    <t>4Q18</t>
  </si>
  <si>
    <t>1Q19</t>
  </si>
  <si>
    <t>2Q19</t>
  </si>
  <si>
    <t>3Q19</t>
  </si>
  <si>
    <t>4Q19</t>
  </si>
  <si>
    <t>1Q20</t>
  </si>
  <si>
    <t>2Q20</t>
  </si>
  <si>
    <t>3Q20</t>
  </si>
  <si>
    <t>4Q20</t>
  </si>
  <si>
    <t>Operating Income</t>
  </si>
  <si>
    <t>Other Income</t>
  </si>
  <si>
    <t>Pretax Income</t>
  </si>
  <si>
    <t>Taxes</t>
  </si>
  <si>
    <t>Net Income</t>
  </si>
  <si>
    <t>EPS</t>
  </si>
  <si>
    <t>Interest Expense/(Income)</t>
  </si>
  <si>
    <t>Revenue Y/Y</t>
  </si>
  <si>
    <t>Gross Margin</t>
  </si>
  <si>
    <t>Operating Margin</t>
  </si>
  <si>
    <t>Maturity</t>
  </si>
  <si>
    <t>WACC</t>
  </si>
  <si>
    <t>NPV</t>
  </si>
  <si>
    <t>Model Price</t>
  </si>
  <si>
    <t>Market Price</t>
  </si>
  <si>
    <t>Difference</t>
  </si>
  <si>
    <t>Equity</t>
  </si>
  <si>
    <t>D+E</t>
  </si>
  <si>
    <t>Wdebt</t>
  </si>
  <si>
    <t>Wequity</t>
  </si>
  <si>
    <t>Tax rate</t>
  </si>
  <si>
    <t>Interest expense</t>
  </si>
  <si>
    <t>Cost of debt</t>
  </si>
  <si>
    <t>Risk-free rate</t>
  </si>
  <si>
    <t>Beta</t>
  </si>
  <si>
    <t>Market return</t>
  </si>
  <si>
    <t>Cost of equity</t>
  </si>
  <si>
    <t>Opex Y/Y</t>
  </si>
  <si>
    <t>PUs Y/Y</t>
  </si>
  <si>
    <t>Paying Users (PUs)</t>
  </si>
  <si>
    <t>Avg. Revenue/Paying User (ARPU, annualized)</t>
  </si>
  <si>
    <t>PUs Q/Q</t>
  </si>
  <si>
    <t>ARPU Q/Q</t>
  </si>
  <si>
    <t>Cost of revenue Y/Y</t>
  </si>
  <si>
    <t>Net Cash</t>
  </si>
  <si>
    <t>Total Value</t>
  </si>
  <si>
    <t>1Q21</t>
  </si>
  <si>
    <t>2Q21</t>
  </si>
  <si>
    <t>3Q21</t>
  </si>
  <si>
    <t>4Q21</t>
  </si>
  <si>
    <t>1Q22</t>
  </si>
  <si>
    <t>2Q22</t>
  </si>
  <si>
    <t>3Q22</t>
  </si>
  <si>
    <t>4Q22</t>
  </si>
  <si>
    <t>koyfin</t>
  </si>
  <si>
    <t>ARPU Y/Y</t>
  </si>
  <si>
    <t>EBIT</t>
  </si>
  <si>
    <t>EBIT Y/Y</t>
  </si>
  <si>
    <t xml:space="preserve"> </t>
  </si>
  <si>
    <t>Cash &amp; Equivalents</t>
  </si>
  <si>
    <t>ST Investments</t>
  </si>
  <si>
    <t>A/R</t>
  </si>
  <si>
    <t>Prepaid Expenses &amp; OCA</t>
  </si>
  <si>
    <t>Total Current Assets</t>
  </si>
  <si>
    <t>PP&amp;E</t>
  </si>
  <si>
    <t>Operating Lease ROUs</t>
  </si>
  <si>
    <t>Intagible + Goodwill</t>
  </si>
  <si>
    <t>Other</t>
  </si>
  <si>
    <t>Total Assets</t>
  </si>
  <si>
    <t>A/P</t>
  </si>
  <si>
    <t>Accrued &amp; OCL</t>
  </si>
  <si>
    <t>Accrued Compensation &amp; Benefits</t>
  </si>
  <si>
    <t>Total Current Liabilities</t>
  </si>
  <si>
    <t>ST Operating Lease Liability</t>
  </si>
  <si>
    <t>ST Finance Lease Obligation</t>
  </si>
  <si>
    <t>Deferred Revenue</t>
  </si>
  <si>
    <t>LT Operating Lease Liability</t>
  </si>
  <si>
    <t>LT Finance Lease Obligation</t>
  </si>
  <si>
    <t>LT Debt</t>
  </si>
  <si>
    <t>Other NCL</t>
  </si>
  <si>
    <t>Total Liabilities</t>
  </si>
  <si>
    <t>S/E</t>
  </si>
  <si>
    <t>L + S/E</t>
  </si>
  <si>
    <t>Model NI</t>
  </si>
  <si>
    <t>Reported NI</t>
  </si>
  <si>
    <t>D&amp;A</t>
  </si>
  <si>
    <t>SBC</t>
  </si>
  <si>
    <t>Impairment to RE assets</t>
  </si>
  <si>
    <t>Other Assets</t>
  </si>
  <si>
    <t>ONCA</t>
  </si>
  <si>
    <t>Tenant Improvement Allowance Reimbursement</t>
  </si>
  <si>
    <t>CFFO</t>
  </si>
  <si>
    <t>CFFI</t>
  </si>
  <si>
    <t>CapEx</t>
  </si>
  <si>
    <t>Business Combinations</t>
  </si>
  <si>
    <t>Purchases of ST Investments</t>
  </si>
  <si>
    <t>Proceeds from Sales of ST Investments</t>
  </si>
  <si>
    <t>Proceeds from Maturities of ST Investments</t>
  </si>
  <si>
    <t>Proceeds from Issuance of Debt</t>
  </si>
  <si>
    <t xml:space="preserve">Purchase of Debt Hedge </t>
  </si>
  <si>
    <t>Proceeds from Sale of Warrants w/ Debt</t>
  </si>
  <si>
    <t>Payment of Debt Issuance Costs</t>
  </si>
  <si>
    <t>Payment for Taxes Related to RSUs &amp; Awards</t>
  </si>
  <si>
    <t>Proceeds from Issuance of Common Stock</t>
  </si>
  <si>
    <t>Principal Payments on Finance Lease Obligations</t>
  </si>
  <si>
    <t>Common Stock Repurchases</t>
  </si>
  <si>
    <t>CFFF</t>
  </si>
  <si>
    <t>Amortization of Debt Issuance Costs</t>
  </si>
  <si>
    <t>CF</t>
  </si>
  <si>
    <t>FCF</t>
  </si>
  <si>
    <t>Cash Paid for Lease Termination</t>
  </si>
  <si>
    <t>Net Gains on Lease Termination</t>
  </si>
  <si>
    <t>Purchase of Intangible Assets</t>
  </si>
  <si>
    <t>Net (Gains)/Losses on Equity Investments</t>
  </si>
  <si>
    <t>Amortization of Deferred Commissions</t>
  </si>
  <si>
    <t>Donation of Common Stock to Charitable Foundation</t>
  </si>
  <si>
    <t>Cash Received from Equipment Rebates</t>
  </si>
  <si>
    <t>Proceeds from IPO &amp; Private Placement</t>
  </si>
  <si>
    <t>FCF Y/Y</t>
  </si>
  <si>
    <t>Using NI</t>
  </si>
  <si>
    <t>Using FCF</t>
  </si>
  <si>
    <t>Using Net Income</t>
  </si>
  <si>
    <t>Average Price</t>
  </si>
  <si>
    <t>Current</t>
  </si>
  <si>
    <t>1Q23</t>
  </si>
  <si>
    <t>2Q23</t>
  </si>
  <si>
    <t>3Q23</t>
  </si>
  <si>
    <t>4Q23</t>
  </si>
  <si>
    <t>Deferred Taxes</t>
  </si>
  <si>
    <t>10K22 (positive interest income expense?)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</si>
</sst>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409]* #,##0.00_);_([$$-409]* \(#,##0.00\);_([$$-409]* &quot;-&quot;??_);_(@_)"/>
    <numFmt numFmtId="165" formatCode="#,##0.0"/>
  </numFmts>
  <fonts count="9"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Calibri"/>
      <family val="2"/>
      <scheme val="minor"/>
    </font>
    <font>
      <sz val="8"/>
      <name val="Calibri"/>
      <family val="2"/>
      <scheme val="minor"/>
    </font>
    <font>
      <b/>
      <sz val="11"/>
      <color theme="1"/>
      <name val="Arial"/>
      <family val="2"/>
    </font>
    <font>
      <i/>
      <sz val="11"/>
      <color theme="1"/>
      <name val="Arial"/>
      <family val="2"/>
    </font>
    <font>
      <u/>
      <sz val="11"/>
      <color theme="1"/>
      <name val="Arial"/>
      <family val="2"/>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44" fontId="4" fillId="0" borderId="0" applyFont="0" applyFill="0" applyBorder="0" applyAlignment="0" applyProtection="0"/>
    <xf numFmtId="9" fontId="4" fillId="0" borderId="0" applyFont="0" applyFill="0" applyBorder="0" applyAlignment="0" applyProtection="0"/>
  </cellStyleXfs>
  <cellXfs count="56">
    <xf numFmtId="0" fontId="0" fillId="0" borderId="0" xfId="0"/>
    <xf numFmtId="0" fontId="3" fillId="0" borderId="0" xfId="0" applyFont="1"/>
    <xf numFmtId="3" fontId="3" fillId="0" borderId="0" xfId="0" applyNumberFormat="1" applyFont="1"/>
    <xf numFmtId="0" fontId="6" fillId="0" borderId="0" xfId="0" applyFont="1"/>
    <xf numFmtId="10" fontId="6" fillId="0" borderId="0" xfId="0" applyNumberFormat="1" applyFont="1"/>
    <xf numFmtId="10" fontId="3" fillId="0" borderId="0" xfId="0" applyNumberFormat="1" applyFont="1"/>
    <xf numFmtId="10" fontId="6" fillId="0" borderId="0" xfId="2" applyNumberFormat="1" applyFont="1"/>
    <xf numFmtId="9" fontId="3" fillId="0" borderId="0" xfId="0" applyNumberFormat="1"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164" fontId="3" fillId="0" borderId="0" xfId="0" applyNumberFormat="1" applyFont="1" applyAlignment="1">
      <alignment horizontal="right"/>
    </xf>
    <xf numFmtId="0" fontId="3" fillId="0" borderId="1" xfId="0" applyFont="1" applyBorder="1" applyAlignment="1">
      <alignment horizontal="right"/>
    </xf>
    <xf numFmtId="3" fontId="3" fillId="0" borderId="0" xfId="0" applyNumberFormat="1" applyFont="1" applyAlignment="1">
      <alignment horizontal="right"/>
    </xf>
    <xf numFmtId="0" fontId="3" fillId="0" borderId="4" xfId="0" applyFont="1" applyBorder="1" applyAlignment="1">
      <alignment horizontal="right"/>
    </xf>
    <xf numFmtId="0" fontId="3" fillId="0" borderId="5" xfId="0" applyFont="1" applyBorder="1"/>
    <xf numFmtId="3" fontId="3" fillId="0" borderId="6" xfId="0" applyNumberFormat="1" applyFont="1" applyBorder="1" applyAlignment="1">
      <alignment horizontal="right"/>
    </xf>
    <xf numFmtId="0" fontId="3" fillId="0" borderId="5" xfId="0" applyFont="1" applyBorder="1" applyAlignment="1">
      <alignment horizontal="right"/>
    </xf>
    <xf numFmtId="0" fontId="3" fillId="0" borderId="0" xfId="0" applyFont="1" applyAlignment="1">
      <alignment horizontal="right" vertical="center"/>
    </xf>
    <xf numFmtId="3" fontId="6" fillId="0" borderId="0" xfId="0" applyNumberFormat="1" applyFont="1" applyAlignment="1">
      <alignment horizontal="right" vertical="center"/>
    </xf>
    <xf numFmtId="3" fontId="3" fillId="0" borderId="0" xfId="0" applyNumberFormat="1" applyFont="1" applyAlignment="1">
      <alignment horizontal="right" vertical="center"/>
    </xf>
    <xf numFmtId="3" fontId="6" fillId="0" borderId="0" xfId="0" applyNumberFormat="1" applyFont="1"/>
    <xf numFmtId="4" fontId="3" fillId="0" borderId="0" xfId="0" applyNumberFormat="1" applyFont="1" applyAlignment="1">
      <alignment horizontal="right" vertical="center"/>
    </xf>
    <xf numFmtId="9" fontId="3" fillId="0" borderId="0" xfId="2" applyFont="1"/>
    <xf numFmtId="0" fontId="6" fillId="0" borderId="0" xfId="0" applyFont="1" applyAlignment="1">
      <alignment horizontal="right" vertical="center"/>
    </xf>
    <xf numFmtId="9" fontId="6" fillId="0" borderId="0" xfId="0" applyNumberFormat="1" applyFont="1" applyAlignment="1">
      <alignment horizontal="right" vertical="center"/>
    </xf>
    <xf numFmtId="9" fontId="3" fillId="0" borderId="0" xfId="0" applyNumberFormat="1" applyFont="1" applyAlignment="1">
      <alignment horizontal="right" vertical="center"/>
    </xf>
    <xf numFmtId="3" fontId="7" fillId="0" borderId="0" xfId="0" applyNumberFormat="1" applyFont="1"/>
    <xf numFmtId="9" fontId="7" fillId="0" borderId="0" xfId="0" applyNumberFormat="1" applyFont="1"/>
    <xf numFmtId="0" fontId="7" fillId="0" borderId="0" xfId="0" applyFont="1"/>
    <xf numFmtId="165" fontId="3" fillId="0" borderId="0" xfId="0" applyNumberFormat="1" applyFont="1" applyAlignment="1">
      <alignment horizontal="right" vertical="center"/>
    </xf>
    <xf numFmtId="0" fontId="2" fillId="0" borderId="0" xfId="0" applyFont="1"/>
    <xf numFmtId="0" fontId="1" fillId="0" borderId="0" xfId="0" applyFont="1"/>
    <xf numFmtId="4" fontId="6" fillId="0" borderId="0" xfId="0" applyNumberFormat="1" applyFont="1"/>
    <xf numFmtId="0" fontId="1" fillId="0" borderId="4" xfId="0" applyFont="1" applyBorder="1" applyAlignment="1">
      <alignment horizontal="right"/>
    </xf>
    <xf numFmtId="3" fontId="1" fillId="0" borderId="0" xfId="0" applyNumberFormat="1" applyFont="1"/>
    <xf numFmtId="0" fontId="8" fillId="0" borderId="0" xfId="0" applyFont="1"/>
    <xf numFmtId="3" fontId="1" fillId="0" borderId="0" xfId="0" applyNumberFormat="1" applyFont="1" applyAlignment="1">
      <alignment vertical="center"/>
    </xf>
    <xf numFmtId="39" fontId="6" fillId="0" borderId="0" xfId="1" applyNumberFormat="1" applyFont="1"/>
    <xf numFmtId="9" fontId="6" fillId="0" borderId="0" xfId="2" applyFont="1"/>
    <xf numFmtId="9" fontId="6" fillId="0" borderId="0" xfId="0" applyNumberFormat="1" applyFont="1"/>
    <xf numFmtId="0" fontId="6" fillId="0" borderId="7" xfId="0" applyFont="1" applyBorder="1"/>
    <xf numFmtId="4" fontId="6" fillId="0" borderId="8" xfId="0" applyNumberFormat="1" applyFont="1" applyBorder="1"/>
    <xf numFmtId="0" fontId="6" fillId="0" borderId="9" xfId="0" applyFont="1" applyBorder="1"/>
    <xf numFmtId="2" fontId="6" fillId="0" borderId="10" xfId="0" applyNumberFormat="1" applyFont="1" applyBorder="1"/>
    <xf numFmtId="0" fontId="6" fillId="0" borderId="11" xfId="0" applyFont="1" applyBorder="1"/>
    <xf numFmtId="9" fontId="6" fillId="0" borderId="12" xfId="0" applyNumberFormat="1" applyFont="1" applyBorder="1"/>
    <xf numFmtId="0" fontId="8" fillId="0" borderId="7" xfId="0" applyFont="1" applyBorder="1"/>
    <xf numFmtId="0" fontId="3" fillId="0" borderId="8" xfId="0" applyFont="1" applyBorder="1"/>
    <xf numFmtId="0" fontId="3" fillId="0" borderId="9" xfId="0" applyFont="1" applyBorder="1"/>
    <xf numFmtId="9" fontId="3" fillId="0" borderId="10" xfId="0" applyNumberFormat="1" applyFont="1" applyBorder="1"/>
    <xf numFmtId="3" fontId="3" fillId="0" borderId="9" xfId="0" applyNumberFormat="1" applyFont="1" applyBorder="1"/>
    <xf numFmtId="3" fontId="3" fillId="0" borderId="10" xfId="0" applyNumberFormat="1" applyFont="1" applyBorder="1"/>
    <xf numFmtId="4" fontId="6" fillId="0" borderId="10" xfId="0" applyNumberFormat="1" applyFont="1" applyBorder="1"/>
    <xf numFmtId="3" fontId="1" fillId="0" borderId="0" xfId="0" applyNumberFormat="1" applyFont="1" applyAlignment="1">
      <alignment horizontal="right" vertical="center"/>
    </xf>
  </cellXfs>
  <cellStyles count="3">
    <cellStyle name="Currency" xfId="1" builtinId="4"/>
    <cellStyle name="Normal" xfId="0" builtinId="0"/>
    <cellStyle name="Percent" xfId="2" builtinId="5"/>
  </cellStyles>
  <dxfs count="1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ichStyles" Target="richData/richStyle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externalLink" Target="externalLinks/externalLink1.xml"/><Relationship Id="rId15" Type="http://schemas.microsoft.com/office/2017/06/relationships/rdRichValueTypes" Target="richData/rdRichValueTypes.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dSupportingPropertyBag" Target="richData/rdsupportingpropertybag.xml"/></Relationships>
</file>

<file path=xl/drawings/drawing1.xml><?xml version="1.0" encoding="utf-8"?>
<xdr:wsDr xmlns:xdr="http://schemas.openxmlformats.org/drawingml/2006/spreadsheetDrawing" xmlns:a="http://schemas.openxmlformats.org/drawingml/2006/main">
  <xdr:twoCellAnchor>
    <xdr:from>
      <xdr:col>27</xdr:col>
      <xdr:colOff>44450</xdr:colOff>
      <xdr:row>0</xdr:row>
      <xdr:rowOff>95250</xdr:rowOff>
    </xdr:from>
    <xdr:to>
      <xdr:col>27</xdr:col>
      <xdr:colOff>44450</xdr:colOff>
      <xdr:row>112</xdr:row>
      <xdr:rowOff>168275</xdr:rowOff>
    </xdr:to>
    <xdr:cxnSp macro="">
      <xdr:nvCxnSpPr>
        <xdr:cNvPr id="3" name="Straight Connector 2">
          <a:extLst>
            <a:ext uri="{FF2B5EF4-FFF2-40B4-BE49-F238E27FC236}">
              <a16:creationId xmlns:a16="http://schemas.microsoft.com/office/drawing/2014/main" id="{2D1AB558-5BF4-4F4E-B32C-2B4D0B0D042D}"/>
            </a:ext>
          </a:extLst>
        </xdr:cNvPr>
        <xdr:cNvCxnSpPr/>
      </xdr:nvCxnSpPr>
      <xdr:spPr>
        <a:xfrm>
          <a:off x="19161125" y="95250"/>
          <a:ext cx="0" cy="201612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44450</xdr:colOff>
      <xdr:row>0</xdr:row>
      <xdr:rowOff>28575</xdr:rowOff>
    </xdr:from>
    <xdr:to>
      <xdr:col>41</xdr:col>
      <xdr:colOff>82550</xdr:colOff>
      <xdr:row>113</xdr:row>
      <xdr:rowOff>9525</xdr:rowOff>
    </xdr:to>
    <xdr:cxnSp macro="">
      <xdr:nvCxnSpPr>
        <xdr:cNvPr id="4" name="Straight Connector 3">
          <a:extLst>
            <a:ext uri="{FF2B5EF4-FFF2-40B4-BE49-F238E27FC236}">
              <a16:creationId xmlns:a16="http://schemas.microsoft.com/office/drawing/2014/main" id="{F295A6CA-C043-4665-9D61-F2FF38950B16}"/>
            </a:ext>
          </a:extLst>
        </xdr:cNvPr>
        <xdr:cNvCxnSpPr/>
      </xdr:nvCxnSpPr>
      <xdr:spPr>
        <a:xfrm flipH="1">
          <a:off x="24647525" y="28575"/>
          <a:ext cx="38100" cy="202501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William%20S/Documents/Models/!Model%2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Bond Yields"/>
      <sheetName val="All Sectors"/>
    </sheetNames>
    <sheetDataSet>
      <sheetData sheetId="0">
        <row r="3">
          <cell r="C3" t="str">
            <v>Today</v>
          </cell>
        </row>
        <row r="7">
          <cell r="C7">
            <v>2.8799999999999999E-2</v>
          </cell>
        </row>
      </sheetData>
      <sheetData sheetId="1"/>
    </sheetDataSet>
  </externalBook>
</externalLink>
</file>

<file path=xl/persons/person.xml><?xml version="1.0" encoding="utf-8"?>
<personList xmlns="http://schemas.microsoft.com/office/spreadsheetml/2018/threadedcomments" xmlns:x="http://schemas.openxmlformats.org/spreadsheetml/2006/main">
  <person displayName="William Sheldon" id="{C64EE041-162F-41C4-B78C-012B66694E7B}" userId="667679d5bb2810d2" providerId="Windows Live"/>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https://www.bing.com/financeapi/forcetrigger?t=azcrur&amp;q=XNAS%3aDBX&amp;form=skydnc</v>
    <v>Learn more on Bing</v>
  </rv>
  <rv s="1">
    <v>en-US</v>
    <v>azcrur</v>
    <v>268435456</v>
    <v>1</v>
    <v>Powered by Refinitiv</v>
    <v>0</v>
    <v>DROPBOX, INC. (XNAS:DBX)</v>
    <v>2</v>
    <v>3</v>
    <v>Finance</v>
    <v>4</v>
    <v>24.99</v>
    <v>18.710699999999999</v>
    <v>0.84009999999999996</v>
    <v>0.28000000000000003</v>
    <v>-2.5722999999999999E-2</v>
    <v>1.1382000000000001E-2</v>
    <v>-0.64</v>
    <v>USD</v>
    <v>Dropbox, Inc. is a provider of collaboration platforms. The Company offers solutions, which allow individuals, teams, and organizations to collaborate and focus on their work. Its products include Dropbox Passwords, Vault, Computer Backup, Dropbox Sign, DocSend, Dropbox Capture, and FormSwift. Its Dropbox Passwords allows users to sign-in to Websites and applications by creating and storing usernames and passwords across devices. Its Vault helps to secure and organize sensitive information in the cloud. DocSend is a document sharing and analytics platform that gives customers visibility into what happens to their documents after they send them. FormSwift is a cloud-based service that gives individuals and businesses a solution to create, complete, edit, and save critical business forms and agreements. Dropbox Sign is an e-signature and document workflow platform that enables customers to sign, send, and receive documents through its intuitive Web and mobile-based interfaces.</v>
    <v>3118</v>
    <v>Nasdaq Stock Market</v>
    <v>XNAS</v>
    <v>XNAS</v>
    <v>1800 Owens Street, Suite 200, SAN FRANCISCO, CA, 94158 US</v>
    <v>24.89</v>
    <v>Software &amp; IT Services</v>
    <v>Stock</v>
    <v>45090.848161805472</v>
    <v>0</v>
    <v>24.465</v>
    <v>8699724912</v>
    <v>DROPBOX, INC.</v>
    <v>DROPBOX, INC.</v>
    <v>24.6</v>
    <v>16.0975</v>
    <v>24.6</v>
    <v>24.88</v>
    <v>24.24</v>
    <v>349667400</v>
    <v>DBX</v>
    <v>DROPBOX, INC. (XNAS:DBX)</v>
    <v>4674634</v>
    <v>3976032</v>
    <v>2007</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4" formatCode="#,##0.00"/>
    </x:dxf>
    <x:dxf>
      <x:numFmt numFmtId="3" formatCode="#,##0"/>
    </x:dxf>
    <x:dxf>
      <x:numFmt numFmtId="14" formatCode="0.00%"/>
    </x:dxf>
    <x:dxf>
      <x:numFmt numFmtId="27" formatCode="m/d/yyyy\ h:mm"/>
    </x:dxf>
    <x:dxf>
      <x:numFmt numFmtId="1" formatCode="0"/>
    </x:dxf>
    <x:dxf>
      <x:numFmt numFmtId="2" formatCode="0.00"/>
    </x:dxf>
    <x:dxf>
      <x:numFmt numFmtId="0" formatCode="General"/>
    </x:dxf>
  </dxfs>
  <richProperties>
    <rPr n="NumberFormat" t="s"/>
    <rPr n="IsTitleField" t="b"/>
  </richProperties>
  <richStyles>
    <rSty dxfid="6">
      <rpv i="0">_([$$-en-US]* #,##0.00_);_([$$-en-US]* (#,##0.00);_([$$-en-US]* "-"??_);_(@_)</rpv>
    </rSty>
    <rSty dxfid="0">
      <rpv i="0">#,##0.00</rpv>
    </rSty>
    <rSty>
      <rpv i="1">1</rpv>
    </rSty>
    <rSty dxfid="1">
      <rpv i="0">#,##0</rpv>
    </rSty>
    <rSty dxfid="2"/>
    <rSty dxfid="6">
      <rpv i="0">_([$$-en-US]* #,##0_);_([$$-en-US]* (#,##0);_([$$-en-US]* "-"_);_(@_)</rpv>
    </rSty>
    <rSty dxfid="3"/>
    <rSty dxfid="4">
      <rpv i="0">0</rpv>
    </rSty>
    <rSty dxfid="5">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8" dT="2022-07-21T03:47:24.85" personId="{C64EE041-162F-41C4-B78C-012B66694E7B}" id="{079E6B2E-6A7D-454A-8833-B1F30BF8B22A}">
    <text>includes operating lease liabilities and finance lease obligations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BEEC7-F165-455B-9640-9B52681BFB60}">
  <dimension ref="B3:M12"/>
  <sheetViews>
    <sheetView tabSelected="1" workbookViewId="0">
      <selection activeCell="C8" sqref="C8"/>
    </sheetView>
  </sheetViews>
  <sheetFormatPr defaultColWidth="9.1796875" defaultRowHeight="14" x14ac:dyDescent="0.3"/>
  <cols>
    <col min="1" max="1" width="9.1796875" style="1"/>
    <col min="2" max="2" width="11.54296875" style="1" bestFit="1" customWidth="1"/>
    <col min="3" max="3" width="32.1796875" style="1" bestFit="1" customWidth="1"/>
    <col min="4" max="4" width="10.7265625" style="1" bestFit="1" customWidth="1"/>
    <col min="5" max="5" width="9.1796875" style="1"/>
    <col min="6" max="6" width="17.7265625" style="1" bestFit="1" customWidth="1"/>
    <col min="7" max="7" width="12" style="1" bestFit="1" customWidth="1"/>
    <col min="8" max="8" width="9.1796875" style="1"/>
    <col min="9" max="9" width="14" style="1" bestFit="1" customWidth="1"/>
    <col min="10" max="10" width="12" style="1" bestFit="1" customWidth="1"/>
    <col min="11" max="11" width="9.1796875" style="1"/>
    <col min="12" max="12" width="15.453125" style="1" bestFit="1" customWidth="1"/>
    <col min="13" max="16384" width="9.1796875" style="1"/>
  </cols>
  <sheetData>
    <row r="3" spans="2:13" x14ac:dyDescent="0.3">
      <c r="B3" s="8" t="s">
        <v>0</v>
      </c>
      <c r="C3" s="9" t="e" vm="1">
        <v>#VALUE!</v>
      </c>
      <c r="D3" s="10" t="s">
        <v>1</v>
      </c>
      <c r="F3" s="48" t="s">
        <v>142</v>
      </c>
      <c r="G3" s="49"/>
      <c r="I3" s="48" t="s">
        <v>141</v>
      </c>
      <c r="J3" s="49"/>
      <c r="L3" s="42" t="s">
        <v>143</v>
      </c>
      <c r="M3" s="43">
        <f>AVERAGE(G10,J10)</f>
        <v>23.077156755674228</v>
      </c>
    </row>
    <row r="4" spans="2:13" x14ac:dyDescent="0.3">
      <c r="B4" s="11" t="s">
        <v>2</v>
      </c>
      <c r="C4" s="12" cm="1">
        <f t="array" ref="C4">_FV(C3,"Price")</f>
        <v>24.88</v>
      </c>
      <c r="D4" s="13"/>
      <c r="F4" s="50" t="s">
        <v>41</v>
      </c>
      <c r="G4" s="51">
        <v>-0.01</v>
      </c>
      <c r="I4" s="50" t="s">
        <v>41</v>
      </c>
      <c r="J4" s="51">
        <v>-0.01</v>
      </c>
      <c r="L4" s="44" t="s">
        <v>144</v>
      </c>
      <c r="M4" s="45">
        <f>C4</f>
        <v>24.88</v>
      </c>
    </row>
    <row r="5" spans="2:13" x14ac:dyDescent="0.3">
      <c r="B5" s="11" t="s">
        <v>3</v>
      </c>
      <c r="C5" s="14">
        <v>348.8</v>
      </c>
      <c r="D5" s="35" t="s">
        <v>145</v>
      </c>
      <c r="F5" s="50" t="s">
        <v>42</v>
      </c>
      <c r="G5" s="51">
        <f>WACC!C18</f>
        <v>5.1079046445535924E-2</v>
      </c>
      <c r="I5" s="50" t="s">
        <v>42</v>
      </c>
      <c r="J5" s="51">
        <f>WACC!C18</f>
        <v>5.1079046445535924E-2</v>
      </c>
      <c r="L5" s="46" t="s">
        <v>46</v>
      </c>
      <c r="M5" s="47">
        <f>M3/M4-1</f>
        <v>-7.2461545189942633E-2</v>
      </c>
    </row>
    <row r="6" spans="2:13" x14ac:dyDescent="0.3">
      <c r="B6" s="11" t="s">
        <v>4</v>
      </c>
      <c r="C6" s="14">
        <f>C4*C5</f>
        <v>8678.1440000000002</v>
      </c>
      <c r="D6" s="15"/>
      <c r="F6" s="52" t="s">
        <v>43</v>
      </c>
      <c r="G6" s="53">
        <f>NPV(G5,Model!AN23:GT23)</f>
        <v>6563.2694315397102</v>
      </c>
      <c r="I6" s="52" t="s">
        <v>43</v>
      </c>
      <c r="J6" s="53">
        <f>NPV(J5,Model!AN109:GT109)</f>
        <v>11585.955121218631</v>
      </c>
    </row>
    <row r="7" spans="2:13" x14ac:dyDescent="0.3">
      <c r="B7" s="11" t="s">
        <v>5</v>
      </c>
      <c r="C7" s="14">
        <f>332.7+920.4</f>
        <v>1253.0999999999999</v>
      </c>
      <c r="D7" s="35" t="s">
        <v>145</v>
      </c>
      <c r="F7" s="52" t="s">
        <v>65</v>
      </c>
      <c r="G7" s="53">
        <f>C7-C8</f>
        <v>-1025.3000000000002</v>
      </c>
      <c r="I7" s="52" t="s">
        <v>65</v>
      </c>
      <c r="J7" s="53">
        <f>C7-C8</f>
        <v>-1025.3000000000002</v>
      </c>
    </row>
    <row r="8" spans="2:13" x14ac:dyDescent="0.3">
      <c r="B8" s="11" t="s">
        <v>6</v>
      </c>
      <c r="C8" s="14">
        <f>64.8+114.2+569.6+154.8+1375</f>
        <v>2278.4</v>
      </c>
      <c r="D8" s="35" t="s">
        <v>145</v>
      </c>
      <c r="F8" s="50" t="s">
        <v>66</v>
      </c>
      <c r="G8" s="53">
        <f>G6+G7</f>
        <v>5537.9694315397101</v>
      </c>
      <c r="I8" s="50" t="s">
        <v>66</v>
      </c>
      <c r="J8" s="53">
        <f>J6+J7</f>
        <v>10560.655121218631</v>
      </c>
    </row>
    <row r="9" spans="2:13" x14ac:dyDescent="0.3">
      <c r="B9" s="16" t="s">
        <v>7</v>
      </c>
      <c r="C9" s="17">
        <f>C6-C7+C8</f>
        <v>9703.4439999999995</v>
      </c>
      <c r="D9" s="18"/>
      <c r="F9" s="52" t="s">
        <v>3</v>
      </c>
      <c r="G9" s="53">
        <f>C5</f>
        <v>348.8</v>
      </c>
      <c r="I9" s="52" t="s">
        <v>3</v>
      </c>
      <c r="J9" s="53">
        <f>C5</f>
        <v>348.8</v>
      </c>
    </row>
    <row r="10" spans="2:13" x14ac:dyDescent="0.3">
      <c r="F10" s="44" t="s">
        <v>44</v>
      </c>
      <c r="G10" s="54">
        <f>G8/G9</f>
        <v>15.877205939047334</v>
      </c>
      <c r="I10" s="44" t="s">
        <v>44</v>
      </c>
      <c r="J10" s="54">
        <f>J8/J9</f>
        <v>30.277107572301119</v>
      </c>
    </row>
    <row r="11" spans="2:13" x14ac:dyDescent="0.3">
      <c r="C11" s="2"/>
      <c r="F11" s="44" t="s">
        <v>45</v>
      </c>
      <c r="G11" s="54">
        <f>C4</f>
        <v>24.88</v>
      </c>
      <c r="I11" s="44" t="s">
        <v>45</v>
      </c>
      <c r="J11" s="54">
        <f>C4</f>
        <v>24.88</v>
      </c>
    </row>
    <row r="12" spans="2:13" x14ac:dyDescent="0.3">
      <c r="F12" s="46" t="s">
        <v>46</v>
      </c>
      <c r="G12" s="47">
        <f>G10/G11-1</f>
        <v>-0.36184863589038041</v>
      </c>
      <c r="I12" s="46" t="s">
        <v>46</v>
      </c>
      <c r="J12" s="47">
        <f>J10/J11-1</f>
        <v>0.21692554551049525</v>
      </c>
    </row>
  </sheetData>
  <conditionalFormatting sqref="G12">
    <cfRule type="cellIs" dxfId="9" priority="5" operator="lessThan">
      <formula>0</formula>
    </cfRule>
    <cfRule type="cellIs" dxfId="8" priority="6" operator="greaterThan">
      <formula>0</formula>
    </cfRule>
  </conditionalFormatting>
  <conditionalFormatting sqref="J12">
    <cfRule type="cellIs" dxfId="7" priority="3" operator="lessThan">
      <formula>0</formula>
    </cfRule>
    <cfRule type="cellIs" dxfId="6" priority="4" operator="greaterThan">
      <formula>0</formula>
    </cfRule>
  </conditionalFormatting>
  <conditionalFormatting sqref="M5">
    <cfRule type="cellIs" dxfId="5" priority="1" operator="greaterThan">
      <formula>0</formula>
    </cfRule>
    <cfRule type="cellIs" dxfId="4" priority="2" operator="lessThan">
      <formula>0</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AE981-1862-4964-B989-D375D556BE8A}">
  <dimension ref="A1:GT111"/>
  <sheetViews>
    <sheetView workbookViewId="0">
      <pane xSplit="2" ySplit="2" topLeftCell="AI12" activePane="bottomRight" state="frozen"/>
      <selection pane="topRight" activeCell="C1" sqref="C1"/>
      <selection pane="bottomLeft" activeCell="A3" sqref="A3"/>
      <selection pane="bottomRight" activeCell="AY31" sqref="AY31"/>
    </sheetView>
  </sheetViews>
  <sheetFormatPr defaultColWidth="9.1796875" defaultRowHeight="14" x14ac:dyDescent="0.3"/>
  <cols>
    <col min="1" max="1" width="4.1796875" style="1" customWidth="1"/>
    <col min="2" max="2" width="51.26953125" style="1" bestFit="1" customWidth="1"/>
    <col min="3" max="24" width="8.7265625" style="2" customWidth="1"/>
    <col min="25" max="49" width="8.7265625" style="1" customWidth="1"/>
    <col min="50" max="50" width="14" style="1" bestFit="1" customWidth="1"/>
    <col min="51" max="52" width="8.7265625" style="1" customWidth="1"/>
    <col min="53" max="53" width="14" style="1" bestFit="1" customWidth="1"/>
    <col min="54" max="54" width="12" style="1" bestFit="1" customWidth="1"/>
    <col min="55" max="202" width="8.7265625" style="1" customWidth="1"/>
    <col min="203" max="16384" width="9.1796875" style="1"/>
  </cols>
  <sheetData>
    <row r="1" spans="2:46" x14ac:dyDescent="0.3">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row>
    <row r="2" spans="2:46" x14ac:dyDescent="0.3">
      <c r="C2" s="19" t="s">
        <v>15</v>
      </c>
      <c r="D2" s="19" t="s">
        <v>16</v>
      </c>
      <c r="E2" s="19" t="s">
        <v>17</v>
      </c>
      <c r="F2" s="19" t="s">
        <v>18</v>
      </c>
      <c r="G2" s="19" t="s">
        <v>19</v>
      </c>
      <c r="H2" s="19" t="s">
        <v>20</v>
      </c>
      <c r="I2" s="19" t="s">
        <v>21</v>
      </c>
      <c r="J2" s="19" t="s">
        <v>22</v>
      </c>
      <c r="K2" s="19" t="s">
        <v>23</v>
      </c>
      <c r="L2" s="19" t="s">
        <v>24</v>
      </c>
      <c r="M2" s="19" t="s">
        <v>25</v>
      </c>
      <c r="N2" s="19" t="s">
        <v>26</v>
      </c>
      <c r="O2" s="19" t="s">
        <v>27</v>
      </c>
      <c r="P2" s="19" t="s">
        <v>28</v>
      </c>
      <c r="Q2" s="19" t="s">
        <v>29</v>
      </c>
      <c r="R2" s="19" t="s">
        <v>30</v>
      </c>
      <c r="S2" s="19" t="s">
        <v>67</v>
      </c>
      <c r="T2" s="19" t="s">
        <v>68</v>
      </c>
      <c r="U2" s="19" t="s">
        <v>69</v>
      </c>
      <c r="V2" s="19" t="s">
        <v>70</v>
      </c>
      <c r="W2" s="19" t="s">
        <v>71</v>
      </c>
      <c r="X2" s="19" t="s">
        <v>72</v>
      </c>
      <c r="Y2" s="19" t="s">
        <v>73</v>
      </c>
      <c r="Z2" s="19" t="s">
        <v>74</v>
      </c>
      <c r="AA2" s="19" t="s">
        <v>145</v>
      </c>
      <c r="AB2" s="19" t="s">
        <v>146</v>
      </c>
      <c r="AC2" s="19" t="s">
        <v>147</v>
      </c>
      <c r="AD2" s="19" t="s">
        <v>148</v>
      </c>
      <c r="AE2" s="19"/>
      <c r="AF2" s="19"/>
      <c r="AG2" s="19"/>
      <c r="AH2" s="19"/>
      <c r="AI2" s="19"/>
      <c r="AJ2" s="19">
        <v>2017</v>
      </c>
      <c r="AK2" s="19">
        <v>2018</v>
      </c>
      <c r="AL2" s="19">
        <v>2019</v>
      </c>
      <c r="AM2" s="19">
        <v>2020</v>
      </c>
      <c r="AN2" s="19">
        <v>2021</v>
      </c>
      <c r="AO2" s="19">
        <v>2022</v>
      </c>
      <c r="AP2" s="19">
        <v>2023</v>
      </c>
      <c r="AQ2" s="19">
        <v>2024</v>
      </c>
      <c r="AR2" s="19">
        <v>2025</v>
      </c>
      <c r="AS2" s="19">
        <v>2026</v>
      </c>
      <c r="AT2" s="19">
        <v>2027</v>
      </c>
    </row>
    <row r="3" spans="2:46" s="22" customFormat="1" x14ac:dyDescent="0.3">
      <c r="B3" s="22" t="s">
        <v>60</v>
      </c>
      <c r="C3" s="22">
        <v>9.3000000000000007</v>
      </c>
      <c r="D3" s="22">
        <v>9.9</v>
      </c>
      <c r="E3" s="22">
        <v>10.4</v>
      </c>
      <c r="F3" s="22">
        <v>11</v>
      </c>
      <c r="G3" s="22">
        <v>11.5</v>
      </c>
      <c r="H3" s="22">
        <v>11.9</v>
      </c>
      <c r="I3" s="22">
        <v>12.3</v>
      </c>
      <c r="J3" s="22">
        <v>12.7</v>
      </c>
      <c r="K3" s="22">
        <v>13.2</v>
      </c>
      <c r="L3" s="22">
        <v>13.6</v>
      </c>
      <c r="M3" s="22">
        <v>14</v>
      </c>
      <c r="N3" s="22">
        <v>14.3</v>
      </c>
      <c r="O3" s="22">
        <v>14.6</v>
      </c>
      <c r="P3" s="22">
        <v>14.96</v>
      </c>
      <c r="Q3" s="22">
        <v>15.25</v>
      </c>
      <c r="R3" s="22">
        <v>15.48</v>
      </c>
      <c r="S3" s="22">
        <v>15.83</v>
      </c>
      <c r="T3" s="22">
        <v>16.14</v>
      </c>
      <c r="U3" s="22">
        <v>16.489999999999998</v>
      </c>
      <c r="V3" s="22">
        <v>16.79</v>
      </c>
      <c r="W3" s="22">
        <v>17.09</v>
      </c>
      <c r="X3" s="22">
        <v>17.37</v>
      </c>
      <c r="Y3" s="22">
        <v>17.55</v>
      </c>
      <c r="Z3" s="22">
        <v>17.77</v>
      </c>
      <c r="AA3" s="22">
        <v>17.899999999999999</v>
      </c>
      <c r="AB3" s="22">
        <f>X3*1.05</f>
        <v>18.238500000000002</v>
      </c>
      <c r="AC3" s="22">
        <f t="shared" ref="AC3:AD3" si="0">Y3*1.05</f>
        <v>18.427500000000002</v>
      </c>
      <c r="AD3" s="22">
        <f t="shared" si="0"/>
        <v>18.6585</v>
      </c>
      <c r="AJ3" s="22">
        <f>F3</f>
        <v>11</v>
      </c>
      <c r="AK3" s="22">
        <f>J3</f>
        <v>12.7</v>
      </c>
      <c r="AL3" s="22">
        <f>N3</f>
        <v>14.3</v>
      </c>
      <c r="AM3" s="22">
        <f>R3</f>
        <v>15.48</v>
      </c>
      <c r="AN3" s="22">
        <f>V3</f>
        <v>16.79</v>
      </c>
      <c r="AO3" s="22">
        <f>Z3</f>
        <v>17.77</v>
      </c>
      <c r="AP3" s="22">
        <f>AD3</f>
        <v>18.6585</v>
      </c>
      <c r="AQ3" s="22">
        <f>AP3*1.05</f>
        <v>19.591425000000001</v>
      </c>
      <c r="AR3" s="22">
        <f t="shared" ref="AR3:AT3" si="1">AQ3*1.05</f>
        <v>20.57099625</v>
      </c>
      <c r="AS3" s="22">
        <f t="shared" si="1"/>
        <v>21.5995460625</v>
      </c>
      <c r="AT3" s="22">
        <f t="shared" si="1"/>
        <v>22.679523365625002</v>
      </c>
    </row>
    <row r="4" spans="2:46" s="28" customFormat="1" ht="14.5" x14ac:dyDescent="0.35">
      <c r="B4" s="28" t="s">
        <v>59</v>
      </c>
      <c r="G4" s="29">
        <f t="shared" ref="G4:W4" si="2">G3/C3-1</f>
        <v>0.23655913978494625</v>
      </c>
      <c r="H4" s="29">
        <f t="shared" si="2"/>
        <v>0.20202020202020199</v>
      </c>
      <c r="I4" s="29">
        <f t="shared" si="2"/>
        <v>0.18269230769230771</v>
      </c>
      <c r="J4" s="29">
        <f t="shared" si="2"/>
        <v>0.15454545454545454</v>
      </c>
      <c r="K4" s="29">
        <f t="shared" si="2"/>
        <v>0.14782608695652177</v>
      </c>
      <c r="L4" s="29">
        <f t="shared" si="2"/>
        <v>0.14285714285714279</v>
      </c>
      <c r="M4" s="29">
        <f t="shared" si="2"/>
        <v>0.13821138211382111</v>
      </c>
      <c r="N4" s="29">
        <f t="shared" si="2"/>
        <v>0.12598425196850416</v>
      </c>
      <c r="O4" s="29">
        <f t="shared" si="2"/>
        <v>0.10606060606060619</v>
      </c>
      <c r="P4" s="29">
        <f t="shared" si="2"/>
        <v>0.10000000000000009</v>
      </c>
      <c r="Q4" s="29">
        <f t="shared" si="2"/>
        <v>8.9285714285714191E-2</v>
      </c>
      <c r="R4" s="29">
        <f t="shared" si="2"/>
        <v>8.2517482517482588E-2</v>
      </c>
      <c r="S4" s="29">
        <f t="shared" si="2"/>
        <v>8.4246575342465713E-2</v>
      </c>
      <c r="T4" s="29">
        <f t="shared" si="2"/>
        <v>7.8877005347593565E-2</v>
      </c>
      <c r="U4" s="29">
        <f t="shared" si="2"/>
        <v>8.1311475409835854E-2</v>
      </c>
      <c r="V4" s="29">
        <f t="shared" si="2"/>
        <v>8.4625322997415875E-2</v>
      </c>
      <c r="W4" s="29">
        <f t="shared" si="2"/>
        <v>7.9595704358812469E-2</v>
      </c>
      <c r="X4" s="29">
        <f>X3/T3-1</f>
        <v>7.6208178438661678E-2</v>
      </c>
      <c r="Y4" s="29">
        <f t="shared" ref="Y4:AA4" si="3">Y3/U3-1</f>
        <v>6.4281382656155461E-2</v>
      </c>
      <c r="Z4" s="29">
        <f t="shared" si="3"/>
        <v>5.8368076235854716E-2</v>
      </c>
      <c r="AA4" s="29">
        <f t="shared" si="3"/>
        <v>4.739613809245169E-2</v>
      </c>
      <c r="AB4" s="29">
        <f t="shared" ref="AB4:AB5" si="4">AB3/X3-1</f>
        <v>5.0000000000000044E-2</v>
      </c>
      <c r="AC4" s="29">
        <f t="shared" ref="AC4:AC5" si="5">AC3/Y3-1</f>
        <v>5.0000000000000044E-2</v>
      </c>
      <c r="AD4" s="29">
        <f t="shared" ref="AD4:AD5" si="6">AD3/Z3-1</f>
        <v>5.0000000000000044E-2</v>
      </c>
      <c r="AK4" s="29">
        <f t="shared" ref="AK4:AT4" si="7">AK3/AJ3-1</f>
        <v>0.15454545454545454</v>
      </c>
      <c r="AL4" s="29">
        <f t="shared" si="7"/>
        <v>0.12598425196850416</v>
      </c>
      <c r="AM4" s="29">
        <f t="shared" si="7"/>
        <v>8.2517482517482588E-2</v>
      </c>
      <c r="AN4" s="29">
        <f t="shared" si="7"/>
        <v>8.4625322997415875E-2</v>
      </c>
      <c r="AO4" s="29">
        <f t="shared" si="7"/>
        <v>5.8368076235854716E-2</v>
      </c>
      <c r="AP4" s="29">
        <f t="shared" si="7"/>
        <v>5.0000000000000044E-2</v>
      </c>
      <c r="AQ4" s="29">
        <f t="shared" si="7"/>
        <v>5.0000000000000044E-2</v>
      </c>
      <c r="AR4" s="29">
        <f t="shared" si="7"/>
        <v>5.0000000000000044E-2</v>
      </c>
      <c r="AS4" s="29">
        <f t="shared" si="7"/>
        <v>5.0000000000000044E-2</v>
      </c>
      <c r="AT4" s="29">
        <f t="shared" si="7"/>
        <v>5.0000000000000044E-2</v>
      </c>
    </row>
    <row r="5" spans="2:46" s="28" customFormat="1" ht="14.5" x14ac:dyDescent="0.35">
      <c r="B5" s="28" t="s">
        <v>62</v>
      </c>
      <c r="D5" s="29">
        <f t="shared" ref="D5:W5" si="8">D3/C3-1</f>
        <v>6.4516129032258007E-2</v>
      </c>
      <c r="E5" s="29">
        <f t="shared" si="8"/>
        <v>5.0505050505050608E-2</v>
      </c>
      <c r="F5" s="29">
        <f t="shared" si="8"/>
        <v>5.7692307692307709E-2</v>
      </c>
      <c r="G5" s="29">
        <f t="shared" si="8"/>
        <v>4.5454545454545414E-2</v>
      </c>
      <c r="H5" s="29">
        <f t="shared" si="8"/>
        <v>3.4782608695652195E-2</v>
      </c>
      <c r="I5" s="29">
        <f t="shared" si="8"/>
        <v>3.3613445378151363E-2</v>
      </c>
      <c r="J5" s="29">
        <f t="shared" si="8"/>
        <v>3.2520325203251987E-2</v>
      </c>
      <c r="K5" s="29">
        <f t="shared" si="8"/>
        <v>3.937007874015741E-2</v>
      </c>
      <c r="L5" s="29">
        <f t="shared" si="8"/>
        <v>3.0303030303030276E-2</v>
      </c>
      <c r="M5" s="29">
        <f t="shared" si="8"/>
        <v>2.941176470588247E-2</v>
      </c>
      <c r="N5" s="29">
        <f t="shared" si="8"/>
        <v>2.1428571428571574E-2</v>
      </c>
      <c r="O5" s="29">
        <f t="shared" si="8"/>
        <v>2.0979020979020824E-2</v>
      </c>
      <c r="P5" s="29">
        <f t="shared" si="8"/>
        <v>2.4657534246575352E-2</v>
      </c>
      <c r="Q5" s="29">
        <f t="shared" si="8"/>
        <v>1.9385026737967825E-2</v>
      </c>
      <c r="R5" s="29">
        <f t="shared" si="8"/>
        <v>1.5081967213114833E-2</v>
      </c>
      <c r="S5" s="29">
        <f t="shared" si="8"/>
        <v>2.2609819121446995E-2</v>
      </c>
      <c r="T5" s="29">
        <f t="shared" si="8"/>
        <v>1.9583070120025248E-2</v>
      </c>
      <c r="U5" s="29">
        <f t="shared" si="8"/>
        <v>2.1685254027261402E-2</v>
      </c>
      <c r="V5" s="29">
        <f t="shared" si="8"/>
        <v>1.8192844147968401E-2</v>
      </c>
      <c r="W5" s="29">
        <f t="shared" si="8"/>
        <v>1.7867778439547344E-2</v>
      </c>
      <c r="X5" s="29">
        <f>X3/W3-1</f>
        <v>1.6383850204798156E-2</v>
      </c>
      <c r="Y5" s="29">
        <f t="shared" ref="Y5:AA5" si="9">Y3/X3-1</f>
        <v>1.0362694300518172E-2</v>
      </c>
      <c r="Z5" s="29">
        <f t="shared" si="9"/>
        <v>1.2535612535612417E-2</v>
      </c>
      <c r="AA5" s="29">
        <f>AA4/W4-1</f>
        <v>-0.40453899523531001</v>
      </c>
      <c r="AB5" s="29">
        <f>AB4/X4-1</f>
        <v>-0.34390243902438944</v>
      </c>
      <c r="AC5" s="29">
        <f t="shared" si="5"/>
        <v>-0.22216981132075664</v>
      </c>
      <c r="AD5" s="29">
        <f t="shared" si="6"/>
        <v>-0.14336734693877529</v>
      </c>
    </row>
    <row r="6" spans="2:46" x14ac:dyDescent="0.3">
      <c r="C6" s="1"/>
      <c r="D6" s="1"/>
      <c r="E6" s="1"/>
      <c r="F6" s="1"/>
      <c r="G6" s="1"/>
      <c r="H6" s="1"/>
      <c r="I6" s="1"/>
      <c r="J6" s="1"/>
      <c r="K6" s="1"/>
      <c r="L6" s="1"/>
      <c r="M6" s="1"/>
      <c r="N6" s="1"/>
      <c r="O6" s="1"/>
      <c r="P6" s="1"/>
      <c r="Q6" s="1"/>
      <c r="R6" s="1"/>
      <c r="S6" s="1"/>
      <c r="T6" s="1"/>
      <c r="U6" s="1"/>
      <c r="V6" s="1"/>
      <c r="W6" s="1"/>
      <c r="X6" s="1"/>
    </row>
    <row r="7" spans="2:46" s="22" customFormat="1" x14ac:dyDescent="0.3">
      <c r="B7" s="22" t="s">
        <v>61</v>
      </c>
      <c r="C7" s="22">
        <f t="shared" ref="C7:W7" si="10">(C11/C3)*4</f>
        <v>106.6236559139785</v>
      </c>
      <c r="D7" s="22">
        <f t="shared" si="10"/>
        <v>107.75757575757575</v>
      </c>
      <c r="E7" s="22">
        <f t="shared" si="10"/>
        <v>110.26923076923076</v>
      </c>
      <c r="F7" s="22">
        <f t="shared" si="10"/>
        <v>111.09090909090909</v>
      </c>
      <c r="G7" s="22">
        <f t="shared" si="10"/>
        <v>110.01739130434783</v>
      </c>
      <c r="H7" s="22">
        <f t="shared" si="10"/>
        <v>114.01680672268907</v>
      </c>
      <c r="I7" s="22">
        <f t="shared" si="10"/>
        <v>117.17073170731707</v>
      </c>
      <c r="J7" s="22">
        <f t="shared" si="10"/>
        <v>118.39370078740157</v>
      </c>
      <c r="K7" s="22">
        <f t="shared" si="10"/>
        <v>116.84848484848486</v>
      </c>
      <c r="L7" s="22">
        <f t="shared" si="10"/>
        <v>118.08823529411765</v>
      </c>
      <c r="M7" s="22">
        <f t="shared" si="10"/>
        <v>122.34285714285714</v>
      </c>
      <c r="N7" s="22">
        <f t="shared" si="10"/>
        <v>124.75524475524475</v>
      </c>
      <c r="O7" s="22">
        <f t="shared" si="10"/>
        <v>124.65753424657535</v>
      </c>
      <c r="P7" s="22">
        <f t="shared" si="10"/>
        <v>124.97326203208554</v>
      </c>
      <c r="Q7" s="22">
        <f t="shared" si="10"/>
        <v>127.84262295081966</v>
      </c>
      <c r="R7" s="22">
        <f t="shared" si="10"/>
        <v>130.25839793281654</v>
      </c>
      <c r="S7" s="22">
        <f t="shared" si="10"/>
        <v>129.273531269741</v>
      </c>
      <c r="T7" s="22">
        <f t="shared" si="10"/>
        <v>131.4993804213135</v>
      </c>
      <c r="U7" s="22">
        <f t="shared" si="10"/>
        <v>133.4627046694967</v>
      </c>
      <c r="V7" s="22">
        <f t="shared" si="10"/>
        <v>134.72304943418703</v>
      </c>
      <c r="W7" s="22">
        <f t="shared" si="10"/>
        <v>131.63253364540665</v>
      </c>
      <c r="X7" s="22">
        <f>(X11/X3)*4</f>
        <v>131.8825561312608</v>
      </c>
      <c r="Y7" s="22">
        <f t="shared" ref="Y7:Z7" si="11">(Y11/Y3)*4</f>
        <v>134.70085470085471</v>
      </c>
      <c r="Z7" s="22">
        <f t="shared" si="11"/>
        <v>134.78897017445132</v>
      </c>
      <c r="AA7" s="22">
        <f>(AA11/AA3)*4</f>
        <v>136.55865921787711</v>
      </c>
      <c r="AB7" s="22">
        <f>(AB11/AB3)*4</f>
        <v>131.8825561312608</v>
      </c>
      <c r="AC7" s="22">
        <f t="shared" ref="AB7:AD7" si="12">(AC11/AC3)*4</f>
        <v>134.70085470085471</v>
      </c>
      <c r="AD7" s="22">
        <f t="shared" si="12"/>
        <v>134.78897017445132</v>
      </c>
      <c r="AJ7" s="22">
        <f>F7</f>
        <v>111.09090909090909</v>
      </c>
      <c r="AK7" s="22">
        <f>J7</f>
        <v>118.39370078740157</v>
      </c>
      <c r="AL7" s="22">
        <f>N7</f>
        <v>124.75524475524475</v>
      </c>
      <c r="AM7" s="22">
        <f>R7</f>
        <v>130.25839793281654</v>
      </c>
      <c r="AN7" s="22">
        <f>V7</f>
        <v>134.72304943418703</v>
      </c>
      <c r="AO7" s="22">
        <f>Z7</f>
        <v>134.78897017445132</v>
      </c>
      <c r="AP7" s="22">
        <f>AD7</f>
        <v>134.78897017445132</v>
      </c>
      <c r="AQ7" s="22">
        <f t="shared" ref="AP7:AT7" si="13">AP7*1.03</f>
        <v>138.83263927968486</v>
      </c>
      <c r="AR7" s="22">
        <f t="shared" si="13"/>
        <v>142.99761845807541</v>
      </c>
      <c r="AS7" s="22">
        <f t="shared" si="13"/>
        <v>147.28754701181768</v>
      </c>
      <c r="AT7" s="22">
        <f t="shared" si="13"/>
        <v>151.70617342217221</v>
      </c>
    </row>
    <row r="8" spans="2:46" s="30" customFormat="1" ht="14.5" x14ac:dyDescent="0.35">
      <c r="B8" s="28" t="s">
        <v>76</v>
      </c>
      <c r="G8" s="29">
        <f t="shared" ref="G8:W8" si="14">G7/C7-1</f>
        <v>3.1829103600680586E-2</v>
      </c>
      <c r="H8" s="29">
        <f t="shared" si="14"/>
        <v>5.8086226616630876E-2</v>
      </c>
      <c r="I8" s="29">
        <f t="shared" si="14"/>
        <v>6.2587730865100832E-2</v>
      </c>
      <c r="J8" s="29">
        <f t="shared" si="14"/>
        <v>6.5737077464334881E-2</v>
      </c>
      <c r="K8" s="29">
        <f t="shared" si="14"/>
        <v>6.2091033637034387E-2</v>
      </c>
      <c r="L8" s="29">
        <f t="shared" si="14"/>
        <v>3.5709021226415283E-2</v>
      </c>
      <c r="M8" s="29">
        <f t="shared" si="14"/>
        <v>4.4141786606399336E-2</v>
      </c>
      <c r="N8" s="29">
        <f t="shared" si="14"/>
        <v>5.3732115184629059E-2</v>
      </c>
      <c r="O8" s="29">
        <f t="shared" si="14"/>
        <v>6.6830557608139607E-2</v>
      </c>
      <c r="P8" s="29">
        <f t="shared" si="14"/>
        <v>5.8304086946677103E-2</v>
      </c>
      <c r="Q8" s="29">
        <f t="shared" si="14"/>
        <v>4.4953713983813204E-2</v>
      </c>
      <c r="R8" s="29">
        <f t="shared" si="14"/>
        <v>4.4111597779863621E-2</v>
      </c>
      <c r="S8" s="29">
        <f t="shared" si="14"/>
        <v>3.7029426669350718E-2</v>
      </c>
      <c r="T8" s="29">
        <f t="shared" si="14"/>
        <v>5.2220117192367521E-2</v>
      </c>
      <c r="U8" s="29">
        <f t="shared" si="14"/>
        <v>4.396093876170748E-2</v>
      </c>
      <c r="V8" s="29">
        <f t="shared" si="14"/>
        <v>3.4275344793302631E-2</v>
      </c>
      <c r="W8" s="29">
        <f t="shared" si="14"/>
        <v>1.8248146797687381E-2</v>
      </c>
      <c r="X8" s="29">
        <f>X7/T7-1</f>
        <v>2.9138974550271257E-3</v>
      </c>
      <c r="Y8" s="29">
        <f t="shared" ref="Y8:Z8" si="15">Y7/U7-1</f>
        <v>9.2771237809403662E-3</v>
      </c>
      <c r="Z8" s="29">
        <f t="shared" si="15"/>
        <v>4.8930558312876293E-4</v>
      </c>
      <c r="AA8" s="29">
        <f t="shared" ref="AA8" si="16">AA7/W7-1</f>
        <v>3.7423313492852106E-2</v>
      </c>
      <c r="AB8" s="29">
        <f t="shared" ref="AB8" si="17">AB7/X7-1</f>
        <v>0</v>
      </c>
      <c r="AC8" s="29">
        <f t="shared" ref="AC8" si="18">AC7/Y7-1</f>
        <v>0</v>
      </c>
      <c r="AD8" s="29">
        <f t="shared" ref="AD8" si="19">AD7/Z7-1</f>
        <v>0</v>
      </c>
      <c r="AK8" s="29"/>
      <c r="AL8" s="29">
        <f t="shared" ref="AL8:AT8" si="20">AL7/AK7-1</f>
        <v>5.3732115184629059E-2</v>
      </c>
      <c r="AM8" s="29">
        <f t="shared" si="20"/>
        <v>4.4111597779863621E-2</v>
      </c>
      <c r="AN8" s="29">
        <f t="shared" si="20"/>
        <v>3.4275344793302631E-2</v>
      </c>
      <c r="AO8" s="29">
        <f t="shared" si="20"/>
        <v>4.8930558312876293E-4</v>
      </c>
      <c r="AP8" s="29">
        <f t="shared" si="20"/>
        <v>0</v>
      </c>
      <c r="AQ8" s="29">
        <f t="shared" si="20"/>
        <v>3.0000000000000027E-2</v>
      </c>
      <c r="AR8" s="29">
        <f t="shared" si="20"/>
        <v>3.0000000000000027E-2</v>
      </c>
      <c r="AS8" s="29">
        <f t="shared" si="20"/>
        <v>3.0000000000000027E-2</v>
      </c>
      <c r="AT8" s="29">
        <f t="shared" si="20"/>
        <v>3.0000000000000027E-2</v>
      </c>
    </row>
    <row r="9" spans="2:46" s="30" customFormat="1" ht="14.5" x14ac:dyDescent="0.35">
      <c r="B9" s="28" t="s">
        <v>63</v>
      </c>
      <c r="D9" s="29">
        <f t="shared" ref="D9:W9" si="21">D7/C7-1</f>
        <v>1.0634786754189607E-2</v>
      </c>
      <c r="E9" s="29">
        <f t="shared" si="21"/>
        <v>2.3308384528856863E-2</v>
      </c>
      <c r="F9" s="29">
        <f t="shared" si="21"/>
        <v>7.4515648286141989E-3</v>
      </c>
      <c r="G9" s="29">
        <f t="shared" si="21"/>
        <v>-9.6634170639721129E-3</v>
      </c>
      <c r="H9" s="29">
        <f t="shared" si="21"/>
        <v>3.6352574542305005E-2</v>
      </c>
      <c r="I9" s="29">
        <f t="shared" si="21"/>
        <v>2.7661930510814559E-2</v>
      </c>
      <c r="J9" s="29">
        <f t="shared" si="21"/>
        <v>1.0437496312128314E-2</v>
      </c>
      <c r="K9" s="29">
        <f t="shared" si="21"/>
        <v>-1.305150467161631E-2</v>
      </c>
      <c r="L9" s="29">
        <f t="shared" si="21"/>
        <v>1.0609897485965192E-2</v>
      </c>
      <c r="M9" s="29">
        <f t="shared" si="21"/>
        <v>3.6029176303148835E-2</v>
      </c>
      <c r="N9" s="29">
        <f t="shared" si="21"/>
        <v>1.971825465519994E-2</v>
      </c>
      <c r="O9" s="29">
        <f t="shared" si="21"/>
        <v>-7.8321764236122249E-4</v>
      </c>
      <c r="P9" s="29">
        <f t="shared" si="21"/>
        <v>2.5327613562904361E-3</v>
      </c>
      <c r="Q9" s="29">
        <f t="shared" si="21"/>
        <v>2.2959798536725806E-2</v>
      </c>
      <c r="R9" s="29">
        <f t="shared" si="21"/>
        <v>1.8896475418266556E-2</v>
      </c>
      <c r="S9" s="29">
        <f t="shared" si="21"/>
        <v>-7.5608688476538344E-3</v>
      </c>
      <c r="T9" s="29">
        <f t="shared" si="21"/>
        <v>1.7218135295832937E-2</v>
      </c>
      <c r="U9" s="29">
        <f t="shared" si="21"/>
        <v>1.4930292765584552E-2</v>
      </c>
      <c r="V9" s="29">
        <f t="shared" si="21"/>
        <v>9.4434229233657518E-3</v>
      </c>
      <c r="W9" s="29">
        <f t="shared" si="21"/>
        <v>-2.2939770156331862E-2</v>
      </c>
      <c r="X9" s="29">
        <f>X7/W7-1</f>
        <v>1.8993973520835539E-3</v>
      </c>
      <c r="Y9" s="29">
        <f t="shared" ref="Y9:Z9" si="22">Y7/X7-1</f>
        <v>2.1369759976360259E-2</v>
      </c>
      <c r="Z9" s="29">
        <f t="shared" si="22"/>
        <v>6.5415675195468204E-4</v>
      </c>
      <c r="AA9" s="29">
        <f t="shared" ref="AA9" si="23">AA7/Z7-1</f>
        <v>1.3129331288274981E-2</v>
      </c>
      <c r="AB9" s="29">
        <f t="shared" ref="AB9" si="24">AB7/AA7-1</f>
        <v>-3.4242450192452867E-2</v>
      </c>
      <c r="AC9" s="29">
        <f t="shared" ref="AC9" si="25">AC7/AB7-1</f>
        <v>2.1369759976360259E-2</v>
      </c>
      <c r="AD9" s="29">
        <f t="shared" ref="AD9" si="26">AD7/AC7-1</f>
        <v>6.5415675195468204E-4</v>
      </c>
    </row>
    <row r="10" spans="2:46" s="30" customFormat="1" ht="14.5" x14ac:dyDescent="0.35">
      <c r="B10" s="28"/>
      <c r="D10" s="29"/>
      <c r="E10" s="29"/>
      <c r="F10" s="29"/>
      <c r="G10" s="29"/>
      <c r="H10" s="29"/>
      <c r="I10" s="29"/>
      <c r="J10" s="29"/>
      <c r="K10" s="29"/>
      <c r="L10" s="29"/>
      <c r="M10" s="29"/>
      <c r="N10" s="29"/>
      <c r="O10" s="29"/>
      <c r="P10" s="29"/>
      <c r="Q10" s="29"/>
      <c r="R10" s="29"/>
      <c r="S10" s="29"/>
      <c r="T10" s="29"/>
      <c r="U10" s="29"/>
      <c r="V10" s="29"/>
      <c r="W10" s="29"/>
      <c r="X10" s="29"/>
      <c r="Y10" s="29"/>
      <c r="Z10" s="29"/>
    </row>
    <row r="11" spans="2:46" s="3" customFormat="1" x14ac:dyDescent="0.3">
      <c r="B11" s="3" t="s">
        <v>8</v>
      </c>
      <c r="C11" s="20">
        <v>247.9</v>
      </c>
      <c r="D11" s="20">
        <v>266.7</v>
      </c>
      <c r="E11" s="20">
        <v>286.7</v>
      </c>
      <c r="F11" s="20">
        <v>305.5</v>
      </c>
      <c r="G11" s="20">
        <v>316.3</v>
      </c>
      <c r="H11" s="20">
        <v>339.2</v>
      </c>
      <c r="I11" s="20">
        <v>360.3</v>
      </c>
      <c r="J11" s="20">
        <v>375.9</v>
      </c>
      <c r="K11" s="20">
        <v>385.6</v>
      </c>
      <c r="L11" s="20">
        <v>401.5</v>
      </c>
      <c r="M11" s="20">
        <v>428.2</v>
      </c>
      <c r="N11" s="20">
        <v>446</v>
      </c>
      <c r="O11" s="20">
        <v>455</v>
      </c>
      <c r="P11" s="20">
        <v>467.4</v>
      </c>
      <c r="Q11" s="20">
        <v>487.4</v>
      </c>
      <c r="R11" s="20">
        <v>504.1</v>
      </c>
      <c r="S11" s="20">
        <v>511.6</v>
      </c>
      <c r="T11" s="20">
        <v>530.6</v>
      </c>
      <c r="U11" s="20">
        <v>550.20000000000005</v>
      </c>
      <c r="V11" s="20">
        <v>565.5</v>
      </c>
      <c r="W11" s="20">
        <v>562.4</v>
      </c>
      <c r="X11" s="20">
        <v>572.70000000000005</v>
      </c>
      <c r="Y11" s="20">
        <v>591</v>
      </c>
      <c r="Z11" s="20">
        <v>598.79999999999995</v>
      </c>
      <c r="AA11" s="20">
        <v>611.1</v>
      </c>
      <c r="AB11" s="20">
        <f>X11*1.05</f>
        <v>601.33500000000004</v>
      </c>
      <c r="AC11" s="20">
        <f t="shared" ref="AC11:AD11" si="27">Y11*1.05</f>
        <v>620.55000000000007</v>
      </c>
      <c r="AD11" s="20">
        <f t="shared" si="27"/>
        <v>628.74</v>
      </c>
      <c r="AE11" s="20"/>
      <c r="AF11" s="20"/>
      <c r="AG11" s="20"/>
      <c r="AH11" s="20"/>
      <c r="AI11" s="20"/>
      <c r="AJ11" s="20">
        <f>SUM(C11:F11)</f>
        <v>1106.8</v>
      </c>
      <c r="AK11" s="20">
        <f>SUM(G11:J11)</f>
        <v>1391.6999999999998</v>
      </c>
      <c r="AL11" s="20">
        <f>SUM(K11:N11)</f>
        <v>1661.3</v>
      </c>
      <c r="AM11" s="20">
        <f>SUM(O11:R11)</f>
        <v>1913.9</v>
      </c>
      <c r="AN11" s="20">
        <f>SUM(S11:V11)</f>
        <v>2157.9</v>
      </c>
      <c r="AO11" s="20">
        <f>SUM(W11:Z11)</f>
        <v>2324.8999999999996</v>
      </c>
      <c r="AP11" s="20">
        <f>(AP3*AP7)</f>
        <v>2514.96</v>
      </c>
      <c r="AQ11" s="20">
        <f>(AQ3*AQ7)</f>
        <v>2719.9292399999999</v>
      </c>
      <c r="AR11" s="20">
        <f t="shared" ref="AQ11:AT11" si="28">(AR3*AR7)</f>
        <v>2941.6034730599999</v>
      </c>
      <c r="AS11" s="20">
        <f t="shared" si="28"/>
        <v>3181.34415611439</v>
      </c>
      <c r="AT11" s="20">
        <f t="shared" si="28"/>
        <v>3440.6237048377134</v>
      </c>
    </row>
    <row r="12" spans="2:46" x14ac:dyDescent="0.3">
      <c r="B12" s="1" t="s">
        <v>9</v>
      </c>
      <c r="C12" s="21">
        <v>93.5</v>
      </c>
      <c r="D12" s="21">
        <v>92.2</v>
      </c>
      <c r="E12" s="21">
        <v>91.5</v>
      </c>
      <c r="F12" s="21">
        <v>91.7</v>
      </c>
      <c r="G12" s="21">
        <v>120.6</v>
      </c>
      <c r="H12" s="21">
        <v>89.5</v>
      </c>
      <c r="I12" s="21">
        <v>90.2</v>
      </c>
      <c r="J12" s="21">
        <v>94.4</v>
      </c>
      <c r="K12" s="21">
        <v>98.4</v>
      </c>
      <c r="L12" s="21">
        <v>102.9</v>
      </c>
      <c r="M12" s="21">
        <v>104.8</v>
      </c>
      <c r="N12" s="21">
        <v>104.9</v>
      </c>
      <c r="O12" s="21">
        <v>103.1</v>
      </c>
      <c r="P12" s="21">
        <v>102.5</v>
      </c>
      <c r="Q12" s="21">
        <v>103.2</v>
      </c>
      <c r="R12" s="21">
        <v>105.8</v>
      </c>
      <c r="S12" s="21">
        <v>109.3</v>
      </c>
      <c r="T12" s="21">
        <v>107.1</v>
      </c>
      <c r="U12" s="21">
        <v>112</v>
      </c>
      <c r="V12" s="21">
        <v>115.8</v>
      </c>
      <c r="W12" s="21">
        <v>112.9</v>
      </c>
      <c r="X12" s="21">
        <v>105.8</v>
      </c>
      <c r="Y12" s="21">
        <v>109.7</v>
      </c>
      <c r="Z12" s="21">
        <v>115.8</v>
      </c>
      <c r="AA12" s="21">
        <v>116.8</v>
      </c>
      <c r="AB12" s="55">
        <f>X12*1.03</f>
        <v>108.974</v>
      </c>
      <c r="AC12" s="55">
        <f t="shared" ref="AC12:AD12" si="29">Y12*1.03</f>
        <v>112.991</v>
      </c>
      <c r="AD12" s="55">
        <f t="shared" si="29"/>
        <v>119.274</v>
      </c>
      <c r="AE12" s="21"/>
      <c r="AF12" s="21"/>
      <c r="AG12" s="21"/>
      <c r="AH12" s="21"/>
      <c r="AI12" s="21"/>
      <c r="AJ12" s="21">
        <f>SUM(C12:F12)</f>
        <v>368.9</v>
      </c>
      <c r="AK12" s="21">
        <f>SUM(G12:J12)</f>
        <v>394.70000000000005</v>
      </c>
      <c r="AL12" s="21">
        <f>SUM(K12:N12)</f>
        <v>411</v>
      </c>
      <c r="AM12" s="21">
        <f>SUM(O12:R12)</f>
        <v>414.6</v>
      </c>
      <c r="AN12" s="21">
        <f>SUM(S12:V12)</f>
        <v>444.2</v>
      </c>
      <c r="AO12" s="21">
        <f>SUM(W12:Z12)</f>
        <v>444.2</v>
      </c>
      <c r="AP12" s="21">
        <f>AO12*1.05</f>
        <v>466.41</v>
      </c>
      <c r="AQ12" s="21">
        <f t="shared" ref="AQ12:AT12" si="30">AP12*1.05</f>
        <v>489.73050000000006</v>
      </c>
      <c r="AR12" s="21">
        <f t="shared" si="30"/>
        <v>514.21702500000004</v>
      </c>
      <c r="AS12" s="21">
        <f t="shared" si="30"/>
        <v>539.92787625000005</v>
      </c>
      <c r="AT12" s="21">
        <f t="shared" si="30"/>
        <v>566.92427006250011</v>
      </c>
    </row>
    <row r="13" spans="2:46" s="3" customFormat="1" x14ac:dyDescent="0.3">
      <c r="B13" s="3" t="s">
        <v>10</v>
      </c>
      <c r="C13" s="20">
        <f t="shared" ref="C13:K13" si="31">+C11-C12</f>
        <v>154.4</v>
      </c>
      <c r="D13" s="20">
        <f t="shared" si="31"/>
        <v>174.5</v>
      </c>
      <c r="E13" s="20">
        <f t="shared" si="31"/>
        <v>195.2</v>
      </c>
      <c r="F13" s="20">
        <f t="shared" si="31"/>
        <v>213.8</v>
      </c>
      <c r="G13" s="20">
        <f t="shared" si="31"/>
        <v>195.70000000000002</v>
      </c>
      <c r="H13" s="20">
        <f t="shared" si="31"/>
        <v>249.7</v>
      </c>
      <c r="I13" s="20">
        <f t="shared" si="31"/>
        <v>270.10000000000002</v>
      </c>
      <c r="J13" s="20">
        <f t="shared" si="31"/>
        <v>281.5</v>
      </c>
      <c r="K13" s="20">
        <f t="shared" si="31"/>
        <v>287.20000000000005</v>
      </c>
      <c r="L13" s="20">
        <f t="shared" ref="L13:P13" si="32">+L11-L12</f>
        <v>298.60000000000002</v>
      </c>
      <c r="M13" s="20">
        <f t="shared" si="32"/>
        <v>323.39999999999998</v>
      </c>
      <c r="N13" s="20">
        <f t="shared" si="32"/>
        <v>341.1</v>
      </c>
      <c r="O13" s="20">
        <f t="shared" si="32"/>
        <v>351.9</v>
      </c>
      <c r="P13" s="20">
        <f t="shared" si="32"/>
        <v>364.9</v>
      </c>
      <c r="Q13" s="20">
        <f t="shared" ref="Q13:AD13" si="33">+Q11-Q12</f>
        <v>384.2</v>
      </c>
      <c r="R13" s="20">
        <f t="shared" si="33"/>
        <v>398.3</v>
      </c>
      <c r="S13" s="20">
        <f t="shared" si="33"/>
        <v>402.3</v>
      </c>
      <c r="T13" s="20">
        <f t="shared" si="33"/>
        <v>423.5</v>
      </c>
      <c r="U13" s="20">
        <f t="shared" si="33"/>
        <v>438.20000000000005</v>
      </c>
      <c r="V13" s="20">
        <f t="shared" si="33"/>
        <v>449.7</v>
      </c>
      <c r="W13" s="20">
        <f t="shared" si="33"/>
        <v>449.5</v>
      </c>
      <c r="X13" s="20">
        <f t="shared" si="33"/>
        <v>466.90000000000003</v>
      </c>
      <c r="Y13" s="20">
        <f t="shared" si="33"/>
        <v>481.3</v>
      </c>
      <c r="Z13" s="20">
        <f t="shared" si="33"/>
        <v>482.99999999999994</v>
      </c>
      <c r="AA13" s="20">
        <f t="shared" si="33"/>
        <v>494.3</v>
      </c>
      <c r="AB13" s="20">
        <f t="shared" si="33"/>
        <v>492.36100000000005</v>
      </c>
      <c r="AC13" s="20">
        <f t="shared" si="33"/>
        <v>507.55900000000008</v>
      </c>
      <c r="AD13" s="20">
        <f t="shared" si="33"/>
        <v>509.46600000000001</v>
      </c>
      <c r="AE13" s="20"/>
      <c r="AF13" s="20"/>
      <c r="AG13" s="20"/>
      <c r="AH13" s="20"/>
      <c r="AI13" s="20"/>
      <c r="AJ13" s="20">
        <f>AJ11-AJ12</f>
        <v>737.9</v>
      </c>
      <c r="AK13" s="20">
        <f t="shared" ref="AK13:AL13" si="34">AK11-AK12</f>
        <v>996.99999999999977</v>
      </c>
      <c r="AL13" s="20">
        <f t="shared" si="34"/>
        <v>1250.3</v>
      </c>
      <c r="AM13" s="20">
        <f>AM11-AM12</f>
        <v>1499.3000000000002</v>
      </c>
      <c r="AN13" s="20">
        <f t="shared" ref="AN13:AO13" si="35">AN11-AN12</f>
        <v>1713.7</v>
      </c>
      <c r="AO13" s="20">
        <f t="shared" si="35"/>
        <v>1880.6999999999996</v>
      </c>
      <c r="AP13" s="20">
        <f t="shared" ref="AP13" si="36">AP11-AP12</f>
        <v>2048.5500000000002</v>
      </c>
      <c r="AQ13" s="20">
        <f t="shared" ref="AQ13" si="37">AQ11-AQ12</f>
        <v>2230.1987399999998</v>
      </c>
      <c r="AR13" s="20">
        <f t="shared" ref="AR13" si="38">AR11-AR12</f>
        <v>2427.38644806</v>
      </c>
      <c r="AS13" s="20">
        <f>AS11-AS12</f>
        <v>2641.4162798643902</v>
      </c>
      <c r="AT13" s="20">
        <f>AT11-AT12</f>
        <v>2873.6994347752134</v>
      </c>
    </row>
    <row r="14" spans="2:46" x14ac:dyDescent="0.3">
      <c r="B14" s="1" t="s">
        <v>12</v>
      </c>
      <c r="C14" s="21">
        <v>89.3</v>
      </c>
      <c r="D14" s="21">
        <v>89.8</v>
      </c>
      <c r="E14" s="21">
        <v>97.2</v>
      </c>
      <c r="F14" s="21">
        <v>104</v>
      </c>
      <c r="G14" s="21">
        <v>378.5</v>
      </c>
      <c r="H14" s="21">
        <v>119.7</v>
      </c>
      <c r="I14" s="21">
        <v>133.19999999999999</v>
      </c>
      <c r="J14" s="21">
        <v>136.80000000000001</v>
      </c>
      <c r="K14" s="21">
        <v>150</v>
      </c>
      <c r="L14" s="21">
        <v>162.4</v>
      </c>
      <c r="M14" s="21">
        <v>172.8</v>
      </c>
      <c r="N14" s="21">
        <v>176.9</v>
      </c>
      <c r="O14" s="21">
        <v>181.8</v>
      </c>
      <c r="P14" s="21">
        <v>185.8</v>
      </c>
      <c r="Q14" s="21">
        <v>183.3</v>
      </c>
      <c r="R14" s="21">
        <v>176.6</v>
      </c>
      <c r="S14" s="21">
        <v>181.2</v>
      </c>
      <c r="T14" s="21">
        <v>185.5</v>
      </c>
      <c r="U14" s="21">
        <v>187.3</v>
      </c>
      <c r="V14" s="21">
        <v>201.9</v>
      </c>
      <c r="W14" s="21">
        <v>210.8</v>
      </c>
      <c r="X14" s="21">
        <v>215</v>
      </c>
      <c r="Y14" s="21">
        <v>227.6</v>
      </c>
      <c r="Z14" s="21">
        <v>238.5</v>
      </c>
      <c r="AA14" s="21">
        <v>235.2</v>
      </c>
      <c r="AB14" s="55">
        <f t="shared" ref="AB14:AB16" si="39">X14*1.03</f>
        <v>221.45000000000002</v>
      </c>
      <c r="AC14" s="55">
        <f t="shared" ref="AC14:AC16" si="40">Y14*1.03</f>
        <v>234.428</v>
      </c>
      <c r="AD14" s="55">
        <f t="shared" ref="AD14:AD16" si="41">Z14*1.03</f>
        <v>245.655</v>
      </c>
      <c r="AE14" s="21"/>
      <c r="AF14" s="21"/>
      <c r="AG14" s="21"/>
      <c r="AH14" s="21"/>
      <c r="AI14" s="21"/>
      <c r="AJ14" s="21">
        <f>SUM(C14:F14)</f>
        <v>380.3</v>
      </c>
      <c r="AK14" s="21">
        <f>SUM(G14:J14)</f>
        <v>768.2</v>
      </c>
      <c r="AL14" s="21">
        <f>SUM(K14:N14)</f>
        <v>662.1</v>
      </c>
      <c r="AM14" s="21">
        <f>SUM(O14:R14)</f>
        <v>727.50000000000011</v>
      </c>
      <c r="AN14" s="21">
        <f t="shared" ref="AN14:AN16" si="42">SUM(S14:V14)</f>
        <v>755.9</v>
      </c>
      <c r="AO14" s="21">
        <f t="shared" ref="AO14:AO16" si="43">SUM(W14:Z14)</f>
        <v>891.9</v>
      </c>
      <c r="AP14" s="21">
        <f t="shared" ref="AP14:AP16" si="44">AO14*1.05</f>
        <v>936.495</v>
      </c>
      <c r="AQ14" s="21">
        <f t="shared" ref="AP14:AT14" si="45">AP14*1.11</f>
        <v>1039.50945</v>
      </c>
      <c r="AR14" s="21">
        <f t="shared" si="45"/>
        <v>1153.8554895000002</v>
      </c>
      <c r="AS14" s="21">
        <f t="shared" si="45"/>
        <v>1280.7795933450004</v>
      </c>
      <c r="AT14" s="21">
        <f t="shared" si="45"/>
        <v>1421.6653486129505</v>
      </c>
    </row>
    <row r="15" spans="2:46" x14ac:dyDescent="0.3">
      <c r="B15" s="1" t="s">
        <v>13</v>
      </c>
      <c r="C15" s="21">
        <v>67.2</v>
      </c>
      <c r="D15" s="21">
        <v>69.2</v>
      </c>
      <c r="E15" s="21">
        <v>74.7</v>
      </c>
      <c r="F15" s="21">
        <v>102.9</v>
      </c>
      <c r="G15" s="21">
        <v>157</v>
      </c>
      <c r="H15" s="21">
        <v>87.4</v>
      </c>
      <c r="I15" s="21">
        <v>95</v>
      </c>
      <c r="J15" s="21">
        <v>100.2</v>
      </c>
      <c r="K15" s="21">
        <v>101.5</v>
      </c>
      <c r="L15" s="21">
        <v>107.3</v>
      </c>
      <c r="M15" s="21">
        <v>108.2</v>
      </c>
      <c r="N15" s="21">
        <v>106.3</v>
      </c>
      <c r="O15" s="21">
        <v>104.3</v>
      </c>
      <c r="P15" s="21">
        <v>102.8</v>
      </c>
      <c r="Q15" s="21">
        <v>105.8</v>
      </c>
      <c r="R15" s="21">
        <v>109.9</v>
      </c>
      <c r="S15" s="21">
        <v>102.7</v>
      </c>
      <c r="T15" s="21">
        <v>100.8</v>
      </c>
      <c r="U15" s="21">
        <v>115.7</v>
      </c>
      <c r="V15" s="21">
        <v>108.3</v>
      </c>
      <c r="W15" s="21">
        <v>95.7</v>
      </c>
      <c r="X15" s="21">
        <v>105</v>
      </c>
      <c r="Y15" s="21">
        <v>103.6</v>
      </c>
      <c r="Z15" s="21">
        <v>105.1</v>
      </c>
      <c r="AA15" s="21">
        <v>119.2</v>
      </c>
      <c r="AB15" s="55">
        <f t="shared" si="39"/>
        <v>108.15</v>
      </c>
      <c r="AC15" s="55">
        <f t="shared" si="40"/>
        <v>106.708</v>
      </c>
      <c r="AD15" s="55">
        <f t="shared" si="41"/>
        <v>108.253</v>
      </c>
      <c r="AE15" s="21"/>
      <c r="AF15" s="21"/>
      <c r="AG15" s="21"/>
      <c r="AH15" s="21"/>
      <c r="AI15" s="21"/>
      <c r="AJ15" s="21">
        <f>SUM(C15:F15)</f>
        <v>314</v>
      </c>
      <c r="AK15" s="21">
        <f>SUM(G15:J15)</f>
        <v>439.59999999999997</v>
      </c>
      <c r="AL15" s="21">
        <f>SUM(K15:N15)</f>
        <v>423.3</v>
      </c>
      <c r="AM15" s="21">
        <f>SUM(O15:R15)</f>
        <v>422.79999999999995</v>
      </c>
      <c r="AN15" s="21">
        <f t="shared" si="42"/>
        <v>427.5</v>
      </c>
      <c r="AO15" s="21">
        <f t="shared" si="43"/>
        <v>409.4</v>
      </c>
      <c r="AP15" s="21">
        <f t="shared" si="44"/>
        <v>429.87</v>
      </c>
      <c r="AQ15" s="21">
        <f t="shared" ref="AP15:AT15" si="46">AP15*1.11</f>
        <v>477.15570000000002</v>
      </c>
      <c r="AR15" s="21">
        <f t="shared" si="46"/>
        <v>529.64282700000012</v>
      </c>
      <c r="AS15" s="21">
        <f t="shared" si="46"/>
        <v>587.90353797000023</v>
      </c>
      <c r="AT15" s="21">
        <f t="shared" si="46"/>
        <v>652.57292714670029</v>
      </c>
    </row>
    <row r="16" spans="2:46" x14ac:dyDescent="0.3">
      <c r="B16" s="1" t="s">
        <v>14</v>
      </c>
      <c r="C16" s="21">
        <v>31.3</v>
      </c>
      <c r="D16" s="21">
        <v>42.2</v>
      </c>
      <c r="E16" s="21">
        <v>39.6</v>
      </c>
      <c r="F16" s="21">
        <v>44.2</v>
      </c>
      <c r="G16" s="21">
        <v>126.1</v>
      </c>
      <c r="H16" s="21">
        <v>49.8</v>
      </c>
      <c r="I16" s="21">
        <v>50.8</v>
      </c>
      <c r="J16" s="21">
        <v>56.5</v>
      </c>
      <c r="K16" s="21">
        <v>57</v>
      </c>
      <c r="L16" s="21">
        <v>62.9</v>
      </c>
      <c r="M16" s="21">
        <v>61</v>
      </c>
      <c r="N16" s="21">
        <v>64.5</v>
      </c>
      <c r="O16" s="21">
        <v>39</v>
      </c>
      <c r="P16" s="21">
        <v>63.5</v>
      </c>
      <c r="Q16" s="21">
        <v>65.099999999999994</v>
      </c>
      <c r="R16" s="21">
        <v>60.2</v>
      </c>
      <c r="S16" s="21">
        <v>58.6</v>
      </c>
      <c r="T16" s="21">
        <v>52.8</v>
      </c>
      <c r="U16" s="21">
        <v>57.9</v>
      </c>
      <c r="V16" s="21">
        <v>55.3</v>
      </c>
      <c r="W16" s="21">
        <v>53.5</v>
      </c>
      <c r="X16" s="21">
        <v>55.3</v>
      </c>
      <c r="Y16" s="21">
        <v>56.8</v>
      </c>
      <c r="Z16" s="21">
        <v>57.3</v>
      </c>
      <c r="AA16" s="21">
        <v>55.8</v>
      </c>
      <c r="AB16" s="55">
        <f t="shared" si="39"/>
        <v>56.958999999999996</v>
      </c>
      <c r="AC16" s="55">
        <f t="shared" si="40"/>
        <v>58.503999999999998</v>
      </c>
      <c r="AD16" s="55">
        <f t="shared" si="41"/>
        <v>59.018999999999998</v>
      </c>
      <c r="AE16" s="21"/>
      <c r="AF16" s="21"/>
      <c r="AG16" s="21"/>
      <c r="AH16" s="21"/>
      <c r="AI16" s="21"/>
      <c r="AJ16" s="21">
        <f>SUM(C16:F16)</f>
        <v>157.30000000000001</v>
      </c>
      <c r="AK16" s="21">
        <f>SUM(G16:J16)</f>
        <v>283.2</v>
      </c>
      <c r="AL16" s="21">
        <f>SUM(K16:N16)</f>
        <v>245.4</v>
      </c>
      <c r="AM16" s="21">
        <f>SUM(O16:R16)</f>
        <v>227.8</v>
      </c>
      <c r="AN16" s="21">
        <f t="shared" si="42"/>
        <v>224.60000000000002</v>
      </c>
      <c r="AO16" s="21">
        <f t="shared" si="43"/>
        <v>222.89999999999998</v>
      </c>
      <c r="AP16" s="21">
        <f t="shared" si="44"/>
        <v>234.04499999999999</v>
      </c>
      <c r="AQ16" s="21">
        <f t="shared" ref="AP16:AT16" si="47">AP16*1.11</f>
        <v>259.78995000000003</v>
      </c>
      <c r="AR16" s="21">
        <f t="shared" si="47"/>
        <v>288.36684450000007</v>
      </c>
      <c r="AS16" s="21">
        <f t="shared" si="47"/>
        <v>320.08719739500009</v>
      </c>
      <c r="AT16" s="21">
        <f t="shared" si="47"/>
        <v>355.29678910845013</v>
      </c>
    </row>
    <row r="17" spans="1:202" x14ac:dyDescent="0.3">
      <c r="B17" s="1" t="s">
        <v>11</v>
      </c>
      <c r="C17" s="21">
        <f t="shared" ref="C17:K17" si="48">SUM(C14:C16)</f>
        <v>187.8</v>
      </c>
      <c r="D17" s="21">
        <f t="shared" si="48"/>
        <v>201.2</v>
      </c>
      <c r="E17" s="21">
        <f t="shared" si="48"/>
        <v>211.5</v>
      </c>
      <c r="F17" s="21">
        <f t="shared" si="48"/>
        <v>251.10000000000002</v>
      </c>
      <c r="G17" s="21">
        <f t="shared" si="48"/>
        <v>661.6</v>
      </c>
      <c r="H17" s="21">
        <f t="shared" si="48"/>
        <v>256.90000000000003</v>
      </c>
      <c r="I17" s="21">
        <f t="shared" si="48"/>
        <v>279</v>
      </c>
      <c r="J17" s="21">
        <f t="shared" si="48"/>
        <v>293.5</v>
      </c>
      <c r="K17" s="21">
        <f t="shared" si="48"/>
        <v>308.5</v>
      </c>
      <c r="L17" s="21">
        <f t="shared" ref="L17:P17" si="49">SUM(L14:L16)</f>
        <v>332.59999999999997</v>
      </c>
      <c r="M17" s="21">
        <f t="shared" si="49"/>
        <v>342</v>
      </c>
      <c r="N17" s="21">
        <f t="shared" si="49"/>
        <v>347.7</v>
      </c>
      <c r="O17" s="21">
        <f t="shared" si="49"/>
        <v>325.10000000000002</v>
      </c>
      <c r="P17" s="21">
        <f t="shared" si="49"/>
        <v>352.1</v>
      </c>
      <c r="Q17" s="21">
        <f t="shared" ref="Q17" si="50">SUM(Q14:Q16)</f>
        <v>354.20000000000005</v>
      </c>
      <c r="R17" s="21">
        <f t="shared" ref="R17:W17" si="51">SUM(R14:R16)</f>
        <v>346.7</v>
      </c>
      <c r="S17" s="21">
        <f t="shared" si="51"/>
        <v>342.5</v>
      </c>
      <c r="T17" s="21">
        <f t="shared" si="51"/>
        <v>339.1</v>
      </c>
      <c r="U17" s="21">
        <f t="shared" si="51"/>
        <v>360.9</v>
      </c>
      <c r="V17" s="21">
        <f t="shared" si="51"/>
        <v>365.5</v>
      </c>
      <c r="W17" s="21">
        <f t="shared" si="51"/>
        <v>360</v>
      </c>
      <c r="X17" s="21">
        <f t="shared" ref="X17:Z17" si="52">SUM(X14:X16)</f>
        <v>375.3</v>
      </c>
      <c r="Y17" s="21">
        <f t="shared" si="52"/>
        <v>388</v>
      </c>
      <c r="Z17" s="21">
        <f t="shared" si="52"/>
        <v>400.90000000000003</v>
      </c>
      <c r="AA17" s="21">
        <f t="shared" ref="AA17:AD17" si="53">SUM(AA14:AA16)</f>
        <v>410.2</v>
      </c>
      <c r="AB17" s="21">
        <f t="shared" si="53"/>
        <v>386.55900000000003</v>
      </c>
      <c r="AC17" s="21">
        <f t="shared" si="53"/>
        <v>399.64</v>
      </c>
      <c r="AD17" s="21">
        <f t="shared" si="53"/>
        <v>412.92700000000002</v>
      </c>
      <c r="AE17" s="21"/>
      <c r="AF17" s="21"/>
      <c r="AG17" s="21"/>
      <c r="AH17" s="21"/>
      <c r="AI17" s="21"/>
      <c r="AJ17" s="21">
        <f>SUM(AJ14:AJ16)</f>
        <v>851.59999999999991</v>
      </c>
      <c r="AK17" s="21">
        <f>SUM(G17:J17)</f>
        <v>1491</v>
      </c>
      <c r="AL17" s="21">
        <f>SUM(K17:N17)</f>
        <v>1330.8</v>
      </c>
      <c r="AM17" s="21">
        <f>SUM(AM14:AM16)</f>
        <v>1378.1000000000001</v>
      </c>
      <c r="AN17" s="21">
        <f>SUM(AN14:AN16)</f>
        <v>1408</v>
      </c>
      <c r="AO17" s="21">
        <f>SUM(AO14:AO16)</f>
        <v>1524.1999999999998</v>
      </c>
      <c r="AP17" s="21">
        <f t="shared" ref="AP17:AR17" si="54">SUM(AP14:AP16)</f>
        <v>1600.41</v>
      </c>
      <c r="AQ17" s="21">
        <f t="shared" si="54"/>
        <v>1776.4551000000001</v>
      </c>
      <c r="AR17" s="21">
        <f t="shared" si="54"/>
        <v>1971.8651610000004</v>
      </c>
      <c r="AS17" s="21">
        <f t="shared" ref="AS17:AT17" si="55">SUM(AS14:AS16)</f>
        <v>2188.7703287100007</v>
      </c>
      <c r="AT17" s="21">
        <f t="shared" si="55"/>
        <v>2429.5350648681006</v>
      </c>
    </row>
    <row r="18" spans="1:202" x14ac:dyDescent="0.3">
      <c r="B18" s="1" t="s">
        <v>31</v>
      </c>
      <c r="C18" s="21">
        <f t="shared" ref="C18:K18" si="56">+C13-C17</f>
        <v>-33.400000000000006</v>
      </c>
      <c r="D18" s="21">
        <f t="shared" si="56"/>
        <v>-26.699999999999989</v>
      </c>
      <c r="E18" s="21">
        <f t="shared" si="56"/>
        <v>-16.300000000000011</v>
      </c>
      <c r="F18" s="21">
        <f t="shared" si="56"/>
        <v>-37.300000000000011</v>
      </c>
      <c r="G18" s="21">
        <f t="shared" si="56"/>
        <v>-465.9</v>
      </c>
      <c r="H18" s="21">
        <f t="shared" si="56"/>
        <v>-7.2000000000000455</v>
      </c>
      <c r="I18" s="21">
        <f t="shared" si="56"/>
        <v>-8.8999999999999773</v>
      </c>
      <c r="J18" s="21">
        <f t="shared" si="56"/>
        <v>-12</v>
      </c>
      <c r="K18" s="21">
        <f t="shared" si="56"/>
        <v>-21.299999999999955</v>
      </c>
      <c r="L18" s="21">
        <f t="shared" ref="L18:P18" si="57">+L13-L17</f>
        <v>-33.999999999999943</v>
      </c>
      <c r="M18" s="21">
        <f t="shared" si="57"/>
        <v>-18.600000000000023</v>
      </c>
      <c r="N18" s="21">
        <f t="shared" si="57"/>
        <v>-6.5999999999999659</v>
      </c>
      <c r="O18" s="21">
        <f t="shared" si="57"/>
        <v>26.799999999999955</v>
      </c>
      <c r="P18" s="21">
        <f t="shared" si="57"/>
        <v>12.799999999999955</v>
      </c>
      <c r="Q18" s="21">
        <f t="shared" ref="Q18" si="58">+Q13-Q17</f>
        <v>29.999999999999943</v>
      </c>
      <c r="R18" s="21">
        <f t="shared" ref="R18:W18" si="59">+R13-R17</f>
        <v>51.600000000000023</v>
      </c>
      <c r="S18" s="21">
        <f t="shared" si="59"/>
        <v>59.800000000000011</v>
      </c>
      <c r="T18" s="21">
        <f t="shared" si="59"/>
        <v>84.399999999999977</v>
      </c>
      <c r="U18" s="21">
        <f t="shared" si="59"/>
        <v>77.300000000000068</v>
      </c>
      <c r="V18" s="21">
        <f t="shared" si="59"/>
        <v>84.199999999999989</v>
      </c>
      <c r="W18" s="21">
        <f t="shared" si="59"/>
        <v>89.5</v>
      </c>
      <c r="X18" s="21">
        <f t="shared" ref="X18:Z18" si="60">+X13-X17</f>
        <v>91.600000000000023</v>
      </c>
      <c r="Y18" s="21">
        <f t="shared" si="60"/>
        <v>93.300000000000011</v>
      </c>
      <c r="Z18" s="21">
        <f t="shared" si="60"/>
        <v>82.099999999999909</v>
      </c>
      <c r="AA18" s="21">
        <f t="shared" ref="AA18:AD18" si="61">+AA13-AA17</f>
        <v>84.100000000000023</v>
      </c>
      <c r="AB18" s="21">
        <f t="shared" si="61"/>
        <v>105.80200000000002</v>
      </c>
      <c r="AC18" s="21">
        <f t="shared" si="61"/>
        <v>107.9190000000001</v>
      </c>
      <c r="AD18" s="21">
        <f t="shared" si="61"/>
        <v>96.538999999999987</v>
      </c>
      <c r="AE18" s="21"/>
      <c r="AF18" s="21"/>
      <c r="AG18" s="21"/>
      <c r="AH18" s="21"/>
      <c r="AI18" s="21"/>
      <c r="AJ18" s="21">
        <f>AJ13-AJ17</f>
        <v>-113.69999999999993</v>
      </c>
      <c r="AK18" s="21">
        <f t="shared" ref="AK18:AM18" si="62">AK13-AK17</f>
        <v>-494.00000000000023</v>
      </c>
      <c r="AL18" s="21">
        <f t="shared" si="62"/>
        <v>-80.5</v>
      </c>
      <c r="AM18" s="21">
        <f t="shared" si="62"/>
        <v>121.20000000000005</v>
      </c>
      <c r="AN18" s="21">
        <f>AN13-AN17</f>
        <v>305.70000000000005</v>
      </c>
      <c r="AO18" s="21">
        <f t="shared" ref="AO18" si="63">AO13-AO17</f>
        <v>356.49999999999977</v>
      </c>
      <c r="AP18" s="21">
        <f t="shared" ref="AP18" si="64">AP13-AP17</f>
        <v>448.1400000000001</v>
      </c>
      <c r="AQ18" s="21">
        <f t="shared" ref="AQ18" si="65">AQ13-AQ17</f>
        <v>453.74363999999969</v>
      </c>
      <c r="AR18" s="21">
        <f>AR13-AR17</f>
        <v>455.52128705999962</v>
      </c>
      <c r="AS18" s="21">
        <f t="shared" ref="AS18:AT18" si="66">AS13-AS17</f>
        <v>452.64595115438942</v>
      </c>
      <c r="AT18" s="21">
        <f t="shared" si="66"/>
        <v>444.16436990711281</v>
      </c>
    </row>
    <row r="19" spans="1:202" x14ac:dyDescent="0.3">
      <c r="B19" s="1" t="s">
        <v>37</v>
      </c>
      <c r="C19" s="21">
        <v>4.2</v>
      </c>
      <c r="D19" s="21">
        <v>3</v>
      </c>
      <c r="E19" s="21">
        <v>2.2000000000000002</v>
      </c>
      <c r="F19" s="21">
        <v>1.6</v>
      </c>
      <c r="G19" s="21">
        <v>1.2</v>
      </c>
      <c r="H19" s="21">
        <v>-2</v>
      </c>
      <c r="I19" s="21">
        <v>-2.4</v>
      </c>
      <c r="J19" s="21">
        <v>-3.9</v>
      </c>
      <c r="K19" s="21">
        <v>-3.7</v>
      </c>
      <c r="L19" s="21">
        <v>-3.2</v>
      </c>
      <c r="M19" s="21">
        <v>-3</v>
      </c>
      <c r="N19" s="21">
        <v>-2.6</v>
      </c>
      <c r="O19" s="21">
        <v>-2.4</v>
      </c>
      <c r="P19" s="21">
        <v>-0.1</v>
      </c>
      <c r="Q19" s="21">
        <v>-0.1</v>
      </c>
      <c r="R19" s="21">
        <v>0.9</v>
      </c>
      <c r="S19" s="21">
        <v>1.2</v>
      </c>
      <c r="T19" s="21">
        <v>0.9</v>
      </c>
      <c r="U19" s="21">
        <v>1.7</v>
      </c>
      <c r="V19" s="21">
        <v>1.4</v>
      </c>
      <c r="W19" s="21">
        <v>1.4</v>
      </c>
      <c r="X19" s="21">
        <v>0.5</v>
      </c>
      <c r="Y19" s="21">
        <v>-1.7</v>
      </c>
      <c r="Z19" s="21">
        <v>-3.5</v>
      </c>
      <c r="AA19" s="21">
        <v>-3.9</v>
      </c>
      <c r="AB19" s="55">
        <f t="shared" ref="AB19:AB20" si="67">X19*1.03</f>
        <v>0.51500000000000001</v>
      </c>
      <c r="AC19" s="55">
        <f t="shared" ref="AC19:AC20" si="68">Y19*1.03</f>
        <v>-1.7509999999999999</v>
      </c>
      <c r="AD19" s="55">
        <f t="shared" ref="AD19:AD20" si="69">Z19*1.03</f>
        <v>-3.605</v>
      </c>
      <c r="AE19" s="21"/>
      <c r="AF19" s="21"/>
      <c r="AG19" s="21"/>
      <c r="AH19" s="21"/>
      <c r="AI19" s="21"/>
      <c r="AJ19" s="21">
        <f>SUM(C19:F19)</f>
        <v>11</v>
      </c>
      <c r="AK19" s="21">
        <f>SUM(G19:J19)</f>
        <v>-7.1</v>
      </c>
      <c r="AL19" s="21">
        <f>SUM(K19:N19)</f>
        <v>-12.5</v>
      </c>
      <c r="AM19" s="21">
        <f>SUM(O19:R19)</f>
        <v>-1.7000000000000002</v>
      </c>
      <c r="AN19" s="21">
        <f>SUM(S19:V19)</f>
        <v>5.1999999999999993</v>
      </c>
      <c r="AO19" s="21">
        <f t="shared" ref="AO19:AO20" si="70">SUM(W19:Z19)</f>
        <v>-3.3</v>
      </c>
      <c r="AP19" s="21">
        <f t="shared" ref="AP19:AP20" si="71">AO19*1.05</f>
        <v>-3.4649999999999999</v>
      </c>
      <c r="AQ19" s="21">
        <f t="shared" ref="AP19:AR19" si="72">AP19*1.01</f>
        <v>-3.4996499999999999</v>
      </c>
      <c r="AR19" s="21">
        <f t="shared" si="72"/>
        <v>-3.5346465</v>
      </c>
      <c r="AS19" s="21">
        <f t="shared" ref="AS19:AS20" si="73">AR19*1.01</f>
        <v>-3.569992965</v>
      </c>
      <c r="AT19" s="21">
        <f t="shared" ref="AT19:AT20" si="74">AS19*1.01</f>
        <v>-3.6056928946500002</v>
      </c>
    </row>
    <row r="20" spans="1:202" x14ac:dyDescent="0.3">
      <c r="B20" s="1" t="s">
        <v>32</v>
      </c>
      <c r="C20" s="21">
        <v>4.8</v>
      </c>
      <c r="D20" s="21">
        <v>3.3</v>
      </c>
      <c r="E20" s="21">
        <v>4.9000000000000004</v>
      </c>
      <c r="F20" s="21">
        <v>0.2</v>
      </c>
      <c r="G20" s="21">
        <v>3.4</v>
      </c>
      <c r="H20" s="21">
        <v>2.2000000000000002</v>
      </c>
      <c r="I20" s="21">
        <v>0.5</v>
      </c>
      <c r="J20" s="21">
        <v>0.7</v>
      </c>
      <c r="K20" s="21">
        <v>4.2</v>
      </c>
      <c r="L20" s="21">
        <v>10</v>
      </c>
      <c r="M20" s="21">
        <v>0.2</v>
      </c>
      <c r="N20" s="21">
        <v>1.6</v>
      </c>
      <c r="O20" s="21">
        <v>10.6</v>
      </c>
      <c r="P20" s="21">
        <v>9</v>
      </c>
      <c r="Q20" s="21">
        <v>3.5</v>
      </c>
      <c r="R20" s="21">
        <v>2</v>
      </c>
      <c r="S20" s="21">
        <v>5.0999999999999996</v>
      </c>
      <c r="T20" s="21">
        <v>7.5</v>
      </c>
      <c r="U20" s="21">
        <v>0.5</v>
      </c>
      <c r="V20" s="21">
        <v>17</v>
      </c>
      <c r="W20" s="21">
        <v>5.7</v>
      </c>
      <c r="X20" s="21">
        <v>-3.3</v>
      </c>
      <c r="Y20" s="21">
        <v>7.2</v>
      </c>
      <c r="Z20" s="21">
        <v>-1.5</v>
      </c>
      <c r="AA20" s="21">
        <v>-0.4</v>
      </c>
      <c r="AB20" s="55">
        <f t="shared" si="67"/>
        <v>-3.399</v>
      </c>
      <c r="AC20" s="55">
        <f t="shared" si="68"/>
        <v>7.4160000000000004</v>
      </c>
      <c r="AD20" s="55">
        <f t="shared" si="69"/>
        <v>-1.5449999999999999</v>
      </c>
      <c r="AE20" s="21"/>
      <c r="AF20" s="21"/>
      <c r="AG20" s="21"/>
      <c r="AH20" s="21"/>
      <c r="AI20" s="21"/>
      <c r="AJ20" s="21">
        <f>SUM(C20:F20)</f>
        <v>13.2</v>
      </c>
      <c r="AK20" s="21">
        <f>SUM(G20:J20)</f>
        <v>6.8</v>
      </c>
      <c r="AL20" s="21">
        <f>SUM(K20:N20)</f>
        <v>15.999999999999998</v>
      </c>
      <c r="AM20" s="21">
        <f>SUM(O20:R20)</f>
        <v>25.1</v>
      </c>
      <c r="AN20" s="21">
        <f>SUM(S20:V20)</f>
        <v>30.1</v>
      </c>
      <c r="AO20" s="21">
        <f t="shared" si="70"/>
        <v>8.1000000000000014</v>
      </c>
      <c r="AP20" s="21">
        <f t="shared" si="71"/>
        <v>8.5050000000000026</v>
      </c>
      <c r="AQ20" s="21">
        <f t="shared" ref="AP20:AR20" si="75">AP20*1.01</f>
        <v>8.5900500000000033</v>
      </c>
      <c r="AR20" s="21">
        <f t="shared" si="75"/>
        <v>8.6759505000000026</v>
      </c>
      <c r="AS20" s="21">
        <f t="shared" si="73"/>
        <v>8.7627100050000024</v>
      </c>
      <c r="AT20" s="21">
        <f t="shared" si="74"/>
        <v>8.8503371050500022</v>
      </c>
    </row>
    <row r="21" spans="1:202" x14ac:dyDescent="0.3">
      <c r="B21" s="1" t="s">
        <v>33</v>
      </c>
      <c r="C21" s="21">
        <f t="shared" ref="C21:K21" si="76">C18-C19+C20</f>
        <v>-32.800000000000011</v>
      </c>
      <c r="D21" s="21">
        <f t="shared" si="76"/>
        <v>-26.399999999999988</v>
      </c>
      <c r="E21" s="21">
        <f t="shared" si="76"/>
        <v>-13.60000000000001</v>
      </c>
      <c r="F21" s="21">
        <f t="shared" si="76"/>
        <v>-38.70000000000001</v>
      </c>
      <c r="G21" s="21">
        <f t="shared" si="76"/>
        <v>-463.7</v>
      </c>
      <c r="H21" s="21">
        <f t="shared" si="76"/>
        <v>-3.0000000000000453</v>
      </c>
      <c r="I21" s="21">
        <f t="shared" si="76"/>
        <v>-5.9999999999999769</v>
      </c>
      <c r="J21" s="21">
        <f t="shared" si="76"/>
        <v>-7.3999999999999995</v>
      </c>
      <c r="K21" s="21">
        <f t="shared" si="76"/>
        <v>-13.399999999999956</v>
      </c>
      <c r="L21" s="21">
        <f t="shared" ref="L21:P21" si="77">L18-L19+L20</f>
        <v>-20.799999999999944</v>
      </c>
      <c r="M21" s="21">
        <f t="shared" si="77"/>
        <v>-15.400000000000023</v>
      </c>
      <c r="N21" s="21">
        <f t="shared" si="77"/>
        <v>-2.3999999999999657</v>
      </c>
      <c r="O21" s="21">
        <f t="shared" si="77"/>
        <v>39.799999999999955</v>
      </c>
      <c r="P21" s="21">
        <f t="shared" si="77"/>
        <v>21.899999999999956</v>
      </c>
      <c r="Q21" s="21">
        <f t="shared" ref="Q21" si="78">Q18-Q19+Q20</f>
        <v>33.599999999999945</v>
      </c>
      <c r="R21" s="21">
        <f t="shared" ref="R21:V21" si="79">R18-R19+R20</f>
        <v>52.700000000000024</v>
      </c>
      <c r="S21" s="21">
        <f t="shared" si="79"/>
        <v>63.70000000000001</v>
      </c>
      <c r="T21" s="21">
        <f t="shared" si="79"/>
        <v>90.999999999999972</v>
      </c>
      <c r="U21" s="21">
        <f t="shared" si="79"/>
        <v>76.100000000000065</v>
      </c>
      <c r="V21" s="21">
        <f t="shared" si="79"/>
        <v>99.799999999999983</v>
      </c>
      <c r="W21" s="21">
        <f>W18-W19+W20</f>
        <v>93.8</v>
      </c>
      <c r="X21" s="21">
        <f t="shared" ref="X21:Z21" si="80">X18-X19+X20</f>
        <v>87.800000000000026</v>
      </c>
      <c r="Y21" s="21">
        <f t="shared" si="80"/>
        <v>102.20000000000002</v>
      </c>
      <c r="Z21" s="21">
        <f t="shared" si="80"/>
        <v>84.099999999999909</v>
      </c>
      <c r="AA21" s="21">
        <f t="shared" ref="AA21:AD21" si="81">AA18-AA19+AA20</f>
        <v>87.600000000000023</v>
      </c>
      <c r="AB21" s="21">
        <f t="shared" si="81"/>
        <v>101.88800000000002</v>
      </c>
      <c r="AC21" s="21">
        <f t="shared" si="81"/>
        <v>117.0860000000001</v>
      </c>
      <c r="AD21" s="21">
        <f t="shared" si="81"/>
        <v>98.59899999999999</v>
      </c>
      <c r="AE21" s="21"/>
      <c r="AF21" s="21"/>
      <c r="AG21" s="21"/>
      <c r="AH21" s="21"/>
      <c r="AI21" s="21"/>
      <c r="AJ21" s="21">
        <f>AJ18-AJ19+AJ20</f>
        <v>-111.49999999999993</v>
      </c>
      <c r="AK21" s="21">
        <f t="shared" ref="AK21:AM21" si="82">AK18-AK19+AK20</f>
        <v>-480.10000000000019</v>
      </c>
      <c r="AL21" s="21">
        <f t="shared" si="82"/>
        <v>-52</v>
      </c>
      <c r="AM21" s="21">
        <f t="shared" si="82"/>
        <v>148.00000000000006</v>
      </c>
      <c r="AN21" s="21">
        <f t="shared" ref="AN21" si="83">AN18-AN19+AN20</f>
        <v>330.60000000000008</v>
      </c>
      <c r="AO21" s="21">
        <f t="shared" ref="AO21" si="84">AO18-AO19+AO20</f>
        <v>367.89999999999981</v>
      </c>
      <c r="AP21" s="21">
        <f t="shared" ref="AP21" si="85">AP18-AP19+AP20</f>
        <v>460.11000000000007</v>
      </c>
      <c r="AQ21" s="21">
        <f t="shared" ref="AQ21" si="86">AQ18-AQ19+AQ20</f>
        <v>465.83333999999968</v>
      </c>
      <c r="AR21" s="21">
        <f t="shared" ref="AR21:AT21" si="87">AR18-AR19+AR20</f>
        <v>467.73188405999963</v>
      </c>
      <c r="AS21" s="21">
        <f t="shared" si="87"/>
        <v>464.97865412438944</v>
      </c>
      <c r="AT21" s="21">
        <f t="shared" si="87"/>
        <v>456.62039990681285</v>
      </c>
    </row>
    <row r="22" spans="1:202" x14ac:dyDescent="0.3">
      <c r="B22" s="1" t="s">
        <v>34</v>
      </c>
      <c r="C22" s="21">
        <v>0.3</v>
      </c>
      <c r="D22" s="21">
        <v>0.4</v>
      </c>
      <c r="E22" s="21">
        <v>0.5</v>
      </c>
      <c r="F22" s="21">
        <v>-1</v>
      </c>
      <c r="G22" s="21">
        <v>1.8</v>
      </c>
      <c r="H22" s="21">
        <v>1.1000000000000001</v>
      </c>
      <c r="I22" s="21">
        <v>-0.2</v>
      </c>
      <c r="J22" s="21">
        <v>2.1</v>
      </c>
      <c r="K22" s="21">
        <v>-5.7</v>
      </c>
      <c r="L22" s="21">
        <v>0.6</v>
      </c>
      <c r="M22" s="21">
        <v>1.6</v>
      </c>
      <c r="N22" s="21">
        <v>4.2</v>
      </c>
      <c r="O22" s="21">
        <v>0.5</v>
      </c>
      <c r="P22" s="21">
        <v>4.4000000000000004</v>
      </c>
      <c r="Q22" s="21">
        <v>0.9</v>
      </c>
      <c r="R22" s="21">
        <v>0.3</v>
      </c>
      <c r="S22" s="21">
        <v>-1.2</v>
      </c>
      <c r="T22" s="21">
        <v>3</v>
      </c>
      <c r="U22" s="21">
        <v>0.5</v>
      </c>
      <c r="V22" s="21">
        <v>-38.799999999999997</v>
      </c>
      <c r="W22" s="21">
        <v>14.1</v>
      </c>
      <c r="X22" s="21">
        <v>17.100000000000001</v>
      </c>
      <c r="Y22" s="21">
        <v>15</v>
      </c>
      <c r="Z22" s="21">
        <v>-406.7</v>
      </c>
      <c r="AA22" s="21">
        <v>18.600000000000001</v>
      </c>
      <c r="AB22" s="21">
        <f>0.21*AB21</f>
        <v>21.396480000000004</v>
      </c>
      <c r="AC22" s="21">
        <f>0.21*AC21</f>
        <v>24.58806000000002</v>
      </c>
      <c r="AD22" s="21">
        <f t="shared" ref="AC22:AD22" si="88">0.21*AD21</f>
        <v>20.705789999999997</v>
      </c>
      <c r="AE22" s="21"/>
      <c r="AF22" s="21"/>
      <c r="AG22" s="21"/>
      <c r="AH22" s="21"/>
      <c r="AI22" s="21"/>
      <c r="AJ22" s="21">
        <f>SUM(C22:F22)</f>
        <v>0.19999999999999996</v>
      </c>
      <c r="AK22" s="21">
        <f>SUM(G22:J22)</f>
        <v>4.8000000000000007</v>
      </c>
      <c r="AL22" s="21">
        <f>SUM(K22:N22)</f>
        <v>0.69999999999999973</v>
      </c>
      <c r="AM22" s="21">
        <f>SUM(O22:R22)</f>
        <v>6.1000000000000005</v>
      </c>
      <c r="AN22" s="21">
        <f>SUM(S22:V22)</f>
        <v>-36.5</v>
      </c>
      <c r="AO22" s="21">
        <f t="shared" ref="AO22" si="89">SUM(W22:Z22)</f>
        <v>-360.5</v>
      </c>
      <c r="AP22" s="21">
        <f>0.21*AP21</f>
        <v>96.623100000000008</v>
      </c>
      <c r="AQ22" s="21">
        <f t="shared" ref="AQ22:AT22" si="90">AQ21*0.21</f>
        <v>97.825001399999934</v>
      </c>
      <c r="AR22" s="21">
        <f t="shared" si="90"/>
        <v>98.223695652599915</v>
      </c>
      <c r="AS22" s="21">
        <f t="shared" si="90"/>
        <v>97.64551736612178</v>
      </c>
      <c r="AT22" s="21">
        <f t="shared" si="90"/>
        <v>95.890283980430695</v>
      </c>
    </row>
    <row r="23" spans="1:202" s="3" customFormat="1" x14ac:dyDescent="0.3">
      <c r="B23" s="3" t="s">
        <v>35</v>
      </c>
      <c r="C23" s="20">
        <f t="shared" ref="C23:K23" si="91">C21-C22</f>
        <v>-33.100000000000009</v>
      </c>
      <c r="D23" s="20">
        <f t="shared" si="91"/>
        <v>-26.799999999999986</v>
      </c>
      <c r="E23" s="20">
        <f t="shared" si="91"/>
        <v>-14.10000000000001</v>
      </c>
      <c r="F23" s="20">
        <f t="shared" si="91"/>
        <v>-37.70000000000001</v>
      </c>
      <c r="G23" s="20">
        <f t="shared" si="91"/>
        <v>-465.5</v>
      </c>
      <c r="H23" s="20">
        <f t="shared" si="91"/>
        <v>-4.1000000000000458</v>
      </c>
      <c r="I23" s="20">
        <f t="shared" si="91"/>
        <v>-5.7999999999999767</v>
      </c>
      <c r="J23" s="20">
        <f t="shared" si="91"/>
        <v>-9.5</v>
      </c>
      <c r="K23" s="20">
        <f t="shared" si="91"/>
        <v>-7.6999999999999558</v>
      </c>
      <c r="L23" s="20">
        <f t="shared" ref="L23:P23" si="92">L21-L22</f>
        <v>-21.399999999999945</v>
      </c>
      <c r="M23" s="20">
        <f t="shared" si="92"/>
        <v>-17.000000000000025</v>
      </c>
      <c r="N23" s="20">
        <f t="shared" si="92"/>
        <v>-6.5999999999999659</v>
      </c>
      <c r="O23" s="20">
        <f t="shared" si="92"/>
        <v>39.299999999999955</v>
      </c>
      <c r="P23" s="20">
        <f t="shared" si="92"/>
        <v>17.499999999999957</v>
      </c>
      <c r="Q23" s="20">
        <f t="shared" ref="Q23" si="93">Q21-Q22</f>
        <v>32.699999999999946</v>
      </c>
      <c r="R23" s="20">
        <f t="shared" ref="R23:V23" si="94">R21-R22</f>
        <v>52.400000000000027</v>
      </c>
      <c r="S23" s="20">
        <f t="shared" si="94"/>
        <v>64.900000000000006</v>
      </c>
      <c r="T23" s="20">
        <f t="shared" si="94"/>
        <v>87.999999999999972</v>
      </c>
      <c r="U23" s="20">
        <f t="shared" si="94"/>
        <v>75.600000000000065</v>
      </c>
      <c r="V23" s="20">
        <f t="shared" si="94"/>
        <v>138.59999999999997</v>
      </c>
      <c r="W23" s="20">
        <f>W21-W22</f>
        <v>79.7</v>
      </c>
      <c r="X23" s="20">
        <f t="shared" ref="X23:Z23" si="95">X21-X22</f>
        <v>70.700000000000017</v>
      </c>
      <c r="Y23" s="20">
        <f t="shared" si="95"/>
        <v>87.200000000000017</v>
      </c>
      <c r="Z23" s="20">
        <f t="shared" si="95"/>
        <v>490.7999999999999</v>
      </c>
      <c r="AA23" s="20">
        <f t="shared" ref="AA23:AD23" si="96">AA21-AA22</f>
        <v>69.000000000000028</v>
      </c>
      <c r="AB23" s="20">
        <f t="shared" si="96"/>
        <v>80.491520000000008</v>
      </c>
      <c r="AC23" s="20">
        <f t="shared" si="96"/>
        <v>92.497940000000085</v>
      </c>
      <c r="AD23" s="20">
        <f t="shared" si="96"/>
        <v>77.893209999999996</v>
      </c>
      <c r="AE23" s="20"/>
      <c r="AF23" s="20"/>
      <c r="AG23" s="20"/>
      <c r="AH23" s="20"/>
      <c r="AI23" s="20"/>
      <c r="AJ23" s="20">
        <f>AJ21-AJ22</f>
        <v>-111.69999999999993</v>
      </c>
      <c r="AK23" s="20">
        <f t="shared" ref="AK23:AM23" si="97">AK21-AK22</f>
        <v>-484.9000000000002</v>
      </c>
      <c r="AL23" s="20">
        <f t="shared" si="97"/>
        <v>-52.7</v>
      </c>
      <c r="AM23" s="20">
        <f t="shared" si="97"/>
        <v>141.90000000000006</v>
      </c>
      <c r="AN23" s="20">
        <f>AN21-AN22</f>
        <v>367.10000000000008</v>
      </c>
      <c r="AO23" s="20">
        <f t="shared" ref="AO23" si="98">AO21-AO22</f>
        <v>728.39999999999986</v>
      </c>
      <c r="AP23" s="20">
        <f t="shared" ref="AP23" si="99">AP21-AP22</f>
        <v>363.48690000000005</v>
      </c>
      <c r="AQ23" s="20">
        <f t="shared" ref="AQ23" si="100">AQ21-AQ22</f>
        <v>368.00833859999977</v>
      </c>
      <c r="AR23" s="20">
        <f t="shared" ref="AR23:AT23" si="101">AR21-AR22</f>
        <v>369.5081884073997</v>
      </c>
      <c r="AS23" s="20">
        <f t="shared" si="101"/>
        <v>367.33313675826764</v>
      </c>
      <c r="AT23" s="20">
        <f t="shared" si="101"/>
        <v>360.73011592638215</v>
      </c>
      <c r="AU23" s="22">
        <f t="shared" ref="AU23:BZ23" si="102">AT23*(1+$AY$28)</f>
        <v>357.12281476711831</v>
      </c>
      <c r="AV23" s="22">
        <f t="shared" si="102"/>
        <v>353.55158661944711</v>
      </c>
      <c r="AW23" s="22">
        <f t="shared" si="102"/>
        <v>350.01607075325262</v>
      </c>
      <c r="AX23" s="22">
        <f t="shared" si="102"/>
        <v>346.51591004572009</v>
      </c>
      <c r="AY23" s="22">
        <f t="shared" si="102"/>
        <v>343.05075094526291</v>
      </c>
      <c r="AZ23" s="22">
        <f t="shared" si="102"/>
        <v>339.62024343581027</v>
      </c>
      <c r="BA23" s="22">
        <f t="shared" si="102"/>
        <v>336.22404100145218</v>
      </c>
      <c r="BB23" s="22">
        <f t="shared" si="102"/>
        <v>332.86180059143766</v>
      </c>
      <c r="BC23" s="22">
        <f t="shared" si="102"/>
        <v>329.53318258552326</v>
      </c>
      <c r="BD23" s="22">
        <f t="shared" si="102"/>
        <v>326.23785075966805</v>
      </c>
      <c r="BE23" s="22">
        <f t="shared" si="102"/>
        <v>322.97547225207137</v>
      </c>
      <c r="BF23" s="22">
        <f t="shared" si="102"/>
        <v>319.74571752955063</v>
      </c>
      <c r="BG23" s="22">
        <f t="shared" si="102"/>
        <v>316.54826035425515</v>
      </c>
      <c r="BH23" s="22">
        <f t="shared" si="102"/>
        <v>313.38277775071259</v>
      </c>
      <c r="BI23" s="22">
        <f t="shared" si="102"/>
        <v>310.24894997320547</v>
      </c>
      <c r="BJ23" s="22">
        <f t="shared" si="102"/>
        <v>307.14646047347344</v>
      </c>
      <c r="BK23" s="22">
        <f t="shared" si="102"/>
        <v>304.07499586873871</v>
      </c>
      <c r="BL23" s="22">
        <f t="shared" si="102"/>
        <v>301.03424591005131</v>
      </c>
      <c r="BM23" s="22">
        <f t="shared" si="102"/>
        <v>298.0239034509508</v>
      </c>
      <c r="BN23" s="22">
        <f t="shared" si="102"/>
        <v>295.04366441644129</v>
      </c>
      <c r="BO23" s="22">
        <f t="shared" si="102"/>
        <v>292.09322777227686</v>
      </c>
      <c r="BP23" s="22">
        <f t="shared" si="102"/>
        <v>289.17229549455408</v>
      </c>
      <c r="BQ23" s="22">
        <f t="shared" si="102"/>
        <v>286.28057253960856</v>
      </c>
      <c r="BR23" s="22">
        <f t="shared" si="102"/>
        <v>283.41776681421248</v>
      </c>
      <c r="BS23" s="22">
        <f t="shared" si="102"/>
        <v>280.58358914607038</v>
      </c>
      <c r="BT23" s="22">
        <f t="shared" si="102"/>
        <v>277.77775325460965</v>
      </c>
      <c r="BU23" s="22">
        <f t="shared" si="102"/>
        <v>274.99997572206354</v>
      </c>
      <c r="BV23" s="22">
        <f t="shared" si="102"/>
        <v>272.24997596484292</v>
      </c>
      <c r="BW23" s="22">
        <f t="shared" si="102"/>
        <v>269.52747620519449</v>
      </c>
      <c r="BX23" s="22">
        <f t="shared" si="102"/>
        <v>266.83220144314254</v>
      </c>
      <c r="BY23" s="22">
        <f t="shared" si="102"/>
        <v>264.16387942871108</v>
      </c>
      <c r="BZ23" s="22">
        <f t="shared" si="102"/>
        <v>261.52224063442395</v>
      </c>
      <c r="CA23" s="22">
        <f t="shared" ref="CA23:DF23" si="103">BZ23*(1+$AY$28)</f>
        <v>258.90701822807972</v>
      </c>
      <c r="CB23" s="22">
        <f t="shared" si="103"/>
        <v>256.31794804579891</v>
      </c>
      <c r="CC23" s="22">
        <f t="shared" si="103"/>
        <v>253.75476856534092</v>
      </c>
      <c r="CD23" s="22">
        <f t="shared" si="103"/>
        <v>251.21722087968752</v>
      </c>
      <c r="CE23" s="22">
        <f t="shared" si="103"/>
        <v>248.70504867089065</v>
      </c>
      <c r="CF23" s="22">
        <f t="shared" si="103"/>
        <v>246.21799818418174</v>
      </c>
      <c r="CG23" s="22">
        <f t="shared" si="103"/>
        <v>243.75581820233992</v>
      </c>
      <c r="CH23" s="22">
        <f t="shared" si="103"/>
        <v>241.31826002031653</v>
      </c>
      <c r="CI23" s="22">
        <f t="shared" si="103"/>
        <v>238.90507742011337</v>
      </c>
      <c r="CJ23" s="22">
        <f t="shared" si="103"/>
        <v>236.51602664591223</v>
      </c>
      <c r="CK23" s="22">
        <f t="shared" si="103"/>
        <v>234.15086637945311</v>
      </c>
      <c r="CL23" s="22">
        <f t="shared" si="103"/>
        <v>231.80935771565856</v>
      </c>
      <c r="CM23" s="22">
        <f t="shared" si="103"/>
        <v>229.49126413850198</v>
      </c>
      <c r="CN23" s="22">
        <f t="shared" si="103"/>
        <v>227.19635149711695</v>
      </c>
      <c r="CO23" s="22">
        <f t="shared" si="103"/>
        <v>224.92438798214579</v>
      </c>
      <c r="CP23" s="22">
        <f t="shared" si="103"/>
        <v>222.67514410232434</v>
      </c>
      <c r="CQ23" s="22">
        <f t="shared" si="103"/>
        <v>220.44839266130109</v>
      </c>
      <c r="CR23" s="22">
        <f t="shared" si="103"/>
        <v>218.24390873468806</v>
      </c>
      <c r="CS23" s="22">
        <f t="shared" si="103"/>
        <v>216.06146964734117</v>
      </c>
      <c r="CT23" s="22">
        <f t="shared" si="103"/>
        <v>213.90085495086777</v>
      </c>
      <c r="CU23" s="22">
        <f t="shared" si="103"/>
        <v>211.76184640135909</v>
      </c>
      <c r="CV23" s="22">
        <f t="shared" si="103"/>
        <v>209.64422793734551</v>
      </c>
      <c r="CW23" s="22">
        <f t="shared" si="103"/>
        <v>207.54778565797204</v>
      </c>
      <c r="CX23" s="22">
        <f t="shared" si="103"/>
        <v>205.47230780139233</v>
      </c>
      <c r="CY23" s="22">
        <f t="shared" si="103"/>
        <v>203.41758472337841</v>
      </c>
      <c r="CZ23" s="22">
        <f t="shared" si="103"/>
        <v>201.38340887614461</v>
      </c>
      <c r="DA23" s="22">
        <f t="shared" si="103"/>
        <v>199.36957478738316</v>
      </c>
      <c r="DB23" s="22">
        <f t="shared" si="103"/>
        <v>197.37587903950933</v>
      </c>
      <c r="DC23" s="22">
        <f t="shared" si="103"/>
        <v>195.40212024911423</v>
      </c>
      <c r="DD23" s="22">
        <f t="shared" si="103"/>
        <v>193.4480990466231</v>
      </c>
      <c r="DE23" s="22">
        <f t="shared" si="103"/>
        <v>191.51361805615687</v>
      </c>
      <c r="DF23" s="22">
        <f t="shared" si="103"/>
        <v>189.5984818755953</v>
      </c>
      <c r="DG23" s="22">
        <f t="shared" ref="DG23:EL23" si="104">DF23*(1+$AY$28)</f>
        <v>187.70249705683935</v>
      </c>
      <c r="DH23" s="22">
        <f t="shared" si="104"/>
        <v>185.82547208627096</v>
      </c>
      <c r="DI23" s="22">
        <f t="shared" si="104"/>
        <v>183.96721736540826</v>
      </c>
      <c r="DJ23" s="22">
        <f t="shared" si="104"/>
        <v>182.12754519175417</v>
      </c>
      <c r="DK23" s="22">
        <f t="shared" si="104"/>
        <v>180.30626973983664</v>
      </c>
      <c r="DL23" s="22">
        <f t="shared" si="104"/>
        <v>178.50320704243828</v>
      </c>
      <c r="DM23" s="22">
        <f t="shared" si="104"/>
        <v>176.71817497201388</v>
      </c>
      <c r="DN23" s="22">
        <f t="shared" si="104"/>
        <v>174.95099322229373</v>
      </c>
      <c r="DO23" s="22">
        <f t="shared" si="104"/>
        <v>173.2014832900708</v>
      </c>
      <c r="DP23" s="22">
        <f t="shared" si="104"/>
        <v>171.46946845717008</v>
      </c>
      <c r="DQ23" s="22">
        <f t="shared" si="104"/>
        <v>169.75477377259838</v>
      </c>
      <c r="DR23" s="22">
        <f t="shared" si="104"/>
        <v>168.0572260348724</v>
      </c>
      <c r="DS23" s="22">
        <f t="shared" si="104"/>
        <v>166.37665377452367</v>
      </c>
      <c r="DT23" s="22">
        <f t="shared" si="104"/>
        <v>164.71288723677844</v>
      </c>
      <c r="DU23" s="22">
        <f t="shared" si="104"/>
        <v>163.06575836441067</v>
      </c>
      <c r="DV23" s="22">
        <f t="shared" si="104"/>
        <v>161.43510078076656</v>
      </c>
      <c r="DW23" s="22">
        <f t="shared" si="104"/>
        <v>159.82074977295889</v>
      </c>
      <c r="DX23" s="22">
        <f t="shared" si="104"/>
        <v>158.2225422752293</v>
      </c>
      <c r="DY23" s="22">
        <f t="shared" si="104"/>
        <v>156.64031685247701</v>
      </c>
      <c r="DZ23" s="22">
        <f t="shared" si="104"/>
        <v>155.07391368395224</v>
      </c>
      <c r="EA23" s="22">
        <f t="shared" si="104"/>
        <v>153.52317454711272</v>
      </c>
      <c r="EB23" s="22">
        <f t="shared" si="104"/>
        <v>151.98794280164159</v>
      </c>
      <c r="EC23" s="22">
        <f t="shared" si="104"/>
        <v>150.46806337362517</v>
      </c>
      <c r="ED23" s="22">
        <f t="shared" si="104"/>
        <v>148.96338273988891</v>
      </c>
      <c r="EE23" s="22">
        <f t="shared" si="104"/>
        <v>147.47374891249001</v>
      </c>
      <c r="EF23" s="22">
        <f t="shared" si="104"/>
        <v>145.99901142336512</v>
      </c>
      <c r="EG23" s="22">
        <f t="shared" si="104"/>
        <v>144.53902130913147</v>
      </c>
      <c r="EH23" s="22">
        <f t="shared" si="104"/>
        <v>143.09363109604016</v>
      </c>
      <c r="EI23" s="22">
        <f t="shared" si="104"/>
        <v>141.66269478507976</v>
      </c>
      <c r="EJ23" s="22">
        <f t="shared" si="104"/>
        <v>140.24606783722896</v>
      </c>
      <c r="EK23" s="22">
        <f t="shared" si="104"/>
        <v>138.84360715885668</v>
      </c>
      <c r="EL23" s="22">
        <f t="shared" si="104"/>
        <v>137.45517108726813</v>
      </c>
      <c r="EM23" s="22">
        <f t="shared" ref="EM23:FR23" si="105">EL23*(1+$AY$28)</f>
        <v>136.08061937639545</v>
      </c>
      <c r="EN23" s="22">
        <f t="shared" si="105"/>
        <v>134.7198131826315</v>
      </c>
      <c r="EO23" s="22">
        <f t="shared" si="105"/>
        <v>133.37261505080519</v>
      </c>
      <c r="EP23" s="22">
        <f t="shared" si="105"/>
        <v>132.03888890029714</v>
      </c>
      <c r="EQ23" s="22">
        <f t="shared" si="105"/>
        <v>130.71850001129417</v>
      </c>
      <c r="ER23" s="22">
        <f t="shared" si="105"/>
        <v>129.41131501118122</v>
      </c>
      <c r="ES23" s="22">
        <f t="shared" si="105"/>
        <v>128.11720186106939</v>
      </c>
      <c r="ET23" s="22">
        <f t="shared" si="105"/>
        <v>126.8360298424587</v>
      </c>
      <c r="EU23" s="22">
        <f t="shared" si="105"/>
        <v>125.56766954403412</v>
      </c>
      <c r="EV23" s="22">
        <f t="shared" si="105"/>
        <v>124.31199284859377</v>
      </c>
      <c r="EW23" s="22">
        <f t="shared" si="105"/>
        <v>123.06887292010784</v>
      </c>
      <c r="EX23" s="22">
        <f t="shared" si="105"/>
        <v>121.83818419090676</v>
      </c>
      <c r="EY23" s="22">
        <f t="shared" si="105"/>
        <v>120.61980234899769</v>
      </c>
      <c r="EZ23" s="22">
        <f t="shared" si="105"/>
        <v>119.41360432550772</v>
      </c>
      <c r="FA23" s="22">
        <f t="shared" si="105"/>
        <v>118.21946828225263</v>
      </c>
      <c r="FB23" s="22">
        <f t="shared" si="105"/>
        <v>117.03727359943011</v>
      </c>
      <c r="FC23" s="22">
        <f t="shared" si="105"/>
        <v>115.8669008634358</v>
      </c>
      <c r="FD23" s="22">
        <f t="shared" si="105"/>
        <v>114.70823185480144</v>
      </c>
      <c r="FE23" s="22">
        <f t="shared" si="105"/>
        <v>113.56114953625342</v>
      </c>
      <c r="FF23" s="22">
        <f t="shared" si="105"/>
        <v>112.42553804089088</v>
      </c>
      <c r="FG23" s="22">
        <f t="shared" si="105"/>
        <v>111.30128266048197</v>
      </c>
      <c r="FH23" s="22">
        <f t="shared" si="105"/>
        <v>110.18826983387716</v>
      </c>
      <c r="FI23" s="22">
        <f t="shared" si="105"/>
        <v>109.08638713553839</v>
      </c>
      <c r="FJ23" s="22">
        <f t="shared" si="105"/>
        <v>107.99552326418301</v>
      </c>
      <c r="FK23" s="22">
        <f t="shared" si="105"/>
        <v>106.91556803154117</v>
      </c>
      <c r="FL23" s="22">
        <f t="shared" si="105"/>
        <v>105.84641235122575</v>
      </c>
      <c r="FM23" s="22">
        <f t="shared" si="105"/>
        <v>104.7879482277135</v>
      </c>
      <c r="FN23" s="22">
        <f t="shared" si="105"/>
        <v>103.74006874543636</v>
      </c>
      <c r="FO23" s="22">
        <f t="shared" si="105"/>
        <v>102.702668057982</v>
      </c>
      <c r="FP23" s="22">
        <f t="shared" si="105"/>
        <v>101.67564137740217</v>
      </c>
      <c r="FQ23" s="22">
        <f t="shared" si="105"/>
        <v>100.65888496362815</v>
      </c>
      <c r="FR23" s="22">
        <f t="shared" si="105"/>
        <v>99.652296113991866</v>
      </c>
      <c r="FS23" s="22">
        <f t="shared" ref="FS23:GT23" si="106">FR23*(1+$AY$28)</f>
        <v>98.65577315285195</v>
      </c>
      <c r="FT23" s="22">
        <f t="shared" si="106"/>
        <v>97.669215421323429</v>
      </c>
      <c r="FU23" s="22">
        <f t="shared" si="106"/>
        <v>96.69252326711019</v>
      </c>
      <c r="FV23" s="22">
        <f t="shared" si="106"/>
        <v>95.725598034439088</v>
      </c>
      <c r="FW23" s="22">
        <f t="shared" si="106"/>
        <v>94.768342054094703</v>
      </c>
      <c r="FX23" s="22">
        <f t="shared" si="106"/>
        <v>93.820658633553748</v>
      </c>
      <c r="FY23" s="22">
        <f t="shared" si="106"/>
        <v>92.882452047218209</v>
      </c>
      <c r="FZ23" s="22">
        <f t="shared" si="106"/>
        <v>91.953627526746033</v>
      </c>
      <c r="GA23" s="22">
        <f t="shared" si="106"/>
        <v>91.034091251478571</v>
      </c>
      <c r="GB23" s="22">
        <f t="shared" si="106"/>
        <v>90.123750338963788</v>
      </c>
      <c r="GC23" s="22">
        <f t="shared" si="106"/>
        <v>89.22251283557415</v>
      </c>
      <c r="GD23" s="22">
        <f t="shared" si="106"/>
        <v>88.330287707218403</v>
      </c>
      <c r="GE23" s="22">
        <f t="shared" si="106"/>
        <v>87.446984830146221</v>
      </c>
      <c r="GF23" s="22">
        <f t="shared" si="106"/>
        <v>86.572514981844762</v>
      </c>
      <c r="GG23" s="22">
        <f t="shared" si="106"/>
        <v>85.706789832026317</v>
      </c>
      <c r="GH23" s="22">
        <f t="shared" si="106"/>
        <v>84.84972193370605</v>
      </c>
      <c r="GI23" s="22">
        <f t="shared" si="106"/>
        <v>84.001224714368988</v>
      </c>
      <c r="GJ23" s="22">
        <f t="shared" si="106"/>
        <v>83.161212467225297</v>
      </c>
      <c r="GK23" s="22">
        <f t="shared" si="106"/>
        <v>82.32960034255305</v>
      </c>
      <c r="GL23" s="22">
        <f t="shared" si="106"/>
        <v>81.506304339127524</v>
      </c>
      <c r="GM23" s="22">
        <f t="shared" si="106"/>
        <v>80.691241295736248</v>
      </c>
      <c r="GN23" s="22">
        <f t="shared" si="106"/>
        <v>79.884328882778888</v>
      </c>
      <c r="GO23" s="22">
        <f t="shared" si="106"/>
        <v>79.085485593951105</v>
      </c>
      <c r="GP23" s="22">
        <f t="shared" si="106"/>
        <v>78.294630738011591</v>
      </c>
      <c r="GQ23" s="22">
        <f t="shared" si="106"/>
        <v>77.511684430631476</v>
      </c>
      <c r="GR23" s="22">
        <f t="shared" si="106"/>
        <v>76.736567586325165</v>
      </c>
      <c r="GS23" s="22">
        <f t="shared" si="106"/>
        <v>75.969201910461919</v>
      </c>
      <c r="GT23" s="22">
        <f t="shared" si="106"/>
        <v>75.2095098913573</v>
      </c>
    </row>
    <row r="24" spans="1:202" x14ac:dyDescent="0.3">
      <c r="B24" s="1" t="s">
        <v>3</v>
      </c>
      <c r="C24" s="21">
        <v>193.5</v>
      </c>
      <c r="D24" s="21">
        <v>195.4</v>
      </c>
      <c r="E24" s="21">
        <v>197.2</v>
      </c>
      <c r="F24" s="21">
        <v>196.9</v>
      </c>
      <c r="G24" s="21">
        <v>218.8</v>
      </c>
      <c r="H24" s="21">
        <v>401.3</v>
      </c>
      <c r="I24" s="21">
        <v>403.9</v>
      </c>
      <c r="J24" s="21">
        <v>408</v>
      </c>
      <c r="K24" s="21">
        <v>410.5</v>
      </c>
      <c r="L24" s="21">
        <v>412.4</v>
      </c>
      <c r="M24" s="21">
        <v>414.4</v>
      </c>
      <c r="N24" s="21">
        <v>415.4</v>
      </c>
      <c r="O24" s="21">
        <v>419.3</v>
      </c>
      <c r="P24" s="21">
        <v>420.5</v>
      </c>
      <c r="Q24" s="21">
        <v>419.9</v>
      </c>
      <c r="R24" s="21">
        <v>411.4</v>
      </c>
      <c r="S24" s="21">
        <v>405.4</v>
      </c>
      <c r="T24" s="21">
        <v>397</v>
      </c>
      <c r="U24" s="21">
        <v>398.1</v>
      </c>
      <c r="V24" s="21">
        <v>386.5</v>
      </c>
      <c r="W24" s="21">
        <v>372.9</v>
      </c>
      <c r="X24" s="21">
        <v>365.7</v>
      </c>
      <c r="Y24" s="21">
        <v>360.1</v>
      </c>
      <c r="Z24" s="21">
        <v>354</v>
      </c>
      <c r="AA24" s="21">
        <v>348.8</v>
      </c>
      <c r="AB24" s="21">
        <f>X24*0.95</f>
        <v>347.41499999999996</v>
      </c>
      <c r="AC24" s="21">
        <f t="shared" ref="AC24:AD24" si="107">Y24*0.95</f>
        <v>342.09500000000003</v>
      </c>
      <c r="AD24" s="21">
        <f t="shared" si="107"/>
        <v>336.3</v>
      </c>
      <c r="AE24" s="21"/>
      <c r="AF24" s="21"/>
      <c r="AG24" s="21"/>
      <c r="AH24" s="21"/>
      <c r="AI24" s="21"/>
      <c r="AJ24" s="21">
        <f>AVERAGE(C24:F24)</f>
        <v>195.74999999999997</v>
      </c>
      <c r="AK24" s="21">
        <f>AVERAGE(G24:J24)</f>
        <v>358</v>
      </c>
      <c r="AL24" s="21">
        <f>AVERAGE(K24:N24)</f>
        <v>413.17499999999995</v>
      </c>
      <c r="AM24" s="21">
        <f>AVERAGE(O24:R24)</f>
        <v>417.77499999999998</v>
      </c>
      <c r="AN24" s="21">
        <f>V24</f>
        <v>386.5</v>
      </c>
      <c r="AO24" s="21">
        <f>Z24</f>
        <v>354</v>
      </c>
      <c r="AP24" s="21">
        <f>AD24</f>
        <v>336.3</v>
      </c>
      <c r="AQ24" s="21">
        <f t="shared" ref="AP24:AR24" si="108">AP24*1.01</f>
        <v>339.66300000000001</v>
      </c>
      <c r="AR24" s="21">
        <f t="shared" si="108"/>
        <v>343.05963000000003</v>
      </c>
      <c r="AS24" s="21">
        <f t="shared" ref="AS24" si="109">AR24*1.01</f>
        <v>346.49022630000002</v>
      </c>
      <c r="AT24" s="21">
        <f t="shared" ref="AT24" si="110">AS24*1.01</f>
        <v>349.95512856300002</v>
      </c>
    </row>
    <row r="25" spans="1:202" x14ac:dyDescent="0.3">
      <c r="B25" s="1" t="s">
        <v>36</v>
      </c>
      <c r="C25" s="23">
        <f t="shared" ref="C25:K25" si="111">C23/C24</f>
        <v>-0.17105943152454786</v>
      </c>
      <c r="D25" s="23">
        <f t="shared" si="111"/>
        <v>-0.1371545547594677</v>
      </c>
      <c r="E25" s="23">
        <f t="shared" si="111"/>
        <v>-7.1501014198783019E-2</v>
      </c>
      <c r="F25" s="23">
        <f t="shared" si="111"/>
        <v>-0.19146775012696804</v>
      </c>
      <c r="G25" s="23">
        <f t="shared" si="111"/>
        <v>-2.1275137111517366</v>
      </c>
      <c r="H25" s="23">
        <f t="shared" si="111"/>
        <v>-1.0216795414901683E-2</v>
      </c>
      <c r="I25" s="23">
        <f t="shared" si="111"/>
        <v>-1.4359990096558497E-2</v>
      </c>
      <c r="J25" s="23">
        <f t="shared" si="111"/>
        <v>-2.3284313725490197E-2</v>
      </c>
      <c r="K25" s="23">
        <f t="shared" si="111"/>
        <v>-1.8757612667478576E-2</v>
      </c>
      <c r="L25" s="23">
        <f t="shared" ref="L25:P25" si="112">L23/L24</f>
        <v>-5.1891367604267574E-2</v>
      </c>
      <c r="M25" s="23">
        <f t="shared" si="112"/>
        <v>-4.1023166023166087E-2</v>
      </c>
      <c r="N25" s="23">
        <f t="shared" si="112"/>
        <v>-1.5888300433317203E-2</v>
      </c>
      <c r="O25" s="23">
        <f t="shared" si="112"/>
        <v>9.3727641306940029E-2</v>
      </c>
      <c r="P25" s="23">
        <f t="shared" si="112"/>
        <v>4.1617122473246032E-2</v>
      </c>
      <c r="Q25" s="23">
        <f t="shared" ref="Q25" si="113">Q23/Q24</f>
        <v>7.7875684686830079E-2</v>
      </c>
      <c r="R25" s="23">
        <f t="shared" ref="R25:Z25" si="114">R23/R24</f>
        <v>0.12736995624696168</v>
      </c>
      <c r="S25" s="23">
        <f t="shared" si="114"/>
        <v>0.16008880118401581</v>
      </c>
      <c r="T25" s="23">
        <f t="shared" si="114"/>
        <v>0.22166246851385382</v>
      </c>
      <c r="U25" s="23">
        <f t="shared" si="114"/>
        <v>0.18990203466465727</v>
      </c>
      <c r="V25" s="23">
        <f t="shared" si="114"/>
        <v>0.35860284605433368</v>
      </c>
      <c r="W25" s="23">
        <f t="shared" si="114"/>
        <v>0.21373022257978011</v>
      </c>
      <c r="X25" s="23">
        <f t="shared" si="114"/>
        <v>0.19332786436970201</v>
      </c>
      <c r="Y25" s="23">
        <f t="shared" si="114"/>
        <v>0.24215495695640102</v>
      </c>
      <c r="Z25" s="23">
        <f t="shared" si="114"/>
        <v>1.3864406779661014</v>
      </c>
      <c r="AA25" s="23">
        <f t="shared" ref="AA25:AD25" si="115">AA23/AA24</f>
        <v>0.19782110091743127</v>
      </c>
      <c r="AB25" s="23">
        <f t="shared" si="115"/>
        <v>0.23168694500813153</v>
      </c>
      <c r="AC25" s="23">
        <f t="shared" si="115"/>
        <v>0.27038670544731747</v>
      </c>
      <c r="AD25" s="23">
        <f t="shared" si="115"/>
        <v>0.23161822777282187</v>
      </c>
      <c r="AE25" s="21"/>
      <c r="AF25" s="21"/>
      <c r="AG25" s="21"/>
      <c r="AH25" s="21"/>
      <c r="AI25" s="21"/>
      <c r="AJ25" s="23">
        <f>AJ23/AJ24</f>
        <v>-0.57062579821200488</v>
      </c>
      <c r="AK25" s="23">
        <f t="shared" ref="AK25:AL25" si="116">AK23/AK24</f>
        <v>-1.3544692737430173</v>
      </c>
      <c r="AL25" s="23">
        <f t="shared" si="116"/>
        <v>-0.12754885944212502</v>
      </c>
      <c r="AM25" s="23">
        <f>AM23/AM24</f>
        <v>0.33965651367362831</v>
      </c>
      <c r="AN25" s="23">
        <f t="shared" ref="AN25:AR25" si="117">AN23/AN24</f>
        <v>0.94980595084087993</v>
      </c>
      <c r="AO25" s="23">
        <f t="shared" si="117"/>
        <v>2.0576271186440676</v>
      </c>
      <c r="AP25" s="23">
        <f t="shared" si="117"/>
        <v>1.0808412132024978</v>
      </c>
      <c r="AQ25" s="23">
        <f t="shared" si="117"/>
        <v>1.083451357963628</v>
      </c>
      <c r="AR25" s="23">
        <f t="shared" si="117"/>
        <v>1.0770960966972409</v>
      </c>
      <c r="AS25" s="23">
        <f t="shared" ref="AS25:AT25" si="118">AS23/AS24</f>
        <v>1.0601543965058955</v>
      </c>
      <c r="AT25" s="23">
        <f t="shared" si="118"/>
        <v>1.0307896255374991</v>
      </c>
    </row>
    <row r="26" spans="1:202" x14ac:dyDescent="0.3">
      <c r="C26" s="19"/>
      <c r="D26" s="19"/>
      <c r="E26" s="19"/>
      <c r="F26" s="19"/>
      <c r="G26" s="19"/>
      <c r="H26" s="19"/>
      <c r="I26" s="19"/>
      <c r="J26" s="19"/>
      <c r="K26" s="19"/>
      <c r="L26" s="19"/>
      <c r="M26" s="19"/>
      <c r="N26" s="19"/>
      <c r="O26" s="19"/>
      <c r="P26" s="19"/>
      <c r="Q26" s="19"/>
      <c r="R26" s="31"/>
      <c r="S26" s="21"/>
      <c r="T26" s="19"/>
      <c r="U26" s="19"/>
      <c r="V26" s="31"/>
      <c r="W26" s="19"/>
      <c r="X26" s="23"/>
      <c r="Y26" s="31"/>
      <c r="Z26" s="31"/>
      <c r="AA26" s="19"/>
      <c r="AB26" s="19"/>
      <c r="AC26" s="19"/>
      <c r="AD26" s="19"/>
      <c r="AE26" s="19"/>
      <c r="AF26" s="19"/>
      <c r="AG26" s="19"/>
      <c r="AH26" s="19"/>
      <c r="AI26" s="19"/>
      <c r="AJ26" s="19"/>
      <c r="AK26" s="19"/>
      <c r="AL26" s="19"/>
      <c r="AM26" s="19"/>
      <c r="AN26" s="19"/>
      <c r="AO26" s="19"/>
      <c r="AP26" s="19"/>
      <c r="AQ26" s="19"/>
      <c r="AR26" s="19"/>
      <c r="AS26" s="19"/>
      <c r="AT26" s="19"/>
    </row>
    <row r="27" spans="1:202" x14ac:dyDescent="0.3">
      <c r="B27" s="33" t="s">
        <v>77</v>
      </c>
      <c r="C27" s="21">
        <f>C23+C22+C19</f>
        <v>-28.600000000000012</v>
      </c>
      <c r="D27" s="21">
        <f>D23+D22+D19</f>
        <v>-23.399999999999988</v>
      </c>
      <c r="E27" s="21">
        <f>E23+E22+E19</f>
        <v>-11.400000000000009</v>
      </c>
      <c r="F27" s="21">
        <f>F23+F22+F19</f>
        <v>-37.100000000000009</v>
      </c>
      <c r="G27" s="21">
        <f>G23+G22+G19</f>
        <v>-462.5</v>
      </c>
      <c r="H27" s="21">
        <f t="shared" ref="H27:O27" si="119">H23+H22-H19</f>
        <v>-1.0000000000000457</v>
      </c>
      <c r="I27" s="21">
        <f t="shared" si="119"/>
        <v>-3.599999999999977</v>
      </c>
      <c r="J27" s="21">
        <f t="shared" si="119"/>
        <v>-3.5000000000000004</v>
      </c>
      <c r="K27" s="21">
        <f t="shared" si="119"/>
        <v>-9.6999999999999567</v>
      </c>
      <c r="L27" s="21">
        <f t="shared" si="119"/>
        <v>-17.599999999999945</v>
      </c>
      <c r="M27" s="21">
        <f t="shared" si="119"/>
        <v>-12.400000000000025</v>
      </c>
      <c r="N27" s="21">
        <f t="shared" si="119"/>
        <v>0.20000000000003437</v>
      </c>
      <c r="O27" s="21">
        <f t="shared" si="119"/>
        <v>42.199999999999953</v>
      </c>
      <c r="P27" s="21">
        <f t="shared" ref="P27:W27" si="120">P23+P22+P19</f>
        <v>21.799999999999955</v>
      </c>
      <c r="Q27" s="21">
        <f t="shared" si="120"/>
        <v>33.499999999999943</v>
      </c>
      <c r="R27" s="21">
        <f t="shared" si="120"/>
        <v>53.600000000000023</v>
      </c>
      <c r="S27" s="21">
        <f t="shared" si="120"/>
        <v>64.900000000000006</v>
      </c>
      <c r="T27" s="21">
        <f t="shared" si="120"/>
        <v>91.899999999999977</v>
      </c>
      <c r="U27" s="21">
        <f t="shared" si="120"/>
        <v>77.800000000000068</v>
      </c>
      <c r="V27" s="21">
        <f t="shared" si="120"/>
        <v>101.19999999999997</v>
      </c>
      <c r="W27" s="21">
        <f t="shared" si="120"/>
        <v>95.2</v>
      </c>
      <c r="X27" s="21">
        <f>X23+X22+X19</f>
        <v>88.300000000000011</v>
      </c>
      <c r="Y27" s="21">
        <f t="shared" ref="Y27:Z27" si="121">Y23+Y22+Y19</f>
        <v>100.50000000000001</v>
      </c>
      <c r="Z27" s="21">
        <f t="shared" si="121"/>
        <v>80.599999999999909</v>
      </c>
      <c r="AA27" s="21">
        <f t="shared" ref="AA27:AD27" si="122">AA23+AA22+AA19</f>
        <v>83.700000000000017</v>
      </c>
      <c r="AB27" s="21">
        <f t="shared" si="122"/>
        <v>102.40300000000001</v>
      </c>
      <c r="AC27" s="21">
        <f t="shared" si="122"/>
        <v>115.33500000000009</v>
      </c>
      <c r="AD27" s="21">
        <f t="shared" si="122"/>
        <v>94.993999999999986</v>
      </c>
      <c r="AE27" s="19"/>
      <c r="AF27" s="19"/>
      <c r="AG27" s="19"/>
      <c r="AH27" s="19"/>
      <c r="AI27" s="19"/>
      <c r="AJ27" s="21">
        <f t="shared" ref="AJ27:AT27" si="123">AJ23+AJ22+AJ19</f>
        <v>-100.49999999999993</v>
      </c>
      <c r="AK27" s="21">
        <f t="shared" si="123"/>
        <v>-487.20000000000022</v>
      </c>
      <c r="AL27" s="21">
        <f t="shared" si="123"/>
        <v>-64.5</v>
      </c>
      <c r="AM27" s="21">
        <f t="shared" si="123"/>
        <v>146.30000000000007</v>
      </c>
      <c r="AN27" s="21">
        <f t="shared" si="123"/>
        <v>335.80000000000007</v>
      </c>
      <c r="AO27" s="21">
        <f t="shared" si="123"/>
        <v>364.59999999999985</v>
      </c>
      <c r="AP27" s="21">
        <f t="shared" si="123"/>
        <v>456.6450000000001</v>
      </c>
      <c r="AQ27" s="21">
        <f t="shared" si="123"/>
        <v>462.33368999999971</v>
      </c>
      <c r="AR27" s="21">
        <f t="shared" si="123"/>
        <v>464.19723755999962</v>
      </c>
      <c r="AS27" s="21">
        <f t="shared" si="123"/>
        <v>461.40866115938945</v>
      </c>
      <c r="AT27" s="21">
        <f t="shared" si="123"/>
        <v>453.01470701216283</v>
      </c>
      <c r="AX27" s="37" t="s">
        <v>140</v>
      </c>
      <c r="BA27" s="37" t="s">
        <v>141</v>
      </c>
    </row>
    <row r="28" spans="1:202" x14ac:dyDescent="0.3">
      <c r="B28" s="33" t="s">
        <v>78</v>
      </c>
      <c r="C28" s="21"/>
      <c r="D28" s="21"/>
      <c r="E28" s="21"/>
      <c r="F28" s="21"/>
      <c r="G28" s="27">
        <f>G27/C27-1</f>
        <v>15.171328671328663</v>
      </c>
      <c r="H28" s="27">
        <f t="shared" ref="H28:V28" si="124">H27/D27-1</f>
        <v>-0.95726495726495531</v>
      </c>
      <c r="I28" s="27">
        <f t="shared" si="124"/>
        <v>-0.68421052631579182</v>
      </c>
      <c r="J28" s="27">
        <f t="shared" si="124"/>
        <v>-0.90566037735849059</v>
      </c>
      <c r="K28" s="27">
        <f t="shared" si="124"/>
        <v>-0.97902702702702715</v>
      </c>
      <c r="L28" s="27">
        <f t="shared" si="124"/>
        <v>16.599999999999138</v>
      </c>
      <c r="M28" s="27">
        <f t="shared" si="124"/>
        <v>2.4444444444444735</v>
      </c>
      <c r="N28" s="27">
        <f t="shared" si="124"/>
        <v>-1.0571428571428669</v>
      </c>
      <c r="O28" s="27">
        <f t="shared" si="124"/>
        <v>-5.3505154639175405</v>
      </c>
      <c r="P28" s="27">
        <f t="shared" si="124"/>
        <v>-2.2386363636363651</v>
      </c>
      <c r="Q28" s="27">
        <f t="shared" si="124"/>
        <v>-3.7016129032257963</v>
      </c>
      <c r="R28" s="27">
        <f t="shared" si="124"/>
        <v>266.99999999995407</v>
      </c>
      <c r="S28" s="27">
        <f t="shared" si="124"/>
        <v>0.53791469194312991</v>
      </c>
      <c r="T28" s="27">
        <f t="shared" si="124"/>
        <v>3.2155963302752371</v>
      </c>
      <c r="U28" s="27">
        <f t="shared" si="124"/>
        <v>1.3223880597014985</v>
      </c>
      <c r="V28" s="27">
        <f t="shared" si="124"/>
        <v>0.88805970149253599</v>
      </c>
      <c r="W28" s="27">
        <f>W27/S27-1</f>
        <v>0.46687211093990744</v>
      </c>
      <c r="X28" s="27">
        <f t="shared" ref="X28:Z28" si="125">X27/T27-1</f>
        <v>-3.9173014145810314E-2</v>
      </c>
      <c r="Y28" s="27">
        <f t="shared" si="125"/>
        <v>0.29177377892030743</v>
      </c>
      <c r="Z28" s="27">
        <f t="shared" si="125"/>
        <v>-0.20355731225296514</v>
      </c>
      <c r="AA28" s="27">
        <f t="shared" ref="AA28" si="126">AA27/W27-1</f>
        <v>-0.12079831932773089</v>
      </c>
      <c r="AB28" s="27">
        <f t="shared" ref="AB28" si="127">AB27/X27-1</f>
        <v>0.15971687429218573</v>
      </c>
      <c r="AC28" s="27">
        <f t="shared" ref="AC28" si="128">AC27/Y27-1</f>
        <v>0.14761194029850833</v>
      </c>
      <c r="AD28" s="27">
        <f t="shared" ref="AD28" si="129">AD27/Z27-1</f>
        <v>0.17858560794044775</v>
      </c>
      <c r="AE28" s="19"/>
      <c r="AF28" s="19"/>
      <c r="AG28" s="19"/>
      <c r="AH28" s="19"/>
      <c r="AI28" s="19"/>
      <c r="AJ28" s="27"/>
      <c r="AK28" s="27">
        <f>AK27/AJ27-1</f>
        <v>3.8477611940298564</v>
      </c>
      <c r="AL28" s="27">
        <f t="shared" ref="AL28:AT28" si="130">AL27/AK27-1</f>
        <v>-0.86761083743842371</v>
      </c>
      <c r="AM28" s="27">
        <f t="shared" si="130"/>
        <v>-3.2682170542635669</v>
      </c>
      <c r="AN28" s="27">
        <f t="shared" si="130"/>
        <v>1.2952836637047156</v>
      </c>
      <c r="AO28" s="27">
        <f t="shared" si="130"/>
        <v>8.576533650982654E-2</v>
      </c>
      <c r="AP28" s="27">
        <f t="shared" si="130"/>
        <v>0.25245474492594711</v>
      </c>
      <c r="AQ28" s="27">
        <f t="shared" si="130"/>
        <v>1.2457576454356412E-2</v>
      </c>
      <c r="AR28" s="27">
        <f t="shared" si="130"/>
        <v>4.0307414326650193E-3</v>
      </c>
      <c r="AS28" s="27">
        <f t="shared" si="130"/>
        <v>-6.0073093395988097E-3</v>
      </c>
      <c r="AT28" s="27">
        <f t="shared" si="130"/>
        <v>-1.819201686880989E-2</v>
      </c>
      <c r="AX28" s="1" t="s">
        <v>41</v>
      </c>
      <c r="AY28" s="7">
        <v>-0.01</v>
      </c>
      <c r="BA28" s="1" t="s">
        <v>41</v>
      </c>
      <c r="BB28" s="7">
        <v>-0.01</v>
      </c>
    </row>
    <row r="29" spans="1:202" x14ac:dyDescent="0.3">
      <c r="B29" s="33" t="s">
        <v>79</v>
      </c>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X29" s="1" t="s">
        <v>42</v>
      </c>
      <c r="AY29" s="24">
        <f>WACC!C18</f>
        <v>5.1079046445535924E-2</v>
      </c>
      <c r="BA29" s="1" t="s">
        <v>42</v>
      </c>
      <c r="BB29" s="7">
        <f>WACC!C18</f>
        <v>5.1079046445535924E-2</v>
      </c>
    </row>
    <row r="30" spans="1:202" s="3" customFormat="1" x14ac:dyDescent="0.3">
      <c r="B30" s="3" t="s">
        <v>38</v>
      </c>
      <c r="C30" s="25"/>
      <c r="D30" s="25"/>
      <c r="E30" s="25"/>
      <c r="F30" s="25"/>
      <c r="G30" s="26">
        <f>G11/C11-1</f>
        <v>0.27591770875352961</v>
      </c>
      <c r="H30" s="26">
        <f t="shared" ref="H30:O30" si="131">H11/D11-1</f>
        <v>0.27184101987251585</v>
      </c>
      <c r="I30" s="26">
        <f t="shared" si="131"/>
        <v>0.25671433554237888</v>
      </c>
      <c r="J30" s="26">
        <f t="shared" si="131"/>
        <v>0.23044189852700492</v>
      </c>
      <c r="K30" s="26">
        <f t="shared" si="131"/>
        <v>0.21909579513120447</v>
      </c>
      <c r="L30" s="26">
        <f t="shared" si="131"/>
        <v>0.1836674528301887</v>
      </c>
      <c r="M30" s="26">
        <f t="shared" si="131"/>
        <v>0.1884540660560643</v>
      </c>
      <c r="N30" s="26">
        <f t="shared" si="131"/>
        <v>0.18648576749135426</v>
      </c>
      <c r="O30" s="26">
        <f t="shared" si="131"/>
        <v>0.17997925311203322</v>
      </c>
      <c r="P30" s="26">
        <f>P11/L11-1</f>
        <v>0.16413449564134486</v>
      </c>
      <c r="Q30" s="26">
        <f t="shared" ref="Q30:R30" si="132">Q11/M11-1</f>
        <v>0.13825315273236805</v>
      </c>
      <c r="R30" s="26">
        <f t="shared" si="132"/>
        <v>0.13026905829596425</v>
      </c>
      <c r="S30" s="26">
        <f t="shared" ref="S30:W31" si="133">S11/O11-1</f>
        <v>0.12439560439560449</v>
      </c>
      <c r="T30" s="26">
        <f t="shared" si="133"/>
        <v>0.13521608900299542</v>
      </c>
      <c r="U30" s="26">
        <f t="shared" si="133"/>
        <v>0.12884694296265908</v>
      </c>
      <c r="V30" s="26">
        <f t="shared" si="133"/>
        <v>0.12180122991469933</v>
      </c>
      <c r="W30" s="26">
        <f t="shared" si="133"/>
        <v>9.9296325254104589E-2</v>
      </c>
      <c r="X30" s="26">
        <f t="shared" ref="X30:Z30" si="134">X11/T11-1</f>
        <v>7.9344138710893297E-2</v>
      </c>
      <c r="Y30" s="26">
        <f t="shared" si="134"/>
        <v>7.4154852780806912E-2</v>
      </c>
      <c r="Z30" s="26">
        <f t="shared" si="134"/>
        <v>5.8885941644562179E-2</v>
      </c>
      <c r="AA30" s="26">
        <f t="shared" ref="AA30:AA31" si="135">AA11/W11-1</f>
        <v>8.6593172119487916E-2</v>
      </c>
      <c r="AB30" s="26">
        <f t="shared" ref="AB30:AB31" si="136">AB11/X11-1</f>
        <v>5.0000000000000044E-2</v>
      </c>
      <c r="AC30" s="26">
        <f t="shared" ref="AC30:AC31" si="137">AC11/Y11-1</f>
        <v>5.0000000000000044E-2</v>
      </c>
      <c r="AD30" s="26">
        <f t="shared" ref="AD30:AD31" si="138">AD11/Z11-1</f>
        <v>5.0000000000000044E-2</v>
      </c>
      <c r="AE30" s="25"/>
      <c r="AF30" s="25"/>
      <c r="AG30" s="25"/>
      <c r="AH30" s="25"/>
      <c r="AI30" s="25"/>
      <c r="AJ30" s="25"/>
      <c r="AK30" s="26">
        <f t="shared" ref="AK30:AM31" si="139">AK11/AJ11-1</f>
        <v>0.25740874593422469</v>
      </c>
      <c r="AL30" s="26">
        <f t="shared" si="139"/>
        <v>0.1937199109003378</v>
      </c>
      <c r="AM30" s="26">
        <f t="shared" si="139"/>
        <v>0.15204959971106979</v>
      </c>
      <c r="AN30" s="26">
        <f t="shared" ref="AN30:AQ30" si="140">AN11/AM11-1</f>
        <v>0.12748837452322492</v>
      </c>
      <c r="AO30" s="26">
        <f t="shared" si="140"/>
        <v>7.7390055146206782E-2</v>
      </c>
      <c r="AP30" s="26">
        <f t="shared" si="140"/>
        <v>8.1749752677534593E-2</v>
      </c>
      <c r="AQ30" s="26">
        <f t="shared" si="140"/>
        <v>8.1499999999999906E-2</v>
      </c>
      <c r="AR30" s="26">
        <f>AR11/AQ11-1</f>
        <v>8.1499999999999906E-2</v>
      </c>
      <c r="AS30" s="26">
        <f t="shared" ref="AS30:AT30" si="141">AS11/AR11-1</f>
        <v>8.1500000000000128E-2</v>
      </c>
      <c r="AT30" s="26">
        <f t="shared" si="141"/>
        <v>8.1500000000000128E-2</v>
      </c>
      <c r="AX30" s="2" t="s">
        <v>43</v>
      </c>
      <c r="AY30" s="2">
        <f>NPV(AY29,AO23:GT23)</f>
        <v>6531.414975667888</v>
      </c>
      <c r="BA30" s="2" t="s">
        <v>43</v>
      </c>
      <c r="BB30" s="38">
        <f>NPV(BB29,AN109:GT109)</f>
        <v>11585.955121218631</v>
      </c>
    </row>
    <row r="31" spans="1:202" s="3" customFormat="1" x14ac:dyDescent="0.3">
      <c r="B31" s="1" t="s">
        <v>64</v>
      </c>
      <c r="C31" s="25"/>
      <c r="D31" s="25"/>
      <c r="E31" s="25"/>
      <c r="F31" s="25"/>
      <c r="G31" s="27">
        <f>G12/C12-1</f>
        <v>0.28983957219251333</v>
      </c>
      <c r="H31" s="27">
        <f t="shared" ref="H31:O31" si="142">H12/D12-1</f>
        <v>-2.9284164859002204E-2</v>
      </c>
      <c r="I31" s="27">
        <f t="shared" si="142"/>
        <v>-1.4207650273224015E-2</v>
      </c>
      <c r="J31" s="27">
        <f t="shared" si="142"/>
        <v>2.9443838604144013E-2</v>
      </c>
      <c r="K31" s="27">
        <f t="shared" si="142"/>
        <v>-0.18407960199004969</v>
      </c>
      <c r="L31" s="27">
        <f t="shared" si="142"/>
        <v>0.14972067039106141</v>
      </c>
      <c r="M31" s="27">
        <f t="shared" si="142"/>
        <v>0.16186252771618626</v>
      </c>
      <c r="N31" s="27">
        <f t="shared" si="142"/>
        <v>0.11122881355932202</v>
      </c>
      <c r="O31" s="27">
        <f t="shared" si="142"/>
        <v>4.776422764227628E-2</v>
      </c>
      <c r="P31" s="27">
        <f>P12/L12-1</f>
        <v>-3.8872691933916625E-3</v>
      </c>
      <c r="Q31" s="27">
        <f>Q12/M12-1</f>
        <v>-1.5267175572518998E-2</v>
      </c>
      <c r="R31" s="27">
        <f>R12/N12-1</f>
        <v>8.5795996186843748E-3</v>
      </c>
      <c r="S31" s="27">
        <f t="shared" si="133"/>
        <v>6.0135790494665331E-2</v>
      </c>
      <c r="T31" s="27">
        <f t="shared" si="133"/>
        <v>4.4878048780487845E-2</v>
      </c>
      <c r="U31" s="27">
        <f t="shared" si="133"/>
        <v>8.5271317829457294E-2</v>
      </c>
      <c r="V31" s="27">
        <f t="shared" si="133"/>
        <v>9.4517958412098313E-2</v>
      </c>
      <c r="W31" s="27">
        <f t="shared" si="133"/>
        <v>3.2936870997255285E-2</v>
      </c>
      <c r="X31" s="27">
        <f t="shared" ref="X31:Z31" si="143">X12/T12-1</f>
        <v>-1.2138188608776801E-2</v>
      </c>
      <c r="Y31" s="27">
        <f t="shared" si="143"/>
        <v>-2.0535714285714213E-2</v>
      </c>
      <c r="Z31" s="27">
        <f t="shared" si="143"/>
        <v>0</v>
      </c>
      <c r="AA31" s="27">
        <f t="shared" si="135"/>
        <v>3.4543844109831578E-2</v>
      </c>
      <c r="AB31" s="27">
        <f t="shared" si="136"/>
        <v>3.0000000000000027E-2</v>
      </c>
      <c r="AC31" s="27">
        <f t="shared" si="137"/>
        <v>3.0000000000000027E-2</v>
      </c>
      <c r="AD31" s="27">
        <f t="shared" si="138"/>
        <v>3.0000000000000027E-2</v>
      </c>
      <c r="AE31" s="25"/>
      <c r="AF31" s="25"/>
      <c r="AG31" s="25"/>
      <c r="AH31" s="25"/>
      <c r="AI31" s="19"/>
      <c r="AJ31" s="19"/>
      <c r="AK31" s="27">
        <f t="shared" si="139"/>
        <v>6.9937652480347223E-2</v>
      </c>
      <c r="AL31" s="27">
        <f t="shared" si="139"/>
        <v>4.1297187737522112E-2</v>
      </c>
      <c r="AM31" s="27">
        <f t="shared" si="139"/>
        <v>8.7591240875912746E-3</v>
      </c>
      <c r="AN31" s="27">
        <f>AN12/AM12-1</f>
        <v>7.1394114809454789E-2</v>
      </c>
      <c r="AO31" s="27">
        <f>AO12/AN12-1</f>
        <v>0</v>
      </c>
      <c r="AP31" s="27">
        <f>AP12/AO12-1</f>
        <v>5.0000000000000044E-2</v>
      </c>
      <c r="AQ31" s="27">
        <f>AQ12/AP12-1</f>
        <v>5.0000000000000044E-2</v>
      </c>
      <c r="AR31" s="27">
        <f>AR12/AQ12-1</f>
        <v>5.0000000000000044E-2</v>
      </c>
      <c r="AS31" s="27">
        <f>AS12/AR12-1</f>
        <v>5.0000000000000044E-2</v>
      </c>
      <c r="AT31" s="27">
        <f>AT12/AS12-1</f>
        <v>5.0000000000000044E-2</v>
      </c>
      <c r="AX31" s="2" t="s">
        <v>65</v>
      </c>
      <c r="AY31" s="2">
        <f>Main!C7-Main!C8</f>
        <v>-1025.3000000000002</v>
      </c>
      <c r="BA31" s="2" t="s">
        <v>65</v>
      </c>
      <c r="BB31" s="36">
        <f>Main!C7-Main!C8</f>
        <v>-1025.3000000000002</v>
      </c>
    </row>
    <row r="32" spans="1:202" s="3" customFormat="1" x14ac:dyDescent="0.3">
      <c r="A32" s="1"/>
      <c r="B32" s="1" t="s">
        <v>58</v>
      </c>
      <c r="C32" s="19"/>
      <c r="D32" s="19"/>
      <c r="E32" s="19"/>
      <c r="F32" s="19"/>
      <c r="G32" s="7">
        <f>G17/C17-1</f>
        <v>2.5228966986155483</v>
      </c>
      <c r="H32" s="7">
        <f t="shared" ref="H32:R32" si="144">H17/D17-1</f>
        <v>0.27683896620278348</v>
      </c>
      <c r="I32" s="7">
        <f t="shared" si="144"/>
        <v>0.31914893617021267</v>
      </c>
      <c r="J32" s="7">
        <f t="shared" si="144"/>
        <v>0.16885702907208278</v>
      </c>
      <c r="K32" s="7">
        <f t="shared" si="144"/>
        <v>-0.53370616686819838</v>
      </c>
      <c r="L32" s="7">
        <f t="shared" si="144"/>
        <v>0.29466718567535977</v>
      </c>
      <c r="M32" s="7">
        <f t="shared" si="144"/>
        <v>0.22580645161290325</v>
      </c>
      <c r="N32" s="7">
        <f t="shared" si="144"/>
        <v>0.18466780238500857</v>
      </c>
      <c r="O32" s="7">
        <f t="shared" si="144"/>
        <v>5.380875202593205E-2</v>
      </c>
      <c r="P32" s="7">
        <f t="shared" si="144"/>
        <v>5.8628983764281495E-2</v>
      </c>
      <c r="Q32" s="7">
        <f t="shared" si="144"/>
        <v>3.5672514619883078E-2</v>
      </c>
      <c r="R32" s="7">
        <f t="shared" si="144"/>
        <v>-2.8760425654299482E-3</v>
      </c>
      <c r="S32" s="7">
        <f t="shared" ref="S32" si="145">S17/O17-1</f>
        <v>5.352199323285145E-2</v>
      </c>
      <c r="T32" s="7">
        <f t="shared" ref="T32" si="146">T17/P17-1</f>
        <v>-3.692132916785007E-2</v>
      </c>
      <c r="U32" s="7">
        <f t="shared" ref="U32" si="147">U17/Q17-1</f>
        <v>1.8915866741953558E-2</v>
      </c>
      <c r="V32" s="7">
        <f t="shared" ref="V32" si="148">V17/R17-1</f>
        <v>5.4225555235073664E-2</v>
      </c>
      <c r="W32" s="7">
        <f t="shared" ref="W32" si="149">W17/S17-1</f>
        <v>5.1094890510948954E-2</v>
      </c>
      <c r="X32" s="7">
        <f t="shared" ref="X32" si="150">X17/T17-1</f>
        <v>0.10675317015629604</v>
      </c>
      <c r="Y32" s="7">
        <f t="shared" ref="Y32" si="151">Y17/U17-1</f>
        <v>7.509005264616242E-2</v>
      </c>
      <c r="Z32" s="7">
        <f t="shared" ref="Z32" si="152">Z17/V17-1</f>
        <v>9.6853625170998825E-2</v>
      </c>
      <c r="AA32" s="7">
        <f t="shared" ref="AA32" si="153">AA17/W17-1</f>
        <v>0.13944444444444448</v>
      </c>
      <c r="AB32" s="7">
        <f t="shared" ref="AB32" si="154">AB17/X17-1</f>
        <v>3.0000000000000027E-2</v>
      </c>
      <c r="AC32" s="7">
        <f t="shared" ref="AC32" si="155">AC17/Y17-1</f>
        <v>3.0000000000000027E-2</v>
      </c>
      <c r="AD32" s="7">
        <f t="shared" ref="AD32" si="156">AD17/Z17-1</f>
        <v>3.0000000000000027E-2</v>
      </c>
      <c r="AE32" s="25"/>
      <c r="AF32" s="25"/>
      <c r="AG32" s="25"/>
      <c r="AH32" s="25"/>
      <c r="AI32" s="19"/>
      <c r="AJ32" s="19"/>
      <c r="AK32" s="7">
        <f>AK17/AJ17-1</f>
        <v>0.75082198215124496</v>
      </c>
      <c r="AL32" s="7">
        <f t="shared" ref="AL32:AR32" si="157">AL17/AK17-1</f>
        <v>-0.10744466800804831</v>
      </c>
      <c r="AM32" s="7">
        <f>AM17/AL17-1</f>
        <v>3.5542530808536421E-2</v>
      </c>
      <c r="AN32" s="7">
        <f>AN17/AM17-1</f>
        <v>2.169653871272037E-2</v>
      </c>
      <c r="AO32" s="7">
        <f>AO17/AN17-1</f>
        <v>8.2528409090908861E-2</v>
      </c>
      <c r="AP32" s="7">
        <f>AP17/AO17-1</f>
        <v>5.0000000000000266E-2</v>
      </c>
      <c r="AQ32" s="7">
        <f t="shared" si="157"/>
        <v>0.1100000000000001</v>
      </c>
      <c r="AR32" s="7">
        <f t="shared" si="157"/>
        <v>0.1100000000000001</v>
      </c>
      <c r="AS32" s="7">
        <f t="shared" ref="AS32:AT32" si="158">AS17/AR17-1</f>
        <v>0.1100000000000001</v>
      </c>
      <c r="AT32" s="7">
        <f t="shared" si="158"/>
        <v>0.10999999999999988</v>
      </c>
      <c r="AX32" s="1" t="s">
        <v>66</v>
      </c>
      <c r="AY32" s="2">
        <f>+AY30+AY31</f>
        <v>5506.1149756678878</v>
      </c>
      <c r="BA32" s="1" t="s">
        <v>66</v>
      </c>
      <c r="BB32" s="2">
        <f>+BB30+BB31</f>
        <v>10560.655121218631</v>
      </c>
    </row>
    <row r="33" spans="2:54" x14ac:dyDescent="0.3">
      <c r="B33" s="1" t="s">
        <v>39</v>
      </c>
      <c r="C33" s="27">
        <f>C13/C11</f>
        <v>0.62283178701089148</v>
      </c>
      <c r="D33" s="27">
        <f t="shared" ref="D33:R33" si="159">D13/D11</f>
        <v>0.65429321334833146</v>
      </c>
      <c r="E33" s="27">
        <f t="shared" si="159"/>
        <v>0.68085106382978722</v>
      </c>
      <c r="F33" s="27">
        <f t="shared" si="159"/>
        <v>0.69983633387888711</v>
      </c>
      <c r="G33" s="27">
        <f t="shared" si="159"/>
        <v>0.61871640847296872</v>
      </c>
      <c r="H33" s="27">
        <f t="shared" si="159"/>
        <v>0.73614386792452824</v>
      </c>
      <c r="I33" s="27">
        <f t="shared" si="159"/>
        <v>0.74965306688870392</v>
      </c>
      <c r="J33" s="27">
        <f t="shared" si="159"/>
        <v>0.74886938015429638</v>
      </c>
      <c r="K33" s="27">
        <f t="shared" si="159"/>
        <v>0.74481327800829888</v>
      </c>
      <c r="L33" s="27">
        <f t="shared" si="159"/>
        <v>0.7437110834371109</v>
      </c>
      <c r="M33" s="27">
        <f t="shared" si="159"/>
        <v>0.75525455394675378</v>
      </c>
      <c r="N33" s="27">
        <f t="shared" si="159"/>
        <v>0.76479820627802697</v>
      </c>
      <c r="O33" s="27">
        <f t="shared" si="159"/>
        <v>0.77340659340659335</v>
      </c>
      <c r="P33" s="27">
        <f t="shared" si="159"/>
        <v>0.7807017543859649</v>
      </c>
      <c r="Q33" s="27">
        <f t="shared" si="159"/>
        <v>0.78826425933524824</v>
      </c>
      <c r="R33" s="27">
        <f t="shared" si="159"/>
        <v>0.79012100773656024</v>
      </c>
      <c r="S33" s="27">
        <f t="shared" ref="S33:W33" si="160">S13/S11</f>
        <v>0.78635652853792026</v>
      </c>
      <c r="T33" s="27">
        <f t="shared" si="160"/>
        <v>0.79815303430079154</v>
      </c>
      <c r="U33" s="27">
        <f t="shared" si="160"/>
        <v>0.79643765903307895</v>
      </c>
      <c r="V33" s="27">
        <f t="shared" si="160"/>
        <v>0.79522546419098139</v>
      </c>
      <c r="W33" s="27">
        <f t="shared" si="160"/>
        <v>0.79925320056899007</v>
      </c>
      <c r="X33" s="27">
        <f t="shared" ref="X33:Z33" si="161">X13/X11</f>
        <v>0.81526104417670686</v>
      </c>
      <c r="Y33" s="27">
        <f t="shared" si="161"/>
        <v>0.8143824027072758</v>
      </c>
      <c r="Z33" s="27">
        <f t="shared" si="161"/>
        <v>0.80661322645290578</v>
      </c>
      <c r="AA33" s="27">
        <f t="shared" ref="AA33:AD33" si="162">AA13/AA11</f>
        <v>0.80886925216822125</v>
      </c>
      <c r="AB33" s="27">
        <f t="shared" si="162"/>
        <v>0.81877988143048386</v>
      </c>
      <c r="AC33" s="27">
        <f t="shared" si="162"/>
        <v>0.81791797598904203</v>
      </c>
      <c r="AD33" s="27">
        <f t="shared" si="162"/>
        <v>0.81029678404427907</v>
      </c>
      <c r="AE33" s="19"/>
      <c r="AF33" s="19"/>
      <c r="AG33" s="19"/>
      <c r="AH33" s="19"/>
      <c r="AI33" s="19"/>
      <c r="AJ33" s="27">
        <f t="shared" ref="AJ33:AL33" si="163">AJ13/AJ11</f>
        <v>0.66669678352005779</v>
      </c>
      <c r="AK33" s="27">
        <f t="shared" si="163"/>
        <v>0.71639002658618944</v>
      </c>
      <c r="AL33" s="27">
        <f t="shared" si="163"/>
        <v>0.75260338289291517</v>
      </c>
      <c r="AM33" s="27">
        <f t="shared" ref="AM33:AR33" si="164">AM13/AM11</f>
        <v>0.78337426197815985</v>
      </c>
      <c r="AN33" s="27">
        <f t="shared" si="164"/>
        <v>0.79415172158116687</v>
      </c>
      <c r="AO33" s="27">
        <f t="shared" si="164"/>
        <v>0.80893801883951988</v>
      </c>
      <c r="AP33" s="27">
        <f t="shared" si="164"/>
        <v>0.81454575818303276</v>
      </c>
      <c r="AQ33" s="27">
        <f t="shared" si="164"/>
        <v>0.81994733804177933</v>
      </c>
      <c r="AR33" s="27">
        <f t="shared" si="164"/>
        <v>0.82519159033182465</v>
      </c>
      <c r="AS33" s="27">
        <f t="shared" ref="AS33:AT33" si="165">AS13/AS11</f>
        <v>0.83028309740953854</v>
      </c>
      <c r="AT33" s="27">
        <f t="shared" si="165"/>
        <v>0.83522630816460053</v>
      </c>
      <c r="AX33" s="2" t="s">
        <v>3</v>
      </c>
      <c r="AY33" s="2">
        <f>Main!C5</f>
        <v>348.8</v>
      </c>
      <c r="BA33" s="2" t="s">
        <v>3</v>
      </c>
      <c r="BB33" s="2">
        <f>Main!C5</f>
        <v>348.8</v>
      </c>
    </row>
    <row r="34" spans="2:54" x14ac:dyDescent="0.3">
      <c r="B34" s="1" t="s">
        <v>40</v>
      </c>
      <c r="C34" s="27">
        <f>C18/C11</f>
        <v>-0.13473174667204521</v>
      </c>
      <c r="D34" s="27">
        <f t="shared" ref="D34:R34" si="166">D18/D11</f>
        <v>-0.10011248593925755</v>
      </c>
      <c r="E34" s="27">
        <f t="shared" si="166"/>
        <v>-5.6853854202999696E-2</v>
      </c>
      <c r="F34" s="27">
        <f t="shared" si="166"/>
        <v>-0.12209492635024553</v>
      </c>
      <c r="G34" s="27">
        <f t="shared" si="166"/>
        <v>-1.4729687006006955</v>
      </c>
      <c r="H34" s="27">
        <f t="shared" si="166"/>
        <v>-2.1226415094339757E-2</v>
      </c>
      <c r="I34" s="27">
        <f t="shared" si="166"/>
        <v>-2.4701637524285253E-2</v>
      </c>
      <c r="J34" s="27">
        <f t="shared" si="166"/>
        <v>-3.192338387869114E-2</v>
      </c>
      <c r="K34" s="27">
        <f t="shared" si="166"/>
        <v>-5.5238589211618137E-2</v>
      </c>
      <c r="L34" s="27">
        <f t="shared" si="166"/>
        <v>-8.4682440846824261E-2</v>
      </c>
      <c r="M34" s="27">
        <f t="shared" si="166"/>
        <v>-4.3437645959831905E-2</v>
      </c>
      <c r="N34" s="27">
        <f t="shared" si="166"/>
        <v>-1.4798206278026829E-2</v>
      </c>
      <c r="O34" s="27">
        <f t="shared" si="166"/>
        <v>5.8901098901098799E-2</v>
      </c>
      <c r="P34" s="27">
        <f t="shared" si="166"/>
        <v>2.7385537013264773E-2</v>
      </c>
      <c r="Q34" s="27">
        <f t="shared" si="166"/>
        <v>6.1551087402543996E-2</v>
      </c>
      <c r="R34" s="27">
        <f t="shared" si="166"/>
        <v>0.10236064272961717</v>
      </c>
      <c r="S34" s="27">
        <f t="shared" ref="S34:W34" si="167">S18/S11</f>
        <v>0.11688819390148555</v>
      </c>
      <c r="T34" s="27">
        <f t="shared" si="167"/>
        <v>0.15906520919713527</v>
      </c>
      <c r="U34" s="27">
        <f t="shared" si="167"/>
        <v>0.14049436568520549</v>
      </c>
      <c r="V34" s="27">
        <f t="shared" si="167"/>
        <v>0.14889478337754197</v>
      </c>
      <c r="W34" s="27">
        <f t="shared" si="167"/>
        <v>0.1591394025604552</v>
      </c>
      <c r="X34" s="27">
        <f t="shared" ref="X34:Z34" si="168">X18/X11</f>
        <v>0.15994412432338051</v>
      </c>
      <c r="Y34" s="27">
        <f t="shared" si="168"/>
        <v>0.15786802030456853</v>
      </c>
      <c r="Z34" s="27">
        <f t="shared" si="168"/>
        <v>0.13710754843019357</v>
      </c>
      <c r="AA34" s="27">
        <f t="shared" ref="AA34:AD34" si="169">AA18/AA11</f>
        <v>0.13762068401243663</v>
      </c>
      <c r="AB34" s="27">
        <f t="shared" si="169"/>
        <v>0.17594518862198277</v>
      </c>
      <c r="AC34" s="27">
        <f t="shared" si="169"/>
        <v>0.1739086294416245</v>
      </c>
      <c r="AD34" s="27">
        <f t="shared" si="169"/>
        <v>0.15354359512676144</v>
      </c>
      <c r="AE34" s="19"/>
      <c r="AF34" s="19"/>
      <c r="AG34" s="19"/>
      <c r="AH34" s="19"/>
      <c r="AI34" s="19"/>
      <c r="AJ34" s="27">
        <f t="shared" ref="AJ34:AL34" si="170">AJ18/AJ11</f>
        <v>-0.10272858691723882</v>
      </c>
      <c r="AK34" s="27">
        <f t="shared" si="170"/>
        <v>-0.35496155780699884</v>
      </c>
      <c r="AL34" s="27">
        <f t="shared" si="170"/>
        <v>-4.8456028411484983E-2</v>
      </c>
      <c r="AM34" s="27">
        <f t="shared" ref="AM34:AR34" si="171">AM18/AM11</f>
        <v>6.3326192591044481E-2</v>
      </c>
      <c r="AN34" s="27">
        <f t="shared" si="171"/>
        <v>0.14166550813290701</v>
      </c>
      <c r="AO34" s="27">
        <f t="shared" si="171"/>
        <v>0.15333992859907947</v>
      </c>
      <c r="AP34" s="27">
        <f t="shared" si="171"/>
        <v>0.17818971275885107</v>
      </c>
      <c r="AQ34" s="27">
        <f t="shared" si="171"/>
        <v>0.16682185452736251</v>
      </c>
      <c r="AR34" s="27">
        <f t="shared" si="171"/>
        <v>0.15485475565683368</v>
      </c>
      <c r="AS34" s="27">
        <f t="shared" ref="AS34:AT34" si="172">AS18/AS11</f>
        <v>0.14228135308291803</v>
      </c>
      <c r="AT34" s="27">
        <f t="shared" si="172"/>
        <v>0.12909414339109282</v>
      </c>
      <c r="AX34" s="3" t="s">
        <v>44</v>
      </c>
      <c r="AY34" s="39">
        <f>AY32/AY33</f>
        <v>15.785880090790963</v>
      </c>
      <c r="AZ34" s="3"/>
      <c r="BA34" s="3" t="s">
        <v>44</v>
      </c>
      <c r="BB34" s="34">
        <f>BB32/BB33</f>
        <v>30.277107572301119</v>
      </c>
    </row>
    <row r="35" spans="2:54" x14ac:dyDescent="0.3">
      <c r="B35" s="1" t="s">
        <v>34</v>
      </c>
      <c r="C35" s="27">
        <f>C22/C21</f>
        <v>-9.1463414634146301E-3</v>
      </c>
      <c r="D35" s="27">
        <f t="shared" ref="D35:P35" si="173">D22/D21</f>
        <v>-1.5151515151515159E-2</v>
      </c>
      <c r="E35" s="27">
        <f t="shared" si="173"/>
        <v>-3.6764705882352915E-2</v>
      </c>
      <c r="F35" s="27">
        <f t="shared" si="173"/>
        <v>2.5839793281653742E-2</v>
      </c>
      <c r="G35" s="27">
        <f t="shared" si="173"/>
        <v>-3.8818201423334053E-3</v>
      </c>
      <c r="H35" s="27">
        <f t="shared" si="173"/>
        <v>-0.36666666666666115</v>
      </c>
      <c r="I35" s="27">
        <f t="shared" si="173"/>
        <v>3.3333333333333465E-2</v>
      </c>
      <c r="J35" s="27">
        <f>J22/J21</f>
        <v>-0.28378378378378383</v>
      </c>
      <c r="K35" s="27">
        <f t="shared" si="173"/>
        <v>0.4253731343283596</v>
      </c>
      <c r="L35" s="27">
        <f t="shared" si="173"/>
        <v>-2.8846153846153924E-2</v>
      </c>
      <c r="M35" s="27">
        <f t="shared" si="173"/>
        <v>-0.10389610389610375</v>
      </c>
      <c r="N35" s="27">
        <f t="shared" si="173"/>
        <v>-1.7500000000000251</v>
      </c>
      <c r="O35" s="27">
        <f t="shared" si="173"/>
        <v>1.2562814070351773E-2</v>
      </c>
      <c r="P35" s="27">
        <f t="shared" si="173"/>
        <v>0.20091324200913285</v>
      </c>
      <c r="Q35" s="27">
        <f>Q22/Q21</f>
        <v>2.6785714285714329E-2</v>
      </c>
      <c r="R35" s="27">
        <f>R22/R21</f>
        <v>5.6925996204933559E-3</v>
      </c>
      <c r="S35" s="27">
        <f t="shared" ref="S35:W35" si="174">S22/S21</f>
        <v>-1.8838304552590262E-2</v>
      </c>
      <c r="T35" s="27">
        <f t="shared" si="174"/>
        <v>3.2967032967032975E-2</v>
      </c>
      <c r="U35" s="27">
        <f t="shared" si="174"/>
        <v>6.570302233902754E-3</v>
      </c>
      <c r="V35" s="27">
        <f t="shared" si="174"/>
        <v>-0.3887775551102205</v>
      </c>
      <c r="W35" s="27">
        <f t="shared" si="174"/>
        <v>0.15031982942430705</v>
      </c>
      <c r="X35" s="27">
        <f t="shared" ref="X35:Z35" si="175">X22/X21</f>
        <v>0.19476082004555806</v>
      </c>
      <c r="Y35" s="27">
        <f t="shared" si="175"/>
        <v>0.14677103718199605</v>
      </c>
      <c r="Z35" s="27">
        <f t="shared" si="175"/>
        <v>-4.835909631391206</v>
      </c>
      <c r="AA35" s="27">
        <f t="shared" ref="AA35:AD35" si="176">AA22/AA21</f>
        <v>0.21232876712328763</v>
      </c>
      <c r="AB35" s="27">
        <f t="shared" si="176"/>
        <v>0.21</v>
      </c>
      <c r="AC35" s="27">
        <f t="shared" si="176"/>
        <v>0.21</v>
      </c>
      <c r="AD35" s="27">
        <f t="shared" si="176"/>
        <v>0.21</v>
      </c>
      <c r="AE35" s="19"/>
      <c r="AF35" s="19"/>
      <c r="AG35" s="19"/>
      <c r="AH35" s="19"/>
      <c r="AI35" s="19"/>
      <c r="AJ35" s="27">
        <f t="shared" ref="AJ35:AR35" si="177">AJ22/AJ21</f>
        <v>-1.7937219730941711E-3</v>
      </c>
      <c r="AK35" s="27">
        <f t="shared" si="177"/>
        <v>-9.9979171006040375E-3</v>
      </c>
      <c r="AL35" s="27">
        <f t="shared" si="177"/>
        <v>-1.3461538461538457E-2</v>
      </c>
      <c r="AM35" s="27">
        <f t="shared" si="177"/>
        <v>4.1216216216216205E-2</v>
      </c>
      <c r="AN35" s="27">
        <f t="shared" si="177"/>
        <v>-0.11040532365396247</v>
      </c>
      <c r="AO35" s="27">
        <f t="shared" si="177"/>
        <v>-0.97988583854308287</v>
      </c>
      <c r="AP35" s="27">
        <f t="shared" si="177"/>
        <v>0.21</v>
      </c>
      <c r="AQ35" s="27">
        <f t="shared" si="177"/>
        <v>0.21</v>
      </c>
      <c r="AR35" s="27">
        <f t="shared" si="177"/>
        <v>0.21</v>
      </c>
      <c r="AS35" s="27">
        <f t="shared" ref="AS35:AT35" si="178">AS22/AS21</f>
        <v>0.21</v>
      </c>
      <c r="AT35" s="27">
        <f t="shared" si="178"/>
        <v>0.21</v>
      </c>
      <c r="AX35" s="3" t="s">
        <v>45</v>
      </c>
      <c r="AY35" s="39">
        <f>Main!C4</f>
        <v>24.88</v>
      </c>
      <c r="AZ35" s="3"/>
      <c r="BA35" s="40" t="s">
        <v>45</v>
      </c>
      <c r="BB35" s="3">
        <f>Main!C4</f>
        <v>24.88</v>
      </c>
    </row>
    <row r="36" spans="2:54" x14ac:dyDescent="0.3">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X36" s="3" t="s">
        <v>46</v>
      </c>
      <c r="AY36" s="41">
        <f>AY34/AY35-1</f>
        <v>-0.36551928895534713</v>
      </c>
      <c r="AZ36" s="3"/>
      <c r="BA36" s="3" t="s">
        <v>46</v>
      </c>
      <c r="BB36" s="41">
        <f>BB34/BB35-1</f>
        <v>0.21692554551049525</v>
      </c>
    </row>
    <row r="37" spans="2:54" x14ac:dyDescent="0.3">
      <c r="C37" s="1"/>
      <c r="D37" s="1"/>
      <c r="E37" s="1"/>
      <c r="F37" s="1"/>
      <c r="G37" s="1"/>
      <c r="H37" s="1"/>
      <c r="I37" s="1"/>
      <c r="J37" s="1"/>
      <c r="K37" s="1"/>
      <c r="L37" s="1"/>
      <c r="M37" s="1"/>
      <c r="N37" s="1"/>
      <c r="O37" s="1"/>
      <c r="P37" s="1"/>
      <c r="Q37" s="1"/>
      <c r="R37" s="1"/>
      <c r="S37" s="1"/>
      <c r="T37" s="1"/>
      <c r="U37" s="1"/>
      <c r="V37" s="1"/>
      <c r="W37" s="1"/>
      <c r="X37" s="1"/>
    </row>
    <row r="38" spans="2:54" s="3" customFormat="1" x14ac:dyDescent="0.3">
      <c r="B38" s="3" t="s">
        <v>65</v>
      </c>
      <c r="C38" s="22">
        <f t="shared" ref="C38:X38" si="179">C39+C40-C53-C54-C57-C58-C59</f>
        <v>0</v>
      </c>
      <c r="D38" s="22">
        <f t="shared" si="179"/>
        <v>0</v>
      </c>
      <c r="E38" s="22">
        <f t="shared" si="179"/>
        <v>0</v>
      </c>
      <c r="F38" s="22">
        <f t="shared" si="179"/>
        <v>255.70000000000002</v>
      </c>
      <c r="G38" s="22">
        <f t="shared" si="179"/>
        <v>676</v>
      </c>
      <c r="H38" s="22">
        <f t="shared" si="179"/>
        <v>821.59999999999991</v>
      </c>
      <c r="I38" s="22">
        <f t="shared" si="179"/>
        <v>876.19999999999993</v>
      </c>
      <c r="J38" s="22">
        <f t="shared" si="179"/>
        <v>925.6</v>
      </c>
      <c r="K38" s="22">
        <f t="shared" si="179"/>
        <v>222.2</v>
      </c>
      <c r="L38" s="22">
        <f t="shared" si="179"/>
        <v>104.60000000000016</v>
      </c>
      <c r="M38" s="22">
        <f t="shared" si="179"/>
        <v>129.80000000000007</v>
      </c>
      <c r="N38" s="22">
        <f t="shared" si="179"/>
        <v>152.2999999999999</v>
      </c>
      <c r="O38" s="22">
        <f t="shared" si="179"/>
        <v>16.999999999999972</v>
      </c>
      <c r="P38" s="22">
        <f t="shared" si="179"/>
        <v>27.800000000000097</v>
      </c>
      <c r="Q38" s="22">
        <f t="shared" si="179"/>
        <v>103.6999999999999</v>
      </c>
      <c r="R38" s="22">
        <f t="shared" si="179"/>
        <v>1.7999999999998693</v>
      </c>
      <c r="S38" s="22">
        <f t="shared" si="179"/>
        <v>-553.90000000000009</v>
      </c>
      <c r="T38" s="22">
        <f t="shared" si="179"/>
        <v>-522.4000000000002</v>
      </c>
      <c r="U38" s="22">
        <f t="shared" si="179"/>
        <v>-572.50000000000023</v>
      </c>
      <c r="V38" s="22">
        <f t="shared" si="179"/>
        <v>-650.60000000000014</v>
      </c>
      <c r="W38" s="22">
        <f t="shared" si="179"/>
        <v>-866.00000000000011</v>
      </c>
      <c r="X38" s="22">
        <f t="shared" si="179"/>
        <v>-869.79999999999984</v>
      </c>
      <c r="Y38" s="22">
        <f t="shared" ref="Y38" si="180">Y39+Y40-Y53-Y54-Y57-Y58-Y59</f>
        <v>-826.59999999999968</v>
      </c>
      <c r="Z38" s="22">
        <f t="shared" ref="Z38" si="181">Z39+Z40-Z53-Z54-Z57-Z58-Z59</f>
        <v>-951.20000000000027</v>
      </c>
      <c r="AA38" s="22">
        <f t="shared" ref="AA38" si="182">AA39+AA40-AA53-AA54-AA57-AA58-AA59</f>
        <v>-1025.3000000000002</v>
      </c>
      <c r="AK38" s="22">
        <f t="shared" ref="AK38:AO38" si="183">AK39+AK40-AK53-AK54-AK57-AK58-AK59</f>
        <v>925.6</v>
      </c>
      <c r="AL38" s="22">
        <f t="shared" si="183"/>
        <v>152.2999999999999</v>
      </c>
      <c r="AM38" s="22">
        <f t="shared" si="183"/>
        <v>1.7999999999998693</v>
      </c>
      <c r="AN38" s="22">
        <f t="shared" si="183"/>
        <v>-650.60000000000014</v>
      </c>
      <c r="AO38" s="22">
        <f t="shared" si="183"/>
        <v>-951.20000000000027</v>
      </c>
    </row>
    <row r="39" spans="2:54" x14ac:dyDescent="0.3">
      <c r="B39" s="33" t="s">
        <v>80</v>
      </c>
      <c r="F39" s="2">
        <v>430</v>
      </c>
      <c r="G39" s="2">
        <v>665.3</v>
      </c>
      <c r="H39" s="2">
        <v>504.1</v>
      </c>
      <c r="I39" s="2">
        <v>536.20000000000005</v>
      </c>
      <c r="J39" s="2">
        <v>519.29999999999995</v>
      </c>
      <c r="K39" s="2">
        <v>359.2</v>
      </c>
      <c r="L39" s="2">
        <v>343.6</v>
      </c>
      <c r="M39" s="2">
        <v>443.2</v>
      </c>
      <c r="N39" s="2">
        <v>551.29999999999995</v>
      </c>
      <c r="O39" s="2">
        <v>486.4</v>
      </c>
      <c r="P39" s="2">
        <v>334.1</v>
      </c>
      <c r="Q39" s="2">
        <v>452.7</v>
      </c>
      <c r="R39" s="2">
        <v>314.89999999999998</v>
      </c>
      <c r="S39" s="2">
        <v>845.5</v>
      </c>
      <c r="T39" s="2">
        <v>885.3</v>
      </c>
      <c r="U39" s="2">
        <v>688.9</v>
      </c>
      <c r="V39" s="2">
        <v>533</v>
      </c>
      <c r="W39" s="2">
        <v>445.5</v>
      </c>
      <c r="X39" s="2">
        <v>352.1</v>
      </c>
      <c r="Y39" s="2">
        <v>372</v>
      </c>
      <c r="Z39" s="2">
        <v>232.8</v>
      </c>
      <c r="AA39" s="2">
        <v>332.7</v>
      </c>
      <c r="AK39" s="2">
        <f>J39</f>
        <v>519.29999999999995</v>
      </c>
      <c r="AL39" s="2">
        <f>N39</f>
        <v>551.29999999999995</v>
      </c>
      <c r="AM39" s="2">
        <f>R39</f>
        <v>314.89999999999998</v>
      </c>
      <c r="AN39" s="2">
        <f>V39</f>
        <v>533</v>
      </c>
      <c r="AO39" s="2">
        <v>232.8</v>
      </c>
    </row>
    <row r="40" spans="2:54" x14ac:dyDescent="0.3">
      <c r="B40" s="33" t="s">
        <v>81</v>
      </c>
      <c r="F40" s="2">
        <v>0</v>
      </c>
      <c r="G40" s="2">
        <v>180.7</v>
      </c>
      <c r="H40" s="2">
        <v>477.7</v>
      </c>
      <c r="I40" s="2">
        <v>502.9</v>
      </c>
      <c r="J40" s="2">
        <v>570</v>
      </c>
      <c r="K40" s="2">
        <v>556</v>
      </c>
      <c r="L40" s="2">
        <v>629.20000000000005</v>
      </c>
      <c r="M40" s="2">
        <v>587.70000000000005</v>
      </c>
      <c r="N40" s="2">
        <v>607.70000000000005</v>
      </c>
      <c r="O40" s="2">
        <v>614.4</v>
      </c>
      <c r="P40" s="2">
        <v>783.5</v>
      </c>
      <c r="Q40" s="2">
        <v>773.8</v>
      </c>
      <c r="R40" s="2">
        <v>806.4</v>
      </c>
      <c r="S40" s="2">
        <v>1070.9000000000001</v>
      </c>
      <c r="T40" s="2">
        <v>1058.9000000000001</v>
      </c>
      <c r="U40" s="2">
        <v>1239.8</v>
      </c>
      <c r="V40" s="2">
        <v>1185.0999999999999</v>
      </c>
      <c r="W40" s="2">
        <v>1050.0999999999999</v>
      </c>
      <c r="X40" s="2">
        <v>1094.2</v>
      </c>
      <c r="Y40" s="2">
        <v>1081.4000000000001</v>
      </c>
      <c r="Z40" s="2">
        <v>1110.5999999999999</v>
      </c>
      <c r="AA40" s="2">
        <v>920.4</v>
      </c>
      <c r="AK40" s="2">
        <f t="shared" ref="AK40:AK42" si="184">J40</f>
        <v>570</v>
      </c>
      <c r="AL40" s="2">
        <f t="shared" ref="AL40:AL42" si="185">N40</f>
        <v>607.70000000000005</v>
      </c>
      <c r="AM40" s="2">
        <f t="shared" ref="AM40:AM42" si="186">R40</f>
        <v>806.4</v>
      </c>
      <c r="AN40" s="2">
        <f t="shared" ref="AN40:AN42" si="187">V40</f>
        <v>1185.0999999999999</v>
      </c>
      <c r="AO40" s="2">
        <v>1110.5999999999999</v>
      </c>
    </row>
    <row r="41" spans="2:54" x14ac:dyDescent="0.3">
      <c r="B41" s="33" t="s">
        <v>82</v>
      </c>
      <c r="F41" s="2">
        <v>29.3</v>
      </c>
      <c r="G41" s="2">
        <v>26.2</v>
      </c>
      <c r="H41" s="2">
        <v>31.2</v>
      </c>
      <c r="I41" s="2">
        <v>28.6</v>
      </c>
      <c r="J41" s="2">
        <v>28.6</v>
      </c>
      <c r="K41" s="2">
        <v>34.1</v>
      </c>
      <c r="L41" s="2">
        <v>37.6</v>
      </c>
      <c r="M41" s="2">
        <v>38.4</v>
      </c>
      <c r="N41" s="2">
        <v>36.700000000000003</v>
      </c>
      <c r="O41" s="2">
        <v>36.9</v>
      </c>
      <c r="P41" s="2">
        <v>45.6</v>
      </c>
      <c r="Q41" s="2">
        <v>49.6</v>
      </c>
      <c r="R41" s="2">
        <v>43.4</v>
      </c>
      <c r="S41" s="2">
        <v>50.5</v>
      </c>
      <c r="T41" s="2">
        <v>52.2</v>
      </c>
      <c r="U41" s="2">
        <v>40.9</v>
      </c>
      <c r="V41" s="2">
        <v>49.6</v>
      </c>
      <c r="W41" s="2">
        <v>44.6</v>
      </c>
      <c r="X41" s="2">
        <v>46.7</v>
      </c>
      <c r="Y41" s="2">
        <v>49.7</v>
      </c>
      <c r="Z41" s="2">
        <v>53.8</v>
      </c>
      <c r="AA41" s="2">
        <v>57.6</v>
      </c>
      <c r="AK41" s="2">
        <f t="shared" si="184"/>
        <v>28.6</v>
      </c>
      <c r="AL41" s="2">
        <f t="shared" si="185"/>
        <v>36.700000000000003</v>
      </c>
      <c r="AM41" s="2">
        <f t="shared" si="186"/>
        <v>43.4</v>
      </c>
      <c r="AN41" s="2">
        <f t="shared" si="187"/>
        <v>49.6</v>
      </c>
      <c r="AO41" s="2">
        <v>53.8</v>
      </c>
    </row>
    <row r="42" spans="2:54" x14ac:dyDescent="0.3">
      <c r="B42" s="33" t="s">
        <v>83</v>
      </c>
      <c r="F42" s="2">
        <v>58.8</v>
      </c>
      <c r="G42" s="2">
        <v>57.7</v>
      </c>
      <c r="H42" s="2">
        <v>86.8</v>
      </c>
      <c r="I42" s="2">
        <v>96</v>
      </c>
      <c r="J42" s="2">
        <v>92.3</v>
      </c>
      <c r="K42" s="2">
        <v>58.3</v>
      </c>
      <c r="L42" s="2">
        <v>57.3</v>
      </c>
      <c r="M42" s="2">
        <v>64.3</v>
      </c>
      <c r="N42" s="2">
        <v>47.5</v>
      </c>
      <c r="O42" s="2">
        <v>57.5</v>
      </c>
      <c r="P42" s="2">
        <v>59.1</v>
      </c>
      <c r="Q42" s="2">
        <v>54.1</v>
      </c>
      <c r="R42" s="2">
        <v>62.8</v>
      </c>
      <c r="S42" s="2">
        <v>67.099999999999994</v>
      </c>
      <c r="T42" s="2">
        <v>70.900000000000006</v>
      </c>
      <c r="U42" s="2">
        <v>86.7</v>
      </c>
      <c r="V42" s="2">
        <v>82.1</v>
      </c>
      <c r="W42" s="2">
        <v>82.7</v>
      </c>
      <c r="X42" s="2">
        <v>100.1</v>
      </c>
      <c r="Y42" s="2">
        <v>76.599999999999994</v>
      </c>
      <c r="Z42" s="2">
        <v>92.6</v>
      </c>
      <c r="AA42" s="2">
        <v>89</v>
      </c>
      <c r="AK42" s="2">
        <f t="shared" si="184"/>
        <v>92.3</v>
      </c>
      <c r="AL42" s="2">
        <f t="shared" si="185"/>
        <v>47.5</v>
      </c>
      <c r="AM42" s="2">
        <f t="shared" si="186"/>
        <v>62.8</v>
      </c>
      <c r="AN42" s="2">
        <f t="shared" si="187"/>
        <v>82.1</v>
      </c>
      <c r="AO42" s="2">
        <v>92.6</v>
      </c>
    </row>
    <row r="43" spans="2:54" x14ac:dyDescent="0.3">
      <c r="B43" s="33" t="s">
        <v>84</v>
      </c>
      <c r="C43" s="2">
        <f>SUM(C39:C42)</f>
        <v>0</v>
      </c>
      <c r="D43" s="2">
        <f t="shared" ref="D43:T43" si="188">SUM(D39:D42)</f>
        <v>0</v>
      </c>
      <c r="E43" s="2">
        <f t="shared" si="188"/>
        <v>0</v>
      </c>
      <c r="F43" s="2">
        <f t="shared" si="188"/>
        <v>518.1</v>
      </c>
      <c r="G43" s="2">
        <f t="shared" si="188"/>
        <v>929.90000000000009</v>
      </c>
      <c r="H43" s="2">
        <f t="shared" si="188"/>
        <v>1099.8</v>
      </c>
      <c r="I43" s="2">
        <f t="shared" si="188"/>
        <v>1163.6999999999998</v>
      </c>
      <c r="J43" s="2">
        <f t="shared" si="188"/>
        <v>1210.1999999999998</v>
      </c>
      <c r="K43" s="2">
        <f t="shared" si="188"/>
        <v>1007.6</v>
      </c>
      <c r="L43" s="2">
        <f t="shared" si="188"/>
        <v>1067.7</v>
      </c>
      <c r="M43" s="2">
        <f t="shared" si="188"/>
        <v>1133.6000000000001</v>
      </c>
      <c r="N43" s="2">
        <f t="shared" si="188"/>
        <v>1243.2</v>
      </c>
      <c r="O43" s="2">
        <f t="shared" si="188"/>
        <v>1195.2</v>
      </c>
      <c r="P43" s="2">
        <f t="shared" si="188"/>
        <v>1222.2999999999997</v>
      </c>
      <c r="Q43" s="2">
        <f t="shared" si="188"/>
        <v>1330.1999999999998</v>
      </c>
      <c r="R43" s="2">
        <f t="shared" si="188"/>
        <v>1227.5</v>
      </c>
      <c r="S43" s="2">
        <f t="shared" si="188"/>
        <v>2034</v>
      </c>
      <c r="T43" s="2">
        <f t="shared" si="188"/>
        <v>2067.3000000000002</v>
      </c>
      <c r="U43" s="2">
        <f t="shared" ref="U43" si="189">SUM(U39:U42)</f>
        <v>2056.2999999999997</v>
      </c>
      <c r="V43" s="2">
        <f t="shared" ref="V43" si="190">SUM(V39:V42)</f>
        <v>1849.7999999999997</v>
      </c>
      <c r="W43" s="2">
        <f t="shared" ref="W43" si="191">SUM(W39:W42)</f>
        <v>1622.8999999999999</v>
      </c>
      <c r="X43" s="2">
        <f t="shared" ref="X43:AA43" si="192">SUM(X39:X42)</f>
        <v>1593.1000000000001</v>
      </c>
      <c r="Y43" s="2">
        <f t="shared" si="192"/>
        <v>1579.7</v>
      </c>
      <c r="Z43" s="2">
        <f t="shared" si="192"/>
        <v>1489.7999999999997</v>
      </c>
      <c r="AA43" s="2">
        <f t="shared" si="192"/>
        <v>1399.6999999999998</v>
      </c>
      <c r="AK43" s="2">
        <f t="shared" ref="AK43" si="193">SUM(AK39:AK42)</f>
        <v>1210.1999999999998</v>
      </c>
      <c r="AL43" s="2">
        <f t="shared" ref="AL43" si="194">SUM(AL39:AL42)</f>
        <v>1243.2</v>
      </c>
      <c r="AM43" s="2">
        <f t="shared" ref="AM43" si="195">SUM(AM39:AM42)</f>
        <v>1227.5</v>
      </c>
      <c r="AN43" s="2">
        <f t="shared" ref="AN43:AO43" si="196">SUM(AN39:AN42)</f>
        <v>1849.7999999999997</v>
      </c>
      <c r="AO43" s="2">
        <f t="shared" si="196"/>
        <v>1489.7999999999997</v>
      </c>
    </row>
    <row r="44" spans="2:54" x14ac:dyDescent="0.3">
      <c r="B44" s="33" t="s">
        <v>85</v>
      </c>
      <c r="F44" s="2">
        <v>341.9</v>
      </c>
      <c r="G44" s="2">
        <v>345.6</v>
      </c>
      <c r="H44" s="2">
        <v>330.8</v>
      </c>
      <c r="I44" s="2">
        <v>295.89999999999998</v>
      </c>
      <c r="J44" s="2">
        <v>310.60000000000002</v>
      </c>
      <c r="K44" s="2">
        <v>340.9</v>
      </c>
      <c r="L44" s="2">
        <v>369.3</v>
      </c>
      <c r="M44" s="2">
        <v>416.6</v>
      </c>
      <c r="N44" s="2">
        <v>445.3</v>
      </c>
      <c r="O44" s="2">
        <v>473.2</v>
      </c>
      <c r="P44" s="2">
        <v>475.6</v>
      </c>
      <c r="Q44" s="2">
        <v>488.4</v>
      </c>
      <c r="R44" s="2">
        <v>338.7</v>
      </c>
      <c r="S44" s="2">
        <v>330.8</v>
      </c>
      <c r="T44" s="2">
        <v>342.9</v>
      </c>
      <c r="U44" s="2">
        <v>345.8</v>
      </c>
      <c r="V44" s="2">
        <v>322</v>
      </c>
      <c r="W44" s="2">
        <v>316.10000000000002</v>
      </c>
      <c r="X44" s="2">
        <v>296.3</v>
      </c>
      <c r="Y44" s="2">
        <v>281.10000000000002</v>
      </c>
      <c r="Z44" s="2">
        <v>308.39999999999998</v>
      </c>
      <c r="AA44" s="2">
        <v>307.2</v>
      </c>
      <c r="AK44" s="2">
        <f t="shared" ref="AK44:AK48" si="197">J44</f>
        <v>310.60000000000002</v>
      </c>
      <c r="AL44" s="2">
        <f t="shared" ref="AL44:AL48" si="198">N44</f>
        <v>445.3</v>
      </c>
      <c r="AM44" s="2">
        <f t="shared" ref="AM44:AM48" si="199">R44</f>
        <v>338.7</v>
      </c>
      <c r="AN44" s="2">
        <f t="shared" ref="AN44:AN48" si="200">V44</f>
        <v>322</v>
      </c>
      <c r="AO44" s="2">
        <v>308.39999999999998</v>
      </c>
    </row>
    <row r="45" spans="2:54" x14ac:dyDescent="0.3">
      <c r="B45" s="33" t="s">
        <v>86</v>
      </c>
      <c r="F45" s="2">
        <v>0</v>
      </c>
      <c r="G45" s="2">
        <v>0</v>
      </c>
      <c r="H45" s="2">
        <v>0</v>
      </c>
      <c r="I45" s="2">
        <v>0</v>
      </c>
      <c r="J45" s="2">
        <v>0</v>
      </c>
      <c r="K45" s="2">
        <v>430.4</v>
      </c>
      <c r="L45" s="2">
        <v>575.70000000000005</v>
      </c>
      <c r="M45" s="2">
        <v>581.70000000000005</v>
      </c>
      <c r="N45" s="2">
        <v>657.9</v>
      </c>
      <c r="O45" s="2">
        <v>708.1</v>
      </c>
      <c r="P45" s="2">
        <v>701.6</v>
      </c>
      <c r="Q45" s="2">
        <v>705.9</v>
      </c>
      <c r="R45" s="2">
        <v>470.5</v>
      </c>
      <c r="S45" s="2">
        <v>455.9</v>
      </c>
      <c r="T45" s="2">
        <v>437.6</v>
      </c>
      <c r="U45" s="2">
        <v>464.8</v>
      </c>
      <c r="V45" s="2">
        <v>413.9</v>
      </c>
      <c r="W45" s="2">
        <v>420.3</v>
      </c>
      <c r="X45" s="2">
        <v>396.8</v>
      </c>
      <c r="Y45" s="2">
        <v>380.1</v>
      </c>
      <c r="Z45" s="2">
        <v>260.60000000000002</v>
      </c>
      <c r="AA45" s="2">
        <v>248.2</v>
      </c>
      <c r="AK45" s="2">
        <f t="shared" si="197"/>
        <v>0</v>
      </c>
      <c r="AL45" s="2">
        <f t="shared" si="198"/>
        <v>657.9</v>
      </c>
      <c r="AM45" s="2">
        <f t="shared" si="199"/>
        <v>470.5</v>
      </c>
      <c r="AN45" s="2">
        <f t="shared" si="200"/>
        <v>413.9</v>
      </c>
      <c r="AO45" s="2">
        <v>260.60000000000002</v>
      </c>
    </row>
    <row r="46" spans="2:54" x14ac:dyDescent="0.3">
      <c r="B46" s="33" t="s">
        <v>87</v>
      </c>
      <c r="F46" s="2">
        <f>17+98.9</f>
        <v>115.9</v>
      </c>
      <c r="G46" s="2">
        <f>17.9+99</f>
        <v>116.9</v>
      </c>
      <c r="H46" s="2">
        <f>16.3+97.8</f>
        <v>114.1</v>
      </c>
      <c r="I46" s="2">
        <f>15.2+98</f>
        <v>113.2</v>
      </c>
      <c r="J46" s="2">
        <f>14.7+96.5</f>
        <v>111.2</v>
      </c>
      <c r="K46" s="2">
        <f>57.4+230.4</f>
        <v>287.8</v>
      </c>
      <c r="L46" s="2">
        <f>53.7+230.9</f>
        <v>284.60000000000002</v>
      </c>
      <c r="M46" s="2">
        <f>50.1+231.8</f>
        <v>281.90000000000003</v>
      </c>
      <c r="N46" s="2">
        <f>47.4+234.5</f>
        <v>281.89999999999998</v>
      </c>
      <c r="O46" s="2">
        <f>44.4+233.3</f>
        <v>277.7</v>
      </c>
      <c r="P46" s="2">
        <f>40.5+234.7</f>
        <v>275.2</v>
      </c>
      <c r="Q46" s="2">
        <f>37+234.3</f>
        <v>271.3</v>
      </c>
      <c r="R46" s="2">
        <f>33.5+236.9</f>
        <v>270.39999999999998</v>
      </c>
      <c r="S46" s="2">
        <f>53+346</f>
        <v>399</v>
      </c>
      <c r="T46" s="2">
        <f>48.9+346.8</f>
        <v>395.7</v>
      </c>
      <c r="U46" s="2">
        <f>49.6+347.2</f>
        <v>396.8</v>
      </c>
      <c r="V46" s="2">
        <f>53.6+356.6</f>
        <v>410.20000000000005</v>
      </c>
      <c r="W46" s="2">
        <f>50+355.9</f>
        <v>405.9</v>
      </c>
      <c r="X46" s="36">
        <f>46.5+353.9</f>
        <v>400.4</v>
      </c>
      <c r="Y46" s="2">
        <f>42.6+352.6</f>
        <v>395.20000000000005</v>
      </c>
      <c r="Z46" s="2">
        <f>88.3+403.3</f>
        <v>491.6</v>
      </c>
      <c r="AA46" s="2">
        <f>80.8+402.5</f>
        <v>483.3</v>
      </c>
      <c r="AK46" s="2">
        <f t="shared" si="197"/>
        <v>111.2</v>
      </c>
      <c r="AL46" s="2">
        <f t="shared" si="198"/>
        <v>281.89999999999998</v>
      </c>
      <c r="AM46" s="2">
        <f t="shared" si="199"/>
        <v>270.39999999999998</v>
      </c>
      <c r="AN46" s="2">
        <f t="shared" si="200"/>
        <v>410.20000000000005</v>
      </c>
      <c r="AO46" s="2">
        <f>88.3+403.3</f>
        <v>491.6</v>
      </c>
    </row>
    <row r="47" spans="2:54" x14ac:dyDescent="0.3">
      <c r="B47" s="33" t="s">
        <v>149</v>
      </c>
      <c r="C47" s="36">
        <v>0</v>
      </c>
      <c r="D47" s="36">
        <v>0</v>
      </c>
      <c r="E47" s="36">
        <v>0</v>
      </c>
      <c r="F47" s="36">
        <v>0</v>
      </c>
      <c r="G47" s="36">
        <v>0</v>
      </c>
      <c r="H47" s="36">
        <v>0</v>
      </c>
      <c r="I47" s="36">
        <v>0</v>
      </c>
      <c r="J47" s="36">
        <v>0</v>
      </c>
      <c r="K47" s="36">
        <v>0</v>
      </c>
      <c r="L47" s="36">
        <v>0</v>
      </c>
      <c r="M47" s="36">
        <v>0</v>
      </c>
      <c r="N47" s="36">
        <v>0</v>
      </c>
      <c r="O47" s="36">
        <v>0</v>
      </c>
      <c r="P47" s="36">
        <v>0</v>
      </c>
      <c r="Q47" s="36">
        <v>0</v>
      </c>
      <c r="R47" s="36">
        <v>0</v>
      </c>
      <c r="S47" s="36">
        <v>0</v>
      </c>
      <c r="T47" s="36">
        <v>0</v>
      </c>
      <c r="U47" s="36">
        <v>0</v>
      </c>
      <c r="V47" s="36">
        <v>0</v>
      </c>
      <c r="W47" s="36">
        <v>0</v>
      </c>
      <c r="X47" s="36">
        <v>0</v>
      </c>
      <c r="Y47" s="2">
        <v>0</v>
      </c>
      <c r="Z47" s="2">
        <v>498.7</v>
      </c>
      <c r="AA47" s="2">
        <v>495.4</v>
      </c>
      <c r="AK47" s="2"/>
      <c r="AL47" s="2"/>
      <c r="AM47" s="2"/>
      <c r="AN47" s="2"/>
      <c r="AO47" s="2">
        <v>498.7</v>
      </c>
    </row>
    <row r="48" spans="2:54" x14ac:dyDescent="0.3">
      <c r="B48" s="33" t="s">
        <v>88</v>
      </c>
      <c r="F48" s="2">
        <v>44</v>
      </c>
      <c r="G48" s="2">
        <v>46.3</v>
      </c>
      <c r="H48" s="2">
        <v>57.7</v>
      </c>
      <c r="I48" s="2">
        <v>50.3</v>
      </c>
      <c r="J48" s="2">
        <v>62.1</v>
      </c>
      <c r="K48" s="2">
        <v>61.9</v>
      </c>
      <c r="L48" s="2">
        <v>67.599999999999994</v>
      </c>
      <c r="M48" s="2">
        <v>72.8</v>
      </c>
      <c r="N48" s="2">
        <v>70.900000000000006</v>
      </c>
      <c r="O48" s="2">
        <v>63.1</v>
      </c>
      <c r="P48" s="2">
        <v>67.599999999999994</v>
      </c>
      <c r="Q48" s="2">
        <v>66.5</v>
      </c>
      <c r="R48" s="2">
        <v>80.099999999999994</v>
      </c>
      <c r="S48" s="2">
        <v>87.6</v>
      </c>
      <c r="T48" s="2">
        <v>84.6</v>
      </c>
      <c r="U48" s="2">
        <v>75.400000000000006</v>
      </c>
      <c r="V48" s="2">
        <v>95.4</v>
      </c>
      <c r="W48" s="2">
        <v>86.8</v>
      </c>
      <c r="X48" s="2">
        <v>72.2</v>
      </c>
      <c r="Y48" s="2">
        <v>66.7</v>
      </c>
      <c r="Z48" s="2">
        <v>61</v>
      </c>
      <c r="AA48" s="2">
        <v>59.9</v>
      </c>
      <c r="AK48" s="2">
        <f t="shared" si="197"/>
        <v>62.1</v>
      </c>
      <c r="AL48" s="2">
        <f t="shared" si="198"/>
        <v>70.900000000000006</v>
      </c>
      <c r="AM48" s="2">
        <f t="shared" si="199"/>
        <v>80.099999999999994</v>
      </c>
      <c r="AN48" s="2">
        <f t="shared" si="200"/>
        <v>95.4</v>
      </c>
      <c r="AO48" s="2">
        <v>61</v>
      </c>
    </row>
    <row r="49" spans="2:41" s="3" customFormat="1" x14ac:dyDescent="0.3">
      <c r="B49" s="3" t="s">
        <v>89</v>
      </c>
      <c r="C49" s="22">
        <f>SUM(C43:C48)</f>
        <v>0</v>
      </c>
      <c r="D49" s="22">
        <f t="shared" ref="D49:T49" si="201">SUM(D43:D48)</f>
        <v>0</v>
      </c>
      <c r="E49" s="22">
        <f t="shared" si="201"/>
        <v>0</v>
      </c>
      <c r="F49" s="22">
        <f t="shared" si="201"/>
        <v>1019.9</v>
      </c>
      <c r="G49" s="22">
        <f t="shared" si="201"/>
        <v>1438.7</v>
      </c>
      <c r="H49" s="22">
        <f t="shared" si="201"/>
        <v>1602.3999999999999</v>
      </c>
      <c r="I49" s="22">
        <f t="shared" si="201"/>
        <v>1623.1</v>
      </c>
      <c r="J49" s="22">
        <f t="shared" si="201"/>
        <v>1694.0999999999997</v>
      </c>
      <c r="K49" s="22">
        <f t="shared" si="201"/>
        <v>2128.6000000000004</v>
      </c>
      <c r="L49" s="22">
        <f t="shared" si="201"/>
        <v>2364.9</v>
      </c>
      <c r="M49" s="22">
        <f t="shared" si="201"/>
        <v>2486.6000000000008</v>
      </c>
      <c r="N49" s="22">
        <f t="shared" si="201"/>
        <v>2699.2000000000003</v>
      </c>
      <c r="O49" s="22">
        <f t="shared" si="201"/>
        <v>2717.2999999999997</v>
      </c>
      <c r="P49" s="22">
        <f t="shared" si="201"/>
        <v>2742.2999999999993</v>
      </c>
      <c r="Q49" s="22">
        <f t="shared" si="201"/>
        <v>2862.3</v>
      </c>
      <c r="R49" s="22">
        <f t="shared" si="201"/>
        <v>2387.1999999999998</v>
      </c>
      <c r="S49" s="22">
        <f t="shared" si="201"/>
        <v>3307.3</v>
      </c>
      <c r="T49" s="22">
        <f t="shared" si="201"/>
        <v>3328.1</v>
      </c>
      <c r="U49" s="22">
        <f t="shared" ref="U49" si="202">SUM(U43:U48)</f>
        <v>3339.1000000000004</v>
      </c>
      <c r="V49" s="22">
        <f t="shared" ref="V49" si="203">SUM(V43:V48)</f>
        <v>3091.2999999999997</v>
      </c>
      <c r="W49" s="22">
        <f t="shared" ref="W49" si="204">SUM(W43:W48)</f>
        <v>2852.0000000000005</v>
      </c>
      <c r="X49" s="22">
        <f>SUM(X43:X48)</f>
        <v>2758.8</v>
      </c>
      <c r="Y49" s="22">
        <f t="shared" ref="Y49:AA49" si="205">SUM(Y43:Y48)</f>
        <v>2702.8</v>
      </c>
      <c r="Z49" s="22">
        <f t="shared" si="205"/>
        <v>3110.0999999999995</v>
      </c>
      <c r="AA49" s="22">
        <f t="shared" si="205"/>
        <v>2993.7000000000003</v>
      </c>
      <c r="AK49" s="22">
        <f t="shared" ref="AK49:AO49" si="206">SUM(AK43:AK48)</f>
        <v>1694.0999999999997</v>
      </c>
      <c r="AL49" s="22">
        <f t="shared" si="206"/>
        <v>2699.2000000000003</v>
      </c>
      <c r="AM49" s="22">
        <f t="shared" si="206"/>
        <v>2387.1999999999998</v>
      </c>
      <c r="AN49" s="22">
        <f t="shared" si="206"/>
        <v>3091.2999999999997</v>
      </c>
      <c r="AO49" s="22">
        <f t="shared" si="206"/>
        <v>3110.0999999999995</v>
      </c>
    </row>
    <row r="50" spans="2:41" x14ac:dyDescent="0.3">
      <c r="B50" s="33" t="s">
        <v>90</v>
      </c>
      <c r="F50" s="2">
        <v>31.9</v>
      </c>
      <c r="G50" s="2">
        <v>29.4</v>
      </c>
      <c r="H50" s="2">
        <v>24</v>
      </c>
      <c r="I50" s="2">
        <v>27.9</v>
      </c>
      <c r="J50" s="2">
        <v>33.299999999999997</v>
      </c>
      <c r="K50" s="2">
        <v>27.4</v>
      </c>
      <c r="L50" s="2">
        <v>31.8</v>
      </c>
      <c r="M50" s="2">
        <v>31.3</v>
      </c>
      <c r="N50" s="2">
        <v>40.700000000000003</v>
      </c>
      <c r="O50" s="2">
        <v>38.799999999999997</v>
      </c>
      <c r="P50" s="2">
        <v>26.3</v>
      </c>
      <c r="Q50" s="2">
        <v>29.5</v>
      </c>
      <c r="R50" s="2">
        <v>18.7</v>
      </c>
      <c r="S50" s="2">
        <v>27.7</v>
      </c>
      <c r="T50" s="2">
        <v>31.6</v>
      </c>
      <c r="U50" s="2">
        <v>23</v>
      </c>
      <c r="V50" s="2">
        <v>25.7</v>
      </c>
      <c r="W50" s="2">
        <v>24.4</v>
      </c>
      <c r="X50" s="2">
        <v>30.3</v>
      </c>
      <c r="Y50" s="2">
        <v>34.4</v>
      </c>
      <c r="Z50" s="2">
        <v>38.6</v>
      </c>
      <c r="AA50" s="2">
        <v>38.6</v>
      </c>
      <c r="AK50" s="2">
        <f t="shared" ref="AK50:AK55" si="207">J50</f>
        <v>33.299999999999997</v>
      </c>
      <c r="AL50" s="2">
        <f t="shared" ref="AL50:AL55" si="208">N50</f>
        <v>40.700000000000003</v>
      </c>
      <c r="AM50" s="2">
        <f t="shared" ref="AM50:AM55" si="209">R50</f>
        <v>18.7</v>
      </c>
      <c r="AN50" s="2">
        <f t="shared" ref="AN50:AN55" si="210">V50</f>
        <v>25.7</v>
      </c>
      <c r="AO50" s="2">
        <v>38.6</v>
      </c>
    </row>
    <row r="51" spans="2:41" x14ac:dyDescent="0.3">
      <c r="B51" s="33" t="s">
        <v>91</v>
      </c>
      <c r="F51" s="2">
        <v>129.80000000000001</v>
      </c>
      <c r="G51" s="2">
        <v>143.1</v>
      </c>
      <c r="H51" s="2">
        <v>172.3</v>
      </c>
      <c r="I51" s="2">
        <v>163.19999999999999</v>
      </c>
      <c r="J51" s="2">
        <v>164.5</v>
      </c>
      <c r="K51" s="2">
        <v>148.80000000000001</v>
      </c>
      <c r="L51" s="2">
        <v>149.4</v>
      </c>
      <c r="M51" s="2">
        <v>149.9</v>
      </c>
      <c r="N51" s="2">
        <v>161.9</v>
      </c>
      <c r="O51" s="2">
        <v>149.5</v>
      </c>
      <c r="P51" s="2">
        <v>134.5</v>
      </c>
      <c r="Q51" s="2">
        <v>129.4</v>
      </c>
      <c r="R51" s="2">
        <v>156.69999999999999</v>
      </c>
      <c r="S51" s="2">
        <v>169.9</v>
      </c>
      <c r="T51" s="2">
        <v>158.69999999999999</v>
      </c>
      <c r="U51" s="2">
        <v>170.9</v>
      </c>
      <c r="V51" s="2">
        <v>140.80000000000001</v>
      </c>
      <c r="W51" s="2">
        <v>155.19999999999999</v>
      </c>
      <c r="X51" s="2">
        <v>147.69999999999999</v>
      </c>
      <c r="Y51" s="2">
        <v>137.19999999999999</v>
      </c>
      <c r="Z51" s="2">
        <v>139.9</v>
      </c>
      <c r="AA51" s="2">
        <v>167.1</v>
      </c>
      <c r="AK51" s="2">
        <f t="shared" si="207"/>
        <v>164.5</v>
      </c>
      <c r="AL51" s="2">
        <f t="shared" si="208"/>
        <v>161.9</v>
      </c>
      <c r="AM51" s="2">
        <f t="shared" si="209"/>
        <v>156.69999999999999</v>
      </c>
      <c r="AN51" s="2">
        <f t="shared" si="210"/>
        <v>140.80000000000001</v>
      </c>
      <c r="AO51" s="2">
        <v>139.9</v>
      </c>
    </row>
    <row r="52" spans="2:41" x14ac:dyDescent="0.3">
      <c r="B52" s="33" t="s">
        <v>92</v>
      </c>
      <c r="F52" s="2">
        <v>56.1</v>
      </c>
      <c r="G52" s="2">
        <v>36.200000000000003</v>
      </c>
      <c r="H52" s="2">
        <v>45.1</v>
      </c>
      <c r="I52" s="2">
        <v>64.2</v>
      </c>
      <c r="J52" s="2">
        <v>80.900000000000006</v>
      </c>
      <c r="K52" s="2">
        <v>36.4</v>
      </c>
      <c r="L52" s="2">
        <v>57.4</v>
      </c>
      <c r="M52" s="2">
        <v>79.099999999999994</v>
      </c>
      <c r="N52" s="2">
        <v>101.4</v>
      </c>
      <c r="O52" s="2">
        <v>41.4</v>
      </c>
      <c r="P52" s="2">
        <v>71.099999999999994</v>
      </c>
      <c r="Q52" s="2">
        <v>93.3</v>
      </c>
      <c r="R52" s="2">
        <v>113.6</v>
      </c>
      <c r="S52" s="2">
        <v>43.4</v>
      </c>
      <c r="T52" s="2">
        <v>76.400000000000006</v>
      </c>
      <c r="U52" s="2">
        <v>107.1</v>
      </c>
      <c r="V52" s="2">
        <v>139.1</v>
      </c>
      <c r="W52" s="2">
        <v>44.6</v>
      </c>
      <c r="X52" s="2">
        <v>73.5</v>
      </c>
      <c r="Y52" s="2">
        <v>102.3</v>
      </c>
      <c r="Z52" s="2">
        <v>131.69999999999999</v>
      </c>
      <c r="AA52" s="2">
        <v>40.1</v>
      </c>
      <c r="AK52" s="2">
        <f t="shared" si="207"/>
        <v>80.900000000000006</v>
      </c>
      <c r="AL52" s="2">
        <f t="shared" si="208"/>
        <v>101.4</v>
      </c>
      <c r="AM52" s="2">
        <f t="shared" si="209"/>
        <v>113.6</v>
      </c>
      <c r="AN52" s="2">
        <f t="shared" si="210"/>
        <v>139.1</v>
      </c>
      <c r="AO52" s="2">
        <v>131.69999999999999</v>
      </c>
    </row>
    <row r="53" spans="2:41" x14ac:dyDescent="0.3">
      <c r="B53" s="33" t="s">
        <v>94</v>
      </c>
      <c r="F53" s="2">
        <v>0</v>
      </c>
      <c r="G53" s="2">
        <v>0</v>
      </c>
      <c r="H53" s="2">
        <v>0</v>
      </c>
      <c r="I53" s="2">
        <v>0</v>
      </c>
      <c r="J53" s="2">
        <v>0</v>
      </c>
      <c r="K53" s="2">
        <v>74.099999999999994</v>
      </c>
      <c r="L53" s="2">
        <v>78.3</v>
      </c>
      <c r="M53" s="2">
        <v>76</v>
      </c>
      <c r="N53" s="2">
        <v>79.900000000000006</v>
      </c>
      <c r="O53" s="2">
        <v>84.3</v>
      </c>
      <c r="P53" s="2">
        <v>82.6</v>
      </c>
      <c r="Q53" s="2">
        <v>89.7</v>
      </c>
      <c r="R53" s="2">
        <v>88.7</v>
      </c>
      <c r="S53" s="2">
        <v>87.7</v>
      </c>
      <c r="T53" s="2">
        <v>86.9</v>
      </c>
      <c r="U53" s="2">
        <v>85.2</v>
      </c>
      <c r="V53" s="2">
        <v>78.3</v>
      </c>
      <c r="W53" s="2">
        <v>82.6</v>
      </c>
      <c r="X53" s="2">
        <v>77.3</v>
      </c>
      <c r="Y53" s="2">
        <v>72.599999999999994</v>
      </c>
      <c r="Z53" s="2">
        <v>68.900000000000006</v>
      </c>
      <c r="AA53" s="2">
        <v>64.8</v>
      </c>
      <c r="AK53" s="2">
        <f t="shared" si="207"/>
        <v>0</v>
      </c>
      <c r="AL53" s="2">
        <f t="shared" si="208"/>
        <v>79.900000000000006</v>
      </c>
      <c r="AM53" s="2">
        <f t="shared" si="209"/>
        <v>88.7</v>
      </c>
      <c r="AN53" s="2">
        <f t="shared" si="210"/>
        <v>78.3</v>
      </c>
      <c r="AO53" s="2">
        <v>68.900000000000006</v>
      </c>
    </row>
    <row r="54" spans="2:41" x14ac:dyDescent="0.3">
      <c r="B54" s="33" t="s">
        <v>95</v>
      </c>
      <c r="F54" s="2">
        <v>102.7</v>
      </c>
      <c r="G54" s="2">
        <v>92.8</v>
      </c>
      <c r="H54" s="2">
        <v>87.1</v>
      </c>
      <c r="I54" s="2">
        <v>80.5</v>
      </c>
      <c r="J54" s="2">
        <v>73.8</v>
      </c>
      <c r="K54" s="2">
        <v>70.7</v>
      </c>
      <c r="L54" s="2">
        <v>68.900000000000006</v>
      </c>
      <c r="M54" s="2">
        <v>70.900000000000006</v>
      </c>
      <c r="N54" s="2">
        <v>76.7</v>
      </c>
      <c r="O54" s="2">
        <v>80</v>
      </c>
      <c r="P54" s="2">
        <v>83.8</v>
      </c>
      <c r="Q54" s="2">
        <v>86.4</v>
      </c>
      <c r="R54" s="2">
        <v>99.6</v>
      </c>
      <c r="S54" s="2">
        <v>105.2</v>
      </c>
      <c r="T54" s="2">
        <v>113.9</v>
      </c>
      <c r="U54" s="2">
        <v>120.9</v>
      </c>
      <c r="V54" s="2">
        <v>120.4</v>
      </c>
      <c r="W54" s="2">
        <v>118.9</v>
      </c>
      <c r="X54" s="2">
        <v>115</v>
      </c>
      <c r="Y54" s="2">
        <v>111.3</v>
      </c>
      <c r="Z54" s="2">
        <v>114.8</v>
      </c>
      <c r="AA54" s="2">
        <v>114.2</v>
      </c>
      <c r="AK54" s="2">
        <f t="shared" si="207"/>
        <v>73.8</v>
      </c>
      <c r="AL54" s="2">
        <f t="shared" si="208"/>
        <v>76.7</v>
      </c>
      <c r="AM54" s="2">
        <f t="shared" si="209"/>
        <v>99.6</v>
      </c>
      <c r="AN54" s="2">
        <f t="shared" si="210"/>
        <v>120.4</v>
      </c>
      <c r="AO54" s="2">
        <v>114.8</v>
      </c>
    </row>
    <row r="55" spans="2:41" x14ac:dyDescent="0.3">
      <c r="B55" s="33" t="s">
        <v>96</v>
      </c>
      <c r="F55" s="2">
        <v>417.9</v>
      </c>
      <c r="G55" s="2">
        <v>444.6</v>
      </c>
      <c r="H55" s="2">
        <v>464.8</v>
      </c>
      <c r="I55" s="2">
        <v>479.3</v>
      </c>
      <c r="J55" s="2">
        <v>485</v>
      </c>
      <c r="K55" s="2">
        <v>508.4</v>
      </c>
      <c r="L55" s="2">
        <v>517.29999999999995</v>
      </c>
      <c r="M55" s="2">
        <v>541.1</v>
      </c>
      <c r="N55" s="2">
        <v>554.20000000000005</v>
      </c>
      <c r="O55" s="2">
        <v>576.79999999999995</v>
      </c>
      <c r="P55" s="2">
        <v>583.5</v>
      </c>
      <c r="Q55" s="2">
        <v>598.6</v>
      </c>
      <c r="R55" s="2">
        <v>610.5</v>
      </c>
      <c r="S55" s="2">
        <v>641</v>
      </c>
      <c r="T55" s="2">
        <v>657.5</v>
      </c>
      <c r="U55" s="2">
        <v>668</v>
      </c>
      <c r="V55" s="2">
        <v>671.5</v>
      </c>
      <c r="W55" s="2">
        <v>691.7</v>
      </c>
      <c r="X55" s="2">
        <v>691.9</v>
      </c>
      <c r="Y55" s="2">
        <v>698.6</v>
      </c>
      <c r="Z55" s="2">
        <v>702.6</v>
      </c>
      <c r="AA55" s="2">
        <v>727.7</v>
      </c>
      <c r="AK55" s="2">
        <f t="shared" si="207"/>
        <v>485</v>
      </c>
      <c r="AL55" s="2">
        <f t="shared" si="208"/>
        <v>554.20000000000005</v>
      </c>
      <c r="AM55" s="2">
        <f t="shared" si="209"/>
        <v>610.5</v>
      </c>
      <c r="AN55" s="2">
        <f t="shared" si="210"/>
        <v>671.5</v>
      </c>
      <c r="AO55" s="2">
        <v>702.6</v>
      </c>
    </row>
    <row r="56" spans="2:41" x14ac:dyDescent="0.3">
      <c r="B56" s="33" t="s">
        <v>93</v>
      </c>
      <c r="C56" s="2">
        <f t="shared" ref="C56:X56" si="211">SUM(C50:C55)</f>
        <v>0</v>
      </c>
      <c r="D56" s="2">
        <f t="shared" si="211"/>
        <v>0</v>
      </c>
      <c r="E56" s="2">
        <f t="shared" si="211"/>
        <v>0</v>
      </c>
      <c r="F56" s="2">
        <f t="shared" si="211"/>
        <v>738.4</v>
      </c>
      <c r="G56" s="2">
        <f t="shared" si="211"/>
        <v>746.1</v>
      </c>
      <c r="H56" s="2">
        <f t="shared" si="211"/>
        <v>793.3</v>
      </c>
      <c r="I56" s="2">
        <f t="shared" si="211"/>
        <v>815.1</v>
      </c>
      <c r="J56" s="2">
        <f t="shared" si="211"/>
        <v>837.5</v>
      </c>
      <c r="K56" s="2">
        <f t="shared" si="211"/>
        <v>865.8</v>
      </c>
      <c r="L56" s="2">
        <f t="shared" si="211"/>
        <v>903.1</v>
      </c>
      <c r="M56" s="2">
        <f t="shared" si="211"/>
        <v>948.30000000000007</v>
      </c>
      <c r="N56" s="2">
        <f t="shared" si="211"/>
        <v>1014.8</v>
      </c>
      <c r="O56" s="2">
        <f t="shared" si="211"/>
        <v>970.8</v>
      </c>
      <c r="P56" s="2">
        <f t="shared" si="211"/>
        <v>981.8</v>
      </c>
      <c r="Q56" s="2">
        <f t="shared" si="211"/>
        <v>1026.9000000000001</v>
      </c>
      <c r="R56" s="2">
        <f t="shared" si="211"/>
        <v>1087.8</v>
      </c>
      <c r="S56" s="2">
        <f t="shared" si="211"/>
        <v>1074.9000000000001</v>
      </c>
      <c r="T56" s="2">
        <f t="shared" si="211"/>
        <v>1125</v>
      </c>
      <c r="U56" s="2">
        <f t="shared" si="211"/>
        <v>1175.0999999999999</v>
      </c>
      <c r="V56" s="2">
        <f t="shared" si="211"/>
        <v>1175.8000000000002</v>
      </c>
      <c r="W56" s="2">
        <f t="shared" si="211"/>
        <v>1117.4000000000001</v>
      </c>
      <c r="X56" s="2">
        <f t="shared" si="211"/>
        <v>1135.7</v>
      </c>
      <c r="Y56" s="2">
        <f t="shared" ref="Y56" si="212">SUM(Y50:Y55)</f>
        <v>1156.4000000000001</v>
      </c>
      <c r="Z56" s="2">
        <f t="shared" ref="Z56" si="213">SUM(Z50:Z55)</f>
        <v>1196.5</v>
      </c>
      <c r="AA56" s="2">
        <f t="shared" ref="AA56" si="214">SUM(AA50:AA55)</f>
        <v>1152.5</v>
      </c>
      <c r="AK56" s="2">
        <f t="shared" ref="AK56:AO56" si="215">SUM(AK50:AK55)</f>
        <v>837.5</v>
      </c>
      <c r="AL56" s="2">
        <f t="shared" si="215"/>
        <v>1014.8</v>
      </c>
      <c r="AM56" s="2">
        <f t="shared" si="215"/>
        <v>1087.8</v>
      </c>
      <c r="AN56" s="2">
        <f t="shared" si="215"/>
        <v>1175.8000000000002</v>
      </c>
      <c r="AO56" s="2">
        <f t="shared" si="215"/>
        <v>1196.5</v>
      </c>
    </row>
    <row r="57" spans="2:41" x14ac:dyDescent="0.3">
      <c r="B57" s="33" t="s">
        <v>97</v>
      </c>
      <c r="F57" s="2">
        <v>0</v>
      </c>
      <c r="G57" s="2">
        <v>0</v>
      </c>
      <c r="H57" s="2">
        <v>0</v>
      </c>
      <c r="I57" s="2">
        <v>0</v>
      </c>
      <c r="J57" s="2">
        <v>0</v>
      </c>
      <c r="K57" s="2">
        <v>441.5</v>
      </c>
      <c r="L57" s="2">
        <v>601.4</v>
      </c>
      <c r="M57" s="2">
        <v>626.20000000000005</v>
      </c>
      <c r="N57" s="2">
        <v>711.9</v>
      </c>
      <c r="O57" s="2">
        <v>771.6</v>
      </c>
      <c r="P57" s="2">
        <v>771.3</v>
      </c>
      <c r="Q57" s="2">
        <v>777.3</v>
      </c>
      <c r="R57" s="2">
        <v>759.6</v>
      </c>
      <c r="S57" s="2">
        <v>744.6</v>
      </c>
      <c r="T57" s="2">
        <v>723.4</v>
      </c>
      <c r="U57" s="2">
        <v>743.6</v>
      </c>
      <c r="V57" s="2">
        <v>632</v>
      </c>
      <c r="W57" s="2">
        <v>632.29999999999995</v>
      </c>
      <c r="X57" s="2">
        <v>608.70000000000005</v>
      </c>
      <c r="Y57" s="2">
        <v>589.70000000000005</v>
      </c>
      <c r="Z57" s="2">
        <v>585.20000000000005</v>
      </c>
      <c r="AA57" s="2">
        <v>569.6</v>
      </c>
      <c r="AK57" s="2">
        <f t="shared" ref="AK57:AK60" si="216">J57</f>
        <v>0</v>
      </c>
      <c r="AL57" s="2">
        <f t="shared" ref="AL57:AL60" si="217">N57</f>
        <v>711.9</v>
      </c>
      <c r="AM57" s="2">
        <f t="shared" ref="AM57:AM60" si="218">R57</f>
        <v>759.6</v>
      </c>
      <c r="AN57" s="2">
        <f t="shared" ref="AN57:AN60" si="219">V57</f>
        <v>632</v>
      </c>
      <c r="AO57" s="2">
        <v>585.20000000000005</v>
      </c>
    </row>
    <row r="58" spans="2:41" x14ac:dyDescent="0.3">
      <c r="B58" s="33" t="s">
        <v>98</v>
      </c>
      <c r="F58" s="2">
        <v>71.599999999999994</v>
      </c>
      <c r="G58" s="2">
        <v>77.2</v>
      </c>
      <c r="H58" s="2">
        <v>73.099999999999994</v>
      </c>
      <c r="I58" s="2">
        <v>82.4</v>
      </c>
      <c r="J58" s="2">
        <v>89.9</v>
      </c>
      <c r="K58" s="2">
        <v>106.7</v>
      </c>
      <c r="L58" s="2">
        <v>119.6</v>
      </c>
      <c r="M58" s="2">
        <v>128</v>
      </c>
      <c r="N58" s="2">
        <v>138.19999999999999</v>
      </c>
      <c r="O58" s="2">
        <v>147.9</v>
      </c>
      <c r="P58" s="2">
        <v>152.1</v>
      </c>
      <c r="Q58" s="2">
        <v>169.4</v>
      </c>
      <c r="R58" s="2">
        <v>171.6</v>
      </c>
      <c r="S58" s="2">
        <v>165.4</v>
      </c>
      <c r="T58" s="2">
        <v>174</v>
      </c>
      <c r="U58" s="2">
        <v>182.2</v>
      </c>
      <c r="V58" s="2">
        <v>167.7</v>
      </c>
      <c r="W58" s="2">
        <v>156.6</v>
      </c>
      <c r="X58" s="2">
        <v>142.9</v>
      </c>
      <c r="Y58" s="2">
        <v>133.30000000000001</v>
      </c>
      <c r="Z58" s="2">
        <v>151.69999999999999</v>
      </c>
      <c r="AA58" s="2">
        <v>154.80000000000001</v>
      </c>
      <c r="AK58" s="2">
        <f t="shared" si="216"/>
        <v>89.9</v>
      </c>
      <c r="AL58" s="2">
        <f t="shared" si="217"/>
        <v>138.19999999999999</v>
      </c>
      <c r="AM58" s="2">
        <f t="shared" si="218"/>
        <v>171.6</v>
      </c>
      <c r="AN58" s="2">
        <f t="shared" si="219"/>
        <v>167.7</v>
      </c>
      <c r="AO58" s="2">
        <v>151.69999999999999</v>
      </c>
    </row>
    <row r="59" spans="2:41" x14ac:dyDescent="0.3">
      <c r="B59" s="33" t="s">
        <v>99</v>
      </c>
      <c r="F59" s="2">
        <v>0</v>
      </c>
      <c r="G59" s="2">
        <v>0</v>
      </c>
      <c r="H59" s="2">
        <v>0</v>
      </c>
      <c r="I59" s="2">
        <v>0</v>
      </c>
      <c r="J59" s="2">
        <v>0</v>
      </c>
      <c r="K59" s="2">
        <v>0</v>
      </c>
      <c r="L59" s="2">
        <v>0</v>
      </c>
      <c r="M59" s="2">
        <v>0</v>
      </c>
      <c r="N59" s="2">
        <v>0</v>
      </c>
      <c r="O59" s="2">
        <v>0</v>
      </c>
      <c r="P59" s="2">
        <v>0</v>
      </c>
      <c r="Q59" s="2">
        <v>0</v>
      </c>
      <c r="R59" s="2">
        <v>0</v>
      </c>
      <c r="S59" s="2">
        <v>1367.4</v>
      </c>
      <c r="T59" s="2">
        <v>1368.4</v>
      </c>
      <c r="U59" s="2">
        <v>1369.3</v>
      </c>
      <c r="V59" s="2">
        <v>1370.3</v>
      </c>
      <c r="W59" s="2">
        <v>1371.2</v>
      </c>
      <c r="X59" s="2">
        <v>1372.2</v>
      </c>
      <c r="Y59" s="2">
        <v>1373.1</v>
      </c>
      <c r="Z59" s="2">
        <v>1374</v>
      </c>
      <c r="AA59" s="2">
        <v>1375</v>
      </c>
      <c r="AK59" s="2">
        <f t="shared" si="216"/>
        <v>0</v>
      </c>
      <c r="AL59" s="2">
        <f t="shared" si="217"/>
        <v>0</v>
      </c>
      <c r="AM59" s="2">
        <f t="shared" si="218"/>
        <v>0</v>
      </c>
      <c r="AN59" s="2">
        <f t="shared" si="219"/>
        <v>1370.3</v>
      </c>
      <c r="AO59" s="2">
        <v>1374</v>
      </c>
    </row>
    <row r="60" spans="2:41" x14ac:dyDescent="0.3">
      <c r="B60" s="33" t="s">
        <v>100</v>
      </c>
      <c r="F60" s="2">
        <f>69.8+37.2</f>
        <v>107</v>
      </c>
      <c r="G60" s="2">
        <f>68.9+36.3</f>
        <v>105.2</v>
      </c>
      <c r="H60" s="2">
        <f>73.6+31.5</f>
        <v>105.1</v>
      </c>
      <c r="I60" s="2">
        <f>73.4+8.8</f>
        <v>82.2</v>
      </c>
      <c r="J60" s="2">
        <v>89.9</v>
      </c>
      <c r="K60" s="2">
        <v>9.6999999999999993</v>
      </c>
      <c r="L60" s="2">
        <v>10.6</v>
      </c>
      <c r="M60" s="2">
        <v>21.5</v>
      </c>
      <c r="N60" s="2">
        <v>25.9</v>
      </c>
      <c r="O60" s="2">
        <v>26.6</v>
      </c>
      <c r="P60" s="2">
        <v>33.700000000000003</v>
      </c>
      <c r="Q60" s="2">
        <v>37.4</v>
      </c>
      <c r="R60" s="2">
        <v>34.4</v>
      </c>
      <c r="S60" s="2">
        <v>38</v>
      </c>
      <c r="T60" s="2">
        <v>32.1</v>
      </c>
      <c r="U60" s="2">
        <v>31.5</v>
      </c>
      <c r="V60" s="2">
        <v>39.4</v>
      </c>
      <c r="W60" s="2">
        <v>37.799999999999997</v>
      </c>
      <c r="X60" s="2">
        <v>42.2</v>
      </c>
      <c r="Y60" s="2">
        <v>41.6</v>
      </c>
      <c r="Z60" s="2">
        <v>112.1</v>
      </c>
      <c r="AA60" s="2">
        <v>107</v>
      </c>
      <c r="AK60" s="2">
        <f t="shared" si="216"/>
        <v>89.9</v>
      </c>
      <c r="AL60" s="2">
        <f t="shared" si="217"/>
        <v>25.9</v>
      </c>
      <c r="AM60" s="2">
        <f t="shared" si="218"/>
        <v>34.4</v>
      </c>
      <c r="AN60" s="2">
        <f t="shared" si="219"/>
        <v>39.4</v>
      </c>
      <c r="AO60" s="2">
        <v>112.1</v>
      </c>
    </row>
    <row r="61" spans="2:41" s="3" customFormat="1" x14ac:dyDescent="0.3">
      <c r="B61" s="3" t="s">
        <v>101</v>
      </c>
      <c r="C61" s="22">
        <f>SUM(C56:C60)</f>
        <v>0</v>
      </c>
      <c r="D61" s="22">
        <f t="shared" ref="D61:AA61" si="220">SUM(D56:D60)</f>
        <v>0</v>
      </c>
      <c r="E61" s="22">
        <f t="shared" si="220"/>
        <v>0</v>
      </c>
      <c r="F61" s="22">
        <f t="shared" si="220"/>
        <v>917</v>
      </c>
      <c r="G61" s="22">
        <f t="shared" si="220"/>
        <v>928.50000000000011</v>
      </c>
      <c r="H61" s="22">
        <f t="shared" si="220"/>
        <v>971.5</v>
      </c>
      <c r="I61" s="22">
        <f t="shared" si="220"/>
        <v>979.7</v>
      </c>
      <c r="J61" s="22">
        <f t="shared" si="220"/>
        <v>1017.3</v>
      </c>
      <c r="K61" s="22">
        <f t="shared" si="220"/>
        <v>1423.7</v>
      </c>
      <c r="L61" s="22">
        <f t="shared" si="220"/>
        <v>1634.6999999999998</v>
      </c>
      <c r="M61" s="22">
        <f t="shared" si="220"/>
        <v>1724</v>
      </c>
      <c r="N61" s="22">
        <f t="shared" si="220"/>
        <v>1890.8</v>
      </c>
      <c r="O61" s="22">
        <f t="shared" si="220"/>
        <v>1916.9</v>
      </c>
      <c r="P61" s="22">
        <f t="shared" si="220"/>
        <v>1938.8999999999999</v>
      </c>
      <c r="Q61" s="22">
        <f t="shared" si="220"/>
        <v>2011.0000000000002</v>
      </c>
      <c r="R61" s="22">
        <f t="shared" si="220"/>
        <v>2053.4</v>
      </c>
      <c r="S61" s="22">
        <f t="shared" si="220"/>
        <v>3390.3</v>
      </c>
      <c r="T61" s="22">
        <f t="shared" si="220"/>
        <v>3422.9</v>
      </c>
      <c r="U61" s="22">
        <f t="shared" si="220"/>
        <v>3501.7</v>
      </c>
      <c r="V61" s="22">
        <f t="shared" si="220"/>
        <v>3385.2000000000003</v>
      </c>
      <c r="W61" s="22">
        <f t="shared" si="220"/>
        <v>3315.3</v>
      </c>
      <c r="X61" s="22">
        <f t="shared" si="220"/>
        <v>3301.7</v>
      </c>
      <c r="Y61" s="22">
        <f t="shared" si="220"/>
        <v>3294.1</v>
      </c>
      <c r="Z61" s="22">
        <f t="shared" si="220"/>
        <v>3419.5</v>
      </c>
      <c r="AA61" s="22">
        <f t="shared" si="220"/>
        <v>3358.8999999999996</v>
      </c>
      <c r="AK61" s="22">
        <f t="shared" ref="AK61" si="221">SUM(AK56:AK60)</f>
        <v>1017.3</v>
      </c>
      <c r="AL61" s="22">
        <f t="shared" ref="AL61" si="222">SUM(AL56:AL60)</f>
        <v>1890.8</v>
      </c>
      <c r="AM61" s="22">
        <f t="shared" ref="AM61" si="223">SUM(AM56:AM60)</f>
        <v>2053.4</v>
      </c>
      <c r="AN61" s="22">
        <f t="shared" ref="AN61:AO61" si="224">SUM(AN56:AN60)</f>
        <v>3385.2000000000003</v>
      </c>
      <c r="AO61" s="22">
        <f t="shared" si="224"/>
        <v>3419.5</v>
      </c>
    </row>
    <row r="62" spans="2:41" s="3" customFormat="1" x14ac:dyDescent="0.3">
      <c r="B62" s="33" t="s">
        <v>102</v>
      </c>
      <c r="C62" s="36"/>
      <c r="D62" s="36"/>
      <c r="E62" s="36"/>
      <c r="F62" s="36">
        <v>102.9</v>
      </c>
      <c r="G62" s="36">
        <v>510.2</v>
      </c>
      <c r="H62" s="36">
        <v>630.9</v>
      </c>
      <c r="I62" s="36">
        <v>643.4</v>
      </c>
      <c r="J62" s="36">
        <v>676.8</v>
      </c>
      <c r="K62" s="36">
        <v>704.9</v>
      </c>
      <c r="L62" s="36">
        <v>730.2</v>
      </c>
      <c r="M62" s="36">
        <v>762.6</v>
      </c>
      <c r="N62" s="36">
        <v>808.4</v>
      </c>
      <c r="O62" s="36">
        <v>800.4</v>
      </c>
      <c r="P62" s="36">
        <v>803.4</v>
      </c>
      <c r="Q62" s="36">
        <v>851.3</v>
      </c>
      <c r="R62" s="36">
        <v>333.8</v>
      </c>
      <c r="S62" s="36">
        <v>-83</v>
      </c>
      <c r="T62" s="36">
        <v>-94.8</v>
      </c>
      <c r="U62" s="36">
        <v>-162.6</v>
      </c>
      <c r="V62" s="36">
        <v>-293.89999999999998</v>
      </c>
      <c r="W62" s="36">
        <v>-463.3</v>
      </c>
      <c r="X62" s="36">
        <v>-542.9</v>
      </c>
      <c r="Y62" s="36">
        <v>-591.29999999999995</v>
      </c>
      <c r="Z62" s="36">
        <v>-309.39999999999998</v>
      </c>
      <c r="AA62" s="36">
        <v>-365.2</v>
      </c>
      <c r="AK62" s="2">
        <f>J62</f>
        <v>676.8</v>
      </c>
      <c r="AL62" s="2">
        <f>N62</f>
        <v>808.4</v>
      </c>
      <c r="AM62" s="2">
        <f>R62</f>
        <v>333.8</v>
      </c>
      <c r="AN62" s="2">
        <f>V62</f>
        <v>-293.89999999999998</v>
      </c>
      <c r="AO62" s="36">
        <v>-309.39999999999998</v>
      </c>
    </row>
    <row r="63" spans="2:41" s="3" customFormat="1" x14ac:dyDescent="0.3">
      <c r="B63" s="3" t="s">
        <v>103</v>
      </c>
      <c r="C63" s="22">
        <f>C61+C62</f>
        <v>0</v>
      </c>
      <c r="D63" s="22">
        <f t="shared" ref="D63:AA63" si="225">D61+D62</f>
        <v>0</v>
      </c>
      <c r="E63" s="22">
        <f t="shared" si="225"/>
        <v>0</v>
      </c>
      <c r="F63" s="22">
        <f t="shared" si="225"/>
        <v>1019.9</v>
      </c>
      <c r="G63" s="22">
        <f t="shared" si="225"/>
        <v>1438.7</v>
      </c>
      <c r="H63" s="22">
        <f t="shared" si="225"/>
        <v>1602.4</v>
      </c>
      <c r="I63" s="22">
        <f t="shared" si="225"/>
        <v>1623.1</v>
      </c>
      <c r="J63" s="22">
        <f t="shared" si="225"/>
        <v>1694.1</v>
      </c>
      <c r="K63" s="22">
        <f t="shared" si="225"/>
        <v>2128.6</v>
      </c>
      <c r="L63" s="22">
        <f t="shared" si="225"/>
        <v>2364.8999999999996</v>
      </c>
      <c r="M63" s="22">
        <f t="shared" si="225"/>
        <v>2486.6</v>
      </c>
      <c r="N63" s="22">
        <f t="shared" si="225"/>
        <v>2699.2</v>
      </c>
      <c r="O63" s="22">
        <f t="shared" si="225"/>
        <v>2717.3</v>
      </c>
      <c r="P63" s="22">
        <f t="shared" si="225"/>
        <v>2742.2999999999997</v>
      </c>
      <c r="Q63" s="22">
        <f t="shared" si="225"/>
        <v>2862.3</v>
      </c>
      <c r="R63" s="22">
        <f t="shared" si="225"/>
        <v>2387.2000000000003</v>
      </c>
      <c r="S63" s="22">
        <f t="shared" si="225"/>
        <v>3307.3</v>
      </c>
      <c r="T63" s="22">
        <f t="shared" si="225"/>
        <v>3328.1</v>
      </c>
      <c r="U63" s="22">
        <f t="shared" si="225"/>
        <v>3339.1</v>
      </c>
      <c r="V63" s="22">
        <f t="shared" si="225"/>
        <v>3091.3</v>
      </c>
      <c r="W63" s="22">
        <f t="shared" si="225"/>
        <v>2852</v>
      </c>
      <c r="X63" s="22">
        <f t="shared" si="225"/>
        <v>2758.7999999999997</v>
      </c>
      <c r="Y63" s="22">
        <f t="shared" si="225"/>
        <v>2702.8</v>
      </c>
      <c r="Z63" s="22">
        <f t="shared" si="225"/>
        <v>3110.1</v>
      </c>
      <c r="AA63" s="22">
        <f t="shared" si="225"/>
        <v>2993.7</v>
      </c>
      <c r="AK63" s="22">
        <f t="shared" ref="AK63" si="226">AK61+AK62</f>
        <v>1694.1</v>
      </c>
      <c r="AL63" s="22">
        <f t="shared" ref="AL63" si="227">AL61+AL62</f>
        <v>2699.2</v>
      </c>
      <c r="AM63" s="22">
        <f t="shared" ref="AM63" si="228">AM61+AM62</f>
        <v>2387.2000000000003</v>
      </c>
      <c r="AN63" s="22">
        <f t="shared" ref="AN63:AO63" si="229">AN61+AN62</f>
        <v>3091.3</v>
      </c>
      <c r="AO63" s="22">
        <f t="shared" si="229"/>
        <v>3110.1</v>
      </c>
    </row>
    <row r="64" spans="2:41" x14ac:dyDescent="0.3">
      <c r="C64" s="1"/>
      <c r="D64" s="1"/>
      <c r="E64" s="1"/>
      <c r="F64" s="1"/>
      <c r="G64" s="1"/>
      <c r="H64" s="1"/>
      <c r="I64" s="1"/>
      <c r="J64" s="1"/>
      <c r="K64" s="1"/>
      <c r="L64" s="1"/>
      <c r="M64" s="1"/>
      <c r="N64" s="1"/>
      <c r="O64" s="1"/>
      <c r="P64" s="1"/>
      <c r="Q64" s="1"/>
      <c r="R64" s="1"/>
      <c r="S64" s="1"/>
      <c r="T64" s="1"/>
      <c r="U64" s="1"/>
      <c r="V64" s="1"/>
      <c r="W64" s="1"/>
      <c r="X64" s="1"/>
    </row>
    <row r="65" spans="2:40" x14ac:dyDescent="0.3">
      <c r="C65" s="1"/>
      <c r="D65" s="1"/>
      <c r="E65" s="1"/>
      <c r="F65" s="1"/>
      <c r="G65" s="1"/>
      <c r="H65" s="1"/>
      <c r="I65" s="1"/>
      <c r="J65" s="1"/>
      <c r="K65" s="1"/>
      <c r="L65" s="1"/>
      <c r="M65" s="1"/>
      <c r="N65" s="1"/>
      <c r="O65" s="1"/>
      <c r="P65" s="1"/>
      <c r="Q65" s="1"/>
      <c r="R65" s="1"/>
      <c r="S65" s="1"/>
      <c r="T65" s="1"/>
      <c r="U65" s="1"/>
      <c r="V65" s="1"/>
      <c r="W65" s="1"/>
      <c r="X65" s="1"/>
    </row>
    <row r="66" spans="2:40" x14ac:dyDescent="0.3">
      <c r="B66" s="33" t="s">
        <v>104</v>
      </c>
      <c r="C66" s="2">
        <f t="shared" ref="C66:W66" si="230">C23</f>
        <v>-33.100000000000009</v>
      </c>
      <c r="D66" s="2">
        <f t="shared" si="230"/>
        <v>-26.799999999999986</v>
      </c>
      <c r="E66" s="2">
        <f t="shared" si="230"/>
        <v>-14.10000000000001</v>
      </c>
      <c r="F66" s="2">
        <f t="shared" si="230"/>
        <v>-37.70000000000001</v>
      </c>
      <c r="G66" s="2">
        <f t="shared" si="230"/>
        <v>-465.5</v>
      </c>
      <c r="H66" s="2">
        <f t="shared" si="230"/>
        <v>-4.1000000000000458</v>
      </c>
      <c r="I66" s="2">
        <f t="shared" si="230"/>
        <v>-5.7999999999999767</v>
      </c>
      <c r="J66" s="2">
        <f t="shared" si="230"/>
        <v>-9.5</v>
      </c>
      <c r="K66" s="2">
        <f t="shared" si="230"/>
        <v>-7.6999999999999558</v>
      </c>
      <c r="L66" s="2">
        <f t="shared" si="230"/>
        <v>-21.399999999999945</v>
      </c>
      <c r="M66" s="2">
        <f t="shared" si="230"/>
        <v>-17.000000000000025</v>
      </c>
      <c r="N66" s="2">
        <f t="shared" si="230"/>
        <v>-6.5999999999999659</v>
      </c>
      <c r="O66" s="2">
        <f t="shared" si="230"/>
        <v>39.299999999999955</v>
      </c>
      <c r="P66" s="2">
        <f t="shared" si="230"/>
        <v>17.499999999999957</v>
      </c>
      <c r="Q66" s="2">
        <f t="shared" si="230"/>
        <v>32.699999999999946</v>
      </c>
      <c r="R66" s="2">
        <f t="shared" si="230"/>
        <v>52.400000000000027</v>
      </c>
      <c r="S66" s="2">
        <f t="shared" si="230"/>
        <v>64.900000000000006</v>
      </c>
      <c r="T66" s="2">
        <f t="shared" si="230"/>
        <v>87.999999999999972</v>
      </c>
      <c r="U66" s="2">
        <f t="shared" si="230"/>
        <v>75.600000000000065</v>
      </c>
      <c r="V66" s="2">
        <f t="shared" si="230"/>
        <v>138.59999999999997</v>
      </c>
      <c r="W66" s="2">
        <f t="shared" si="230"/>
        <v>79.7</v>
      </c>
      <c r="X66" s="2">
        <f>X23</f>
        <v>70.700000000000017</v>
      </c>
      <c r="AJ66" s="2">
        <f>SUM(C66:F66)</f>
        <v>-111.70000000000002</v>
      </c>
      <c r="AK66" s="2">
        <f>SUM(G66:J66)</f>
        <v>-484.9</v>
      </c>
      <c r="AL66" s="2">
        <f>SUM(K66:N66)</f>
        <v>-52.699999999999889</v>
      </c>
      <c r="AM66" s="2">
        <f>SUM(O66:R66)</f>
        <v>141.89999999999989</v>
      </c>
      <c r="AN66" s="2">
        <f>SUM(S66:V66)</f>
        <v>367.1</v>
      </c>
    </row>
    <row r="67" spans="2:40" x14ac:dyDescent="0.3">
      <c r="B67" s="33" t="s">
        <v>105</v>
      </c>
      <c r="C67" s="2">
        <v>-33.1</v>
      </c>
      <c r="D67" s="2">
        <v>-26.8</v>
      </c>
      <c r="E67" s="2">
        <v>-14.1</v>
      </c>
      <c r="F67" s="2">
        <v>-37.700000000000003</v>
      </c>
      <c r="G67" s="2">
        <v>-465.5</v>
      </c>
      <c r="H67" s="2">
        <v>-4.0999999999999996</v>
      </c>
      <c r="I67" s="2">
        <v>-5.8</v>
      </c>
      <c r="J67" s="2">
        <v>-9.5</v>
      </c>
      <c r="K67" s="2">
        <v>-7.7</v>
      </c>
      <c r="L67" s="2">
        <v>-21.4</v>
      </c>
      <c r="M67" s="2">
        <v>-17</v>
      </c>
      <c r="N67" s="2">
        <v>-6.6</v>
      </c>
      <c r="O67" s="2">
        <v>39.299999999999997</v>
      </c>
      <c r="P67" s="2">
        <v>17.5</v>
      </c>
      <c r="Q67" s="2">
        <v>32.700000000000003</v>
      </c>
      <c r="R67" s="2">
        <v>-345.8</v>
      </c>
      <c r="S67" s="2">
        <v>47.6</v>
      </c>
      <c r="T67" s="2">
        <v>88</v>
      </c>
      <c r="U67" s="2">
        <v>75.599999999999994</v>
      </c>
      <c r="V67" s="2">
        <v>124.6</v>
      </c>
      <c r="W67" s="2">
        <v>79.7</v>
      </c>
      <c r="X67" s="2">
        <v>62</v>
      </c>
      <c r="AJ67" s="2">
        <f>SUM(C67:F67)</f>
        <v>-111.7</v>
      </c>
      <c r="AK67" s="2">
        <f>SUM(G67:J67)</f>
        <v>-484.90000000000003</v>
      </c>
      <c r="AL67" s="2">
        <f>SUM(K67:N67)</f>
        <v>-52.699999999999996</v>
      </c>
      <c r="AM67" s="2">
        <f>SUM(O67:R67)</f>
        <v>-256.3</v>
      </c>
      <c r="AN67" s="2">
        <f>SUM(S67:V67)</f>
        <v>335.79999999999995</v>
      </c>
    </row>
    <row r="68" spans="2:40" x14ac:dyDescent="0.3">
      <c r="B68" s="33" t="s">
        <v>106</v>
      </c>
      <c r="C68" s="2">
        <v>48</v>
      </c>
      <c r="D68" s="2">
        <v>46.4</v>
      </c>
      <c r="E68" s="2">
        <v>44.5</v>
      </c>
      <c r="F68" s="2">
        <v>42.9</v>
      </c>
      <c r="G68" s="2">
        <v>35.9</v>
      </c>
      <c r="H68" s="2">
        <v>40</v>
      </c>
      <c r="I68" s="2">
        <v>45.7</v>
      </c>
      <c r="J68" s="2">
        <v>45.2</v>
      </c>
      <c r="K68" s="2">
        <v>45.8</v>
      </c>
      <c r="L68" s="2">
        <v>46.1</v>
      </c>
      <c r="M68" s="2">
        <v>40.6</v>
      </c>
      <c r="N68" s="2">
        <v>41</v>
      </c>
      <c r="O68" s="2">
        <v>39.5</v>
      </c>
      <c r="P68" s="2">
        <v>40.1</v>
      </c>
      <c r="Q68" s="2">
        <v>40.9</v>
      </c>
      <c r="R68" s="2">
        <v>38.799999999999997</v>
      </c>
      <c r="S68" s="2">
        <v>34.700000000000003</v>
      </c>
      <c r="T68" s="2">
        <v>36.799999999999997</v>
      </c>
      <c r="U68" s="2">
        <v>38.799999999999997</v>
      </c>
      <c r="V68" s="2">
        <v>41.1</v>
      </c>
      <c r="W68" s="2">
        <v>39.4</v>
      </c>
      <c r="X68" s="2">
        <v>39.200000000000003</v>
      </c>
      <c r="AJ68" s="2">
        <f t="shared" ref="AJ68:AJ86" si="231">SUM(C68:F68)</f>
        <v>181.8</v>
      </c>
      <c r="AK68" s="2">
        <f t="shared" ref="AK68:AK86" si="232">SUM(G68:J68)</f>
        <v>166.8</v>
      </c>
      <c r="AL68" s="2">
        <f t="shared" ref="AL68:AL86" si="233">SUM(K68:N68)</f>
        <v>173.5</v>
      </c>
      <c r="AM68" s="2">
        <f t="shared" ref="AM68:AM86" si="234">SUM(O68:R68)</f>
        <v>159.30000000000001</v>
      </c>
      <c r="AN68" s="2">
        <f t="shared" ref="AN68:AN86" si="235">SUM(S68:V68)</f>
        <v>151.4</v>
      </c>
    </row>
    <row r="69" spans="2:40" x14ac:dyDescent="0.3">
      <c r="B69" s="33" t="s">
        <v>107</v>
      </c>
      <c r="C69" s="2">
        <v>38.799999999999997</v>
      </c>
      <c r="D69" s="2">
        <v>38.700000000000003</v>
      </c>
      <c r="E69" s="2">
        <v>39.700000000000003</v>
      </c>
      <c r="F69" s="2">
        <v>47.4</v>
      </c>
      <c r="G69" s="2">
        <v>486.5</v>
      </c>
      <c r="H69" s="2">
        <v>55.1</v>
      </c>
      <c r="I69" s="2">
        <v>55</v>
      </c>
      <c r="J69" s="2">
        <v>53.5</v>
      </c>
      <c r="K69" s="2">
        <v>55.6</v>
      </c>
      <c r="L69" s="2">
        <v>68.099999999999994</v>
      </c>
      <c r="M69" s="2">
        <v>68.2</v>
      </c>
      <c r="N69" s="2">
        <v>69.3</v>
      </c>
      <c r="O69" s="2">
        <v>39.799999999999997</v>
      </c>
      <c r="P69" s="2">
        <v>76.599999999999994</v>
      </c>
      <c r="Q69" s="2">
        <v>75.7</v>
      </c>
      <c r="R69" s="2">
        <v>69.400000000000006</v>
      </c>
      <c r="S69" s="2">
        <v>67.900000000000006</v>
      </c>
      <c r="T69" s="2">
        <v>73.900000000000006</v>
      </c>
      <c r="U69" s="2">
        <v>72.8</v>
      </c>
      <c r="V69" s="2">
        <v>72.5</v>
      </c>
      <c r="W69" s="2">
        <v>72.3</v>
      </c>
      <c r="X69" s="2">
        <v>85</v>
      </c>
      <c r="AJ69" s="2">
        <f t="shared" si="231"/>
        <v>164.6</v>
      </c>
      <c r="AK69" s="2">
        <f t="shared" si="232"/>
        <v>650.1</v>
      </c>
      <c r="AL69" s="2">
        <f t="shared" si="233"/>
        <v>261.2</v>
      </c>
      <c r="AM69" s="2">
        <f t="shared" si="234"/>
        <v>261.5</v>
      </c>
      <c r="AN69" s="2">
        <f t="shared" si="235"/>
        <v>287.10000000000002</v>
      </c>
    </row>
    <row r="70" spans="2:40" x14ac:dyDescent="0.3">
      <c r="B70" s="33" t="s">
        <v>108</v>
      </c>
      <c r="C70" s="2">
        <v>0</v>
      </c>
      <c r="D70" s="2">
        <v>0</v>
      </c>
      <c r="E70" s="2">
        <v>0</v>
      </c>
      <c r="F70" s="2">
        <v>0</v>
      </c>
      <c r="G70" s="2">
        <v>0</v>
      </c>
      <c r="H70" s="2">
        <v>2.9</v>
      </c>
      <c r="I70" s="2">
        <v>0</v>
      </c>
      <c r="J70" s="2">
        <v>0</v>
      </c>
      <c r="K70" s="2">
        <v>0</v>
      </c>
      <c r="L70" s="2">
        <v>0</v>
      </c>
      <c r="M70" s="2">
        <v>0</v>
      </c>
      <c r="N70" s="2">
        <v>0</v>
      </c>
      <c r="O70" s="2">
        <v>0</v>
      </c>
      <c r="P70" s="2">
        <v>0</v>
      </c>
      <c r="Q70" s="2">
        <v>0</v>
      </c>
      <c r="R70" s="2">
        <v>398.2</v>
      </c>
      <c r="S70" s="2">
        <v>17.3</v>
      </c>
      <c r="T70" s="2">
        <v>0</v>
      </c>
      <c r="U70" s="2">
        <v>0</v>
      </c>
      <c r="V70" s="2">
        <v>14</v>
      </c>
      <c r="W70" s="2">
        <v>0</v>
      </c>
      <c r="X70" s="2">
        <v>8.6999999999999993</v>
      </c>
      <c r="AJ70" s="2">
        <f t="shared" si="231"/>
        <v>0</v>
      </c>
      <c r="AK70" s="2">
        <f t="shared" si="232"/>
        <v>2.9</v>
      </c>
      <c r="AL70" s="2">
        <f t="shared" si="233"/>
        <v>0</v>
      </c>
      <c r="AM70" s="2">
        <f t="shared" si="234"/>
        <v>398.2</v>
      </c>
      <c r="AN70" s="2">
        <f t="shared" si="235"/>
        <v>31.3</v>
      </c>
    </row>
    <row r="71" spans="2:40" x14ac:dyDescent="0.3">
      <c r="B71" s="33" t="s">
        <v>128</v>
      </c>
      <c r="C71" s="2">
        <v>0</v>
      </c>
      <c r="D71" s="2">
        <v>0</v>
      </c>
      <c r="E71" s="2">
        <v>0</v>
      </c>
      <c r="F71" s="2">
        <v>0</v>
      </c>
      <c r="G71" s="2">
        <v>0</v>
      </c>
      <c r="H71" s="2">
        <v>0</v>
      </c>
      <c r="I71" s="2">
        <v>0</v>
      </c>
      <c r="J71" s="2">
        <v>0</v>
      </c>
      <c r="K71" s="2">
        <v>0</v>
      </c>
      <c r="L71" s="2">
        <v>0</v>
      </c>
      <c r="M71" s="2">
        <v>0</v>
      </c>
      <c r="N71" s="2">
        <v>0</v>
      </c>
      <c r="O71" s="2">
        <v>0.1</v>
      </c>
      <c r="P71" s="2">
        <v>0.2</v>
      </c>
      <c r="Q71" s="2">
        <v>0.1</v>
      </c>
      <c r="R71" s="2">
        <v>0.2</v>
      </c>
      <c r="S71" s="2">
        <v>0.7</v>
      </c>
      <c r="T71" s="2">
        <v>1</v>
      </c>
      <c r="U71" s="2">
        <v>1.1000000000000001</v>
      </c>
      <c r="V71" s="2">
        <v>1</v>
      </c>
      <c r="W71" s="2">
        <v>1</v>
      </c>
      <c r="X71" s="2">
        <v>1.1000000000000001</v>
      </c>
      <c r="AJ71" s="2">
        <f t="shared" si="231"/>
        <v>0</v>
      </c>
      <c r="AK71" s="2">
        <f t="shared" si="232"/>
        <v>0</v>
      </c>
      <c r="AL71" s="2">
        <f t="shared" si="233"/>
        <v>0</v>
      </c>
      <c r="AM71" s="2">
        <f t="shared" si="234"/>
        <v>0.60000000000000009</v>
      </c>
      <c r="AN71" s="2">
        <f t="shared" si="235"/>
        <v>3.8</v>
      </c>
    </row>
    <row r="72" spans="2:40" x14ac:dyDescent="0.3">
      <c r="B72" s="33" t="s">
        <v>134</v>
      </c>
      <c r="C72" s="2">
        <v>0</v>
      </c>
      <c r="D72" s="2">
        <v>0</v>
      </c>
      <c r="E72" s="2">
        <v>0</v>
      </c>
      <c r="F72" s="2">
        <v>0</v>
      </c>
      <c r="G72" s="2">
        <v>0</v>
      </c>
      <c r="H72" s="2">
        <v>0</v>
      </c>
      <c r="I72" s="2">
        <v>0</v>
      </c>
      <c r="J72" s="2">
        <v>0</v>
      </c>
      <c r="K72" s="2">
        <v>0</v>
      </c>
      <c r="L72" s="2">
        <v>-7.4</v>
      </c>
      <c r="M72" s="2">
        <v>1.7</v>
      </c>
      <c r="N72" s="2">
        <v>1.2</v>
      </c>
      <c r="O72" s="2">
        <v>-11</v>
      </c>
      <c r="P72" s="2">
        <v>-6.5</v>
      </c>
      <c r="Q72" s="2">
        <v>0</v>
      </c>
      <c r="R72" s="2">
        <v>0</v>
      </c>
      <c r="S72" s="2">
        <v>0</v>
      </c>
      <c r="T72" s="2">
        <v>0</v>
      </c>
      <c r="U72" s="2">
        <v>0</v>
      </c>
      <c r="V72" s="2">
        <v>0</v>
      </c>
      <c r="W72" s="2">
        <v>0</v>
      </c>
      <c r="X72" s="2">
        <v>-5</v>
      </c>
      <c r="AJ72" s="2">
        <f t="shared" si="231"/>
        <v>0</v>
      </c>
      <c r="AK72" s="2">
        <f t="shared" si="232"/>
        <v>0</v>
      </c>
      <c r="AL72" s="2">
        <f t="shared" si="233"/>
        <v>-4.5</v>
      </c>
      <c r="AM72" s="2">
        <f t="shared" si="234"/>
        <v>-17.5</v>
      </c>
      <c r="AN72" s="2">
        <f t="shared" si="235"/>
        <v>0</v>
      </c>
    </row>
    <row r="73" spans="2:40" x14ac:dyDescent="0.3">
      <c r="B73" s="33" t="s">
        <v>135</v>
      </c>
      <c r="C73" s="2">
        <v>1.2</v>
      </c>
      <c r="D73" s="2">
        <v>1.4</v>
      </c>
      <c r="E73" s="2">
        <v>2</v>
      </c>
      <c r="F73" s="2">
        <v>2</v>
      </c>
      <c r="G73" s="2">
        <v>2.4</v>
      </c>
      <c r="H73" s="2">
        <v>0</v>
      </c>
      <c r="I73" s="2">
        <v>3.2</v>
      </c>
      <c r="J73" s="2">
        <v>3.6</v>
      </c>
      <c r="K73" s="2">
        <v>3.9</v>
      </c>
      <c r="L73" s="2">
        <v>4.2</v>
      </c>
      <c r="M73" s="2">
        <v>4.5999999999999996</v>
      </c>
      <c r="N73" s="2">
        <v>4.8</v>
      </c>
      <c r="O73" s="2">
        <v>5.0999999999999996</v>
      </c>
      <c r="P73" s="2">
        <v>5.7</v>
      </c>
      <c r="Q73" s="2">
        <v>6.7</v>
      </c>
      <c r="R73" s="2">
        <v>6.9</v>
      </c>
      <c r="S73" s="2">
        <v>7.7</v>
      </c>
      <c r="T73" s="2">
        <v>7.7</v>
      </c>
      <c r="U73" s="2">
        <v>8.1999999999999993</v>
      </c>
      <c r="V73" s="2">
        <v>8.6999999999999993</v>
      </c>
      <c r="W73" s="2">
        <v>9</v>
      </c>
      <c r="X73" s="2">
        <v>9.6999999999999993</v>
      </c>
      <c r="AJ73" s="2">
        <f t="shared" si="231"/>
        <v>6.6</v>
      </c>
      <c r="AK73" s="2">
        <f t="shared" si="232"/>
        <v>9.1999999999999993</v>
      </c>
      <c r="AL73" s="2">
        <f t="shared" si="233"/>
        <v>17.5</v>
      </c>
      <c r="AM73" s="2">
        <f t="shared" si="234"/>
        <v>24.4</v>
      </c>
      <c r="AN73" s="2">
        <f t="shared" si="235"/>
        <v>32.299999999999997</v>
      </c>
    </row>
    <row r="74" spans="2:40" x14ac:dyDescent="0.3">
      <c r="B74" s="33" t="s">
        <v>136</v>
      </c>
      <c r="C74" s="2">
        <v>0</v>
      </c>
      <c r="D74" s="2">
        <v>9.4</v>
      </c>
      <c r="E74" s="2">
        <v>0</v>
      </c>
      <c r="F74" s="2">
        <v>0</v>
      </c>
      <c r="G74" s="2">
        <v>0</v>
      </c>
      <c r="H74" s="2">
        <v>0</v>
      </c>
      <c r="I74" s="2">
        <v>0</v>
      </c>
      <c r="J74" s="2">
        <v>0</v>
      </c>
      <c r="K74" s="2">
        <v>0</v>
      </c>
      <c r="L74" s="2">
        <v>0</v>
      </c>
      <c r="M74" s="2">
        <v>0</v>
      </c>
      <c r="N74" s="2">
        <v>0</v>
      </c>
      <c r="O74" s="2">
        <v>0</v>
      </c>
      <c r="P74" s="2">
        <v>0</v>
      </c>
      <c r="Q74" s="2">
        <v>0</v>
      </c>
      <c r="R74" s="2">
        <v>0</v>
      </c>
      <c r="S74" s="2">
        <v>0</v>
      </c>
      <c r="T74" s="2">
        <v>0</v>
      </c>
      <c r="U74" s="2">
        <v>0</v>
      </c>
      <c r="V74" s="2">
        <v>0</v>
      </c>
      <c r="W74" s="2">
        <v>0</v>
      </c>
      <c r="X74" s="2">
        <v>0</v>
      </c>
      <c r="AJ74" s="2">
        <f t="shared" si="231"/>
        <v>9.4</v>
      </c>
      <c r="AK74" s="2">
        <f t="shared" si="232"/>
        <v>0</v>
      </c>
      <c r="AL74" s="2">
        <f t="shared" si="233"/>
        <v>0</v>
      </c>
      <c r="AM74" s="2">
        <f t="shared" si="234"/>
        <v>0</v>
      </c>
      <c r="AN74" s="2">
        <f t="shared" si="235"/>
        <v>0</v>
      </c>
    </row>
    <row r="75" spans="2:40" x14ac:dyDescent="0.3">
      <c r="B75" s="33" t="s">
        <v>132</v>
      </c>
      <c r="C75" s="2">
        <v>0</v>
      </c>
      <c r="D75" s="2">
        <v>0</v>
      </c>
      <c r="E75" s="2">
        <v>0</v>
      </c>
      <c r="F75" s="2">
        <v>0</v>
      </c>
      <c r="G75" s="2">
        <v>0</v>
      </c>
      <c r="H75" s="2">
        <v>0</v>
      </c>
      <c r="I75" s="2">
        <v>0</v>
      </c>
      <c r="J75" s="2">
        <v>0</v>
      </c>
      <c r="K75" s="2">
        <v>0</v>
      </c>
      <c r="L75" s="2">
        <v>0</v>
      </c>
      <c r="M75" s="2">
        <v>0</v>
      </c>
      <c r="N75" s="2">
        <v>0</v>
      </c>
      <c r="O75" s="2">
        <v>0</v>
      </c>
      <c r="P75" s="2">
        <v>0</v>
      </c>
      <c r="Q75" s="2">
        <v>0</v>
      </c>
      <c r="R75" s="2">
        <v>0</v>
      </c>
      <c r="S75" s="2">
        <v>0</v>
      </c>
      <c r="T75" s="2">
        <v>0</v>
      </c>
      <c r="U75" s="2">
        <v>0</v>
      </c>
      <c r="V75" s="2">
        <v>-13.6</v>
      </c>
      <c r="W75" s="2">
        <v>0</v>
      </c>
      <c r="X75" s="2">
        <v>0</v>
      </c>
      <c r="AJ75" s="2">
        <f t="shared" si="231"/>
        <v>0</v>
      </c>
      <c r="AK75" s="2">
        <f t="shared" si="232"/>
        <v>0</v>
      </c>
      <c r="AL75" s="2">
        <f t="shared" si="233"/>
        <v>0</v>
      </c>
      <c r="AM75" s="2">
        <f t="shared" si="234"/>
        <v>0</v>
      </c>
      <c r="AN75" s="2">
        <f t="shared" si="235"/>
        <v>-13.6</v>
      </c>
    </row>
    <row r="76" spans="2:40" x14ac:dyDescent="0.3">
      <c r="B76" s="33" t="s">
        <v>88</v>
      </c>
      <c r="C76" s="2">
        <v>-0.5</v>
      </c>
      <c r="D76" s="2">
        <v>-0.4</v>
      </c>
      <c r="E76" s="2">
        <v>-0.9</v>
      </c>
      <c r="F76" s="2">
        <v>0.1</v>
      </c>
      <c r="G76" s="2">
        <v>-0.6</v>
      </c>
      <c r="H76" s="2">
        <v>-0.5</v>
      </c>
      <c r="I76" s="2">
        <v>0.2</v>
      </c>
      <c r="J76" s="2">
        <v>-1</v>
      </c>
      <c r="K76" s="2">
        <v>-4.4000000000000004</v>
      </c>
      <c r="L76" s="2">
        <v>-3.2</v>
      </c>
      <c r="M76" s="2">
        <v>-0.7</v>
      </c>
      <c r="N76" s="2">
        <v>-3.8</v>
      </c>
      <c r="O76" s="2">
        <v>1.2</v>
      </c>
      <c r="P76" s="2">
        <v>-1.3</v>
      </c>
      <c r="Q76" s="2">
        <v>-0.8</v>
      </c>
      <c r="R76" s="2">
        <v>-1.7</v>
      </c>
      <c r="S76" s="2">
        <v>-0.9</v>
      </c>
      <c r="T76" s="2">
        <v>-5.3</v>
      </c>
      <c r="U76" s="2">
        <v>0.7</v>
      </c>
      <c r="V76" s="2">
        <v>1.1000000000000001</v>
      </c>
      <c r="W76" s="2">
        <v>1.8</v>
      </c>
      <c r="X76" s="2">
        <v>1.5</v>
      </c>
      <c r="AJ76" s="2">
        <f t="shared" si="231"/>
        <v>-1.7</v>
      </c>
      <c r="AK76" s="2">
        <f t="shared" si="232"/>
        <v>-1.9000000000000001</v>
      </c>
      <c r="AL76" s="2">
        <f t="shared" si="233"/>
        <v>-12.100000000000001</v>
      </c>
      <c r="AM76" s="2">
        <f t="shared" si="234"/>
        <v>-2.6</v>
      </c>
      <c r="AN76" s="2">
        <f t="shared" si="235"/>
        <v>-4.4000000000000004</v>
      </c>
    </row>
    <row r="77" spans="2:40" x14ac:dyDescent="0.3">
      <c r="B77" s="33" t="s">
        <v>82</v>
      </c>
      <c r="C77" s="2">
        <v>-0.4</v>
      </c>
      <c r="D77" s="2">
        <v>-8.6999999999999993</v>
      </c>
      <c r="E77" s="2">
        <v>-2.5</v>
      </c>
      <c r="F77" s="2">
        <v>-2.8</v>
      </c>
      <c r="G77" s="2">
        <v>3.6</v>
      </c>
      <c r="H77" s="2">
        <v>-5.5</v>
      </c>
      <c r="I77" s="2">
        <v>2.2999999999999998</v>
      </c>
      <c r="J77" s="2">
        <v>-0.3</v>
      </c>
      <c r="K77" s="2">
        <v>-5.0999999999999996</v>
      </c>
      <c r="L77" s="2">
        <v>-3.4</v>
      </c>
      <c r="M77" s="2">
        <v>-1</v>
      </c>
      <c r="N77" s="2">
        <v>2</v>
      </c>
      <c r="O77" s="2">
        <v>-1.2</v>
      </c>
      <c r="P77" s="2">
        <v>-7.6</v>
      </c>
      <c r="Q77" s="2">
        <v>-4.0999999999999996</v>
      </c>
      <c r="R77" s="2">
        <v>7.4</v>
      </c>
      <c r="S77" s="2">
        <v>-7.1</v>
      </c>
      <c r="T77" s="2">
        <v>-1.5</v>
      </c>
      <c r="U77" s="2">
        <v>11.2</v>
      </c>
      <c r="V77" s="2">
        <v>-8.8000000000000007</v>
      </c>
      <c r="W77" s="2">
        <v>4.8</v>
      </c>
      <c r="X77" s="2">
        <v>-3</v>
      </c>
      <c r="AJ77" s="2">
        <f t="shared" si="231"/>
        <v>-14.399999999999999</v>
      </c>
      <c r="AK77" s="2">
        <f t="shared" si="232"/>
        <v>9.9999999999999922E-2</v>
      </c>
      <c r="AL77" s="2">
        <f t="shared" si="233"/>
        <v>-7.5</v>
      </c>
      <c r="AM77" s="2">
        <f t="shared" si="234"/>
        <v>-5.4999999999999982</v>
      </c>
      <c r="AN77" s="2">
        <f t="shared" si="235"/>
        <v>-6.2000000000000011</v>
      </c>
    </row>
    <row r="78" spans="2:40" x14ac:dyDescent="0.3">
      <c r="B78" s="33" t="s">
        <v>83</v>
      </c>
      <c r="C78" s="2">
        <v>7.1</v>
      </c>
      <c r="D78" s="2">
        <v>-4.7</v>
      </c>
      <c r="E78" s="2">
        <v>-0.9</v>
      </c>
      <c r="F78" s="2">
        <v>-19.7</v>
      </c>
      <c r="G78" s="2">
        <v>-1.5</v>
      </c>
      <c r="H78" s="2">
        <v>-32.4</v>
      </c>
      <c r="I78" s="2">
        <v>-13.4</v>
      </c>
      <c r="J78" s="2">
        <v>-0.6</v>
      </c>
      <c r="K78" s="2">
        <v>-14.2</v>
      </c>
      <c r="L78" s="2">
        <v>-4.3</v>
      </c>
      <c r="M78" s="2">
        <v>-7.6</v>
      </c>
      <c r="N78" s="2">
        <v>7.9</v>
      </c>
      <c r="O78" s="2">
        <v>-14.7</v>
      </c>
      <c r="P78" s="2">
        <v>-7.7</v>
      </c>
      <c r="Q78" s="2">
        <v>-1.6</v>
      </c>
      <c r="R78" s="2">
        <v>-15.4</v>
      </c>
      <c r="S78" s="2">
        <v>-12.3</v>
      </c>
      <c r="T78" s="2">
        <v>-11.5</v>
      </c>
      <c r="U78" s="2">
        <v>-24</v>
      </c>
      <c r="V78" s="2">
        <v>-10.6</v>
      </c>
      <c r="W78" s="2">
        <v>-9.6999999999999993</v>
      </c>
      <c r="X78" s="2">
        <v>-16.5</v>
      </c>
      <c r="AJ78" s="2">
        <f t="shared" si="231"/>
        <v>-18.2</v>
      </c>
      <c r="AK78" s="2">
        <f t="shared" si="232"/>
        <v>-47.9</v>
      </c>
      <c r="AL78" s="2">
        <f t="shared" si="233"/>
        <v>-18.200000000000003</v>
      </c>
      <c r="AM78" s="2">
        <f t="shared" si="234"/>
        <v>-39.4</v>
      </c>
      <c r="AN78" s="2">
        <f t="shared" si="235"/>
        <v>-58.4</v>
      </c>
    </row>
    <row r="79" spans="2:40" x14ac:dyDescent="0.3">
      <c r="B79" s="33" t="s">
        <v>109</v>
      </c>
      <c r="C79" s="2">
        <v>-1.8</v>
      </c>
      <c r="D79" s="2">
        <v>-0.3</v>
      </c>
      <c r="E79" s="2">
        <v>-2.1</v>
      </c>
      <c r="F79" s="2">
        <v>-6.4</v>
      </c>
      <c r="G79" s="2">
        <v>-5.7</v>
      </c>
      <c r="H79" s="2">
        <v>-11.8</v>
      </c>
      <c r="I79" s="2">
        <v>7.1</v>
      </c>
      <c r="J79" s="2">
        <v>-0.8</v>
      </c>
      <c r="K79" s="2">
        <v>11.2</v>
      </c>
      <c r="L79" s="2">
        <v>15</v>
      </c>
      <c r="M79" s="2">
        <v>15.6</v>
      </c>
      <c r="N79" s="2">
        <v>19.399999999999999</v>
      </c>
      <c r="O79" s="2">
        <v>17.7</v>
      </c>
      <c r="P79" s="2">
        <v>15.1</v>
      </c>
      <c r="Q79" s="2">
        <v>22.2</v>
      </c>
      <c r="R79" s="2">
        <v>6.4</v>
      </c>
      <c r="S79" s="2">
        <v>17.899999999999999</v>
      </c>
      <c r="T79" s="2">
        <v>21.2</v>
      </c>
      <c r="U79" s="2">
        <v>26.9</v>
      </c>
      <c r="V79" s="2">
        <v>-15.5</v>
      </c>
      <c r="W79" s="2">
        <v>26.1</v>
      </c>
      <c r="X79" s="2">
        <v>26.1</v>
      </c>
      <c r="AJ79" s="2">
        <f t="shared" si="231"/>
        <v>-10.600000000000001</v>
      </c>
      <c r="AK79" s="2">
        <f t="shared" si="232"/>
        <v>-11.200000000000001</v>
      </c>
      <c r="AL79" s="2">
        <f t="shared" si="233"/>
        <v>61.199999999999996</v>
      </c>
      <c r="AM79" s="2">
        <f t="shared" si="234"/>
        <v>61.4</v>
      </c>
      <c r="AN79" s="2">
        <f t="shared" si="235"/>
        <v>50.5</v>
      </c>
    </row>
    <row r="80" spans="2:40" x14ac:dyDescent="0.3">
      <c r="B80" s="33" t="s">
        <v>90</v>
      </c>
      <c r="C80" s="2">
        <v>0.8</v>
      </c>
      <c r="D80" s="2">
        <v>1.8</v>
      </c>
      <c r="E80" s="2">
        <v>-2.7</v>
      </c>
      <c r="F80" s="2">
        <v>16.3</v>
      </c>
      <c r="G80" s="2">
        <v>-2.8</v>
      </c>
      <c r="H80" s="2">
        <v>-5.7</v>
      </c>
      <c r="I80" s="2">
        <v>4.5999999999999996</v>
      </c>
      <c r="J80" s="2">
        <v>2.2000000000000002</v>
      </c>
      <c r="K80" s="2">
        <v>-5.2</v>
      </c>
      <c r="L80" s="2">
        <v>3.4</v>
      </c>
      <c r="M80" s="2">
        <v>-0.6</v>
      </c>
      <c r="N80" s="2">
        <v>8.8000000000000007</v>
      </c>
      <c r="O80" s="2">
        <v>-7.8</v>
      </c>
      <c r="P80" s="2">
        <v>-5</v>
      </c>
      <c r="Q80" s="2">
        <v>3.9</v>
      </c>
      <c r="R80" s="2">
        <v>-11</v>
      </c>
      <c r="S80" s="2">
        <v>10.1</v>
      </c>
      <c r="T80" s="2">
        <v>2.1</v>
      </c>
      <c r="U80" s="2">
        <v>-7.5</v>
      </c>
      <c r="V80" s="2">
        <v>2.9</v>
      </c>
      <c r="W80" s="2">
        <v>-1</v>
      </c>
      <c r="X80" s="2">
        <v>2.4</v>
      </c>
      <c r="AJ80" s="2">
        <f t="shared" si="231"/>
        <v>16.2</v>
      </c>
      <c r="AK80" s="2">
        <f t="shared" si="232"/>
        <v>-1.7000000000000002</v>
      </c>
      <c r="AL80" s="2">
        <f t="shared" si="233"/>
        <v>6.4</v>
      </c>
      <c r="AM80" s="2">
        <f t="shared" si="234"/>
        <v>-19.899999999999999</v>
      </c>
      <c r="AN80" s="2">
        <f t="shared" si="235"/>
        <v>7.6</v>
      </c>
    </row>
    <row r="81" spans="2:40" x14ac:dyDescent="0.3">
      <c r="B81" s="33" t="s">
        <v>91</v>
      </c>
      <c r="C81" s="2">
        <v>5.7</v>
      </c>
      <c r="D81" s="2">
        <v>6.1</v>
      </c>
      <c r="E81" s="2">
        <v>14.2</v>
      </c>
      <c r="F81" s="2">
        <v>8</v>
      </c>
      <c r="G81" s="2">
        <v>8.8000000000000007</v>
      </c>
      <c r="H81" s="2">
        <v>35.700000000000003</v>
      </c>
      <c r="I81" s="2">
        <v>-3.9</v>
      </c>
      <c r="J81" s="2">
        <v>-0.3</v>
      </c>
      <c r="K81" s="2">
        <v>10</v>
      </c>
      <c r="L81" s="2">
        <v>0.5</v>
      </c>
      <c r="M81" s="2">
        <v>-1</v>
      </c>
      <c r="N81" s="2">
        <v>13.5</v>
      </c>
      <c r="O81" s="2">
        <v>-9.9</v>
      </c>
      <c r="P81" s="2">
        <v>-14.8</v>
      </c>
      <c r="Q81" s="2">
        <v>2</v>
      </c>
      <c r="R81" s="2">
        <v>12.9</v>
      </c>
      <c r="S81" s="2">
        <v>6.3</v>
      </c>
      <c r="T81" s="2">
        <v>-14.6</v>
      </c>
      <c r="U81" s="2">
        <v>11.1</v>
      </c>
      <c r="V81" s="2">
        <v>-37.4</v>
      </c>
      <c r="W81" s="2">
        <v>19.100000000000001</v>
      </c>
      <c r="X81" s="2">
        <v>-3.3</v>
      </c>
      <c r="AJ81" s="2">
        <f t="shared" si="231"/>
        <v>34</v>
      </c>
      <c r="AK81" s="2">
        <f t="shared" si="232"/>
        <v>40.300000000000004</v>
      </c>
      <c r="AL81" s="2">
        <f t="shared" si="233"/>
        <v>23</v>
      </c>
      <c r="AM81" s="2">
        <f t="shared" si="234"/>
        <v>-9.8000000000000025</v>
      </c>
      <c r="AN81" s="2">
        <f t="shared" si="235"/>
        <v>-34.6</v>
      </c>
    </row>
    <row r="82" spans="2:40" x14ac:dyDescent="0.3">
      <c r="B82" s="33" t="s">
        <v>92</v>
      </c>
      <c r="C82" s="2">
        <v>-20.100000000000001</v>
      </c>
      <c r="D82" s="2">
        <v>13.5</v>
      </c>
      <c r="E82" s="2">
        <v>10.8</v>
      </c>
      <c r="F82" s="2">
        <v>10.199999999999999</v>
      </c>
      <c r="G82" s="2">
        <v>-26.2</v>
      </c>
      <c r="H82" s="2">
        <v>15.3</v>
      </c>
      <c r="I82" s="2">
        <v>18.100000000000001</v>
      </c>
      <c r="J82" s="2">
        <v>17.8</v>
      </c>
      <c r="K82" s="2">
        <v>-45.9</v>
      </c>
      <c r="L82" s="2">
        <v>21.1</v>
      </c>
      <c r="M82" s="2">
        <v>21.7</v>
      </c>
      <c r="N82" s="2">
        <v>22.2</v>
      </c>
      <c r="O82" s="2">
        <v>-59.7</v>
      </c>
      <c r="P82" s="2">
        <v>29.4</v>
      </c>
      <c r="Q82" s="2">
        <v>22.2</v>
      </c>
      <c r="R82" s="2">
        <v>19.8</v>
      </c>
      <c r="S82" s="2">
        <v>-70.599999999999994</v>
      </c>
      <c r="T82" s="2">
        <v>33</v>
      </c>
      <c r="U82" s="2">
        <v>30.8</v>
      </c>
      <c r="V82" s="2">
        <v>30.3</v>
      </c>
      <c r="W82" s="2">
        <v>-94.5</v>
      </c>
      <c r="X82" s="2">
        <v>29.3</v>
      </c>
      <c r="AJ82" s="2">
        <f t="shared" si="231"/>
        <v>14.399999999999999</v>
      </c>
      <c r="AK82" s="2">
        <f t="shared" si="232"/>
        <v>25.000000000000004</v>
      </c>
      <c r="AL82" s="2">
        <f t="shared" si="233"/>
        <v>19.100000000000001</v>
      </c>
      <c r="AM82" s="2">
        <f t="shared" si="234"/>
        <v>11.699999999999996</v>
      </c>
      <c r="AN82" s="2">
        <f t="shared" si="235"/>
        <v>23.500000000000007</v>
      </c>
    </row>
    <row r="83" spans="2:40" x14ac:dyDescent="0.3">
      <c r="B83" s="33" t="s">
        <v>96</v>
      </c>
      <c r="C83" s="2">
        <v>18.899999999999999</v>
      </c>
      <c r="D83" s="2">
        <v>13.3</v>
      </c>
      <c r="E83" s="2">
        <v>20.3</v>
      </c>
      <c r="F83" s="2">
        <v>11.8</v>
      </c>
      <c r="G83" s="2">
        <v>26.7</v>
      </c>
      <c r="H83" s="2">
        <v>19.7</v>
      </c>
      <c r="I83" s="2">
        <v>14.4</v>
      </c>
      <c r="J83" s="2">
        <v>5.6</v>
      </c>
      <c r="K83" s="2">
        <v>18.600000000000001</v>
      </c>
      <c r="L83" s="2">
        <v>9.4</v>
      </c>
      <c r="M83" s="2">
        <v>26.7</v>
      </c>
      <c r="N83" s="2">
        <v>14</v>
      </c>
      <c r="O83" s="2">
        <v>22.2</v>
      </c>
      <c r="P83" s="2">
        <v>6.5</v>
      </c>
      <c r="Q83" s="2">
        <v>14.7</v>
      </c>
      <c r="R83" s="2">
        <v>11.7</v>
      </c>
      <c r="S83" s="2">
        <v>28.9</v>
      </c>
      <c r="T83" s="2">
        <v>15.5</v>
      </c>
      <c r="U83" s="2">
        <v>12.2</v>
      </c>
      <c r="V83" s="2">
        <v>3.2</v>
      </c>
      <c r="W83" s="2">
        <v>19.5</v>
      </c>
      <c r="X83" s="2">
        <v>-0.2</v>
      </c>
      <c r="AJ83" s="2">
        <f t="shared" si="231"/>
        <v>64.3</v>
      </c>
      <c r="AK83" s="2">
        <f t="shared" si="232"/>
        <v>66.399999999999991</v>
      </c>
      <c r="AL83" s="2">
        <f t="shared" si="233"/>
        <v>68.7</v>
      </c>
      <c r="AM83" s="2">
        <f t="shared" si="234"/>
        <v>55.099999999999994</v>
      </c>
      <c r="AN83" s="2">
        <f t="shared" si="235"/>
        <v>59.8</v>
      </c>
    </row>
    <row r="84" spans="2:40" x14ac:dyDescent="0.3">
      <c r="B84" s="33" t="s">
        <v>110</v>
      </c>
      <c r="C84" s="2">
        <v>-3</v>
      </c>
      <c r="D84" s="2">
        <v>-3.6</v>
      </c>
      <c r="E84" s="2">
        <v>3.2</v>
      </c>
      <c r="F84" s="2">
        <v>-1</v>
      </c>
      <c r="G84" s="2">
        <v>0.2</v>
      </c>
      <c r="H84" s="2">
        <v>3.2</v>
      </c>
      <c r="I84" s="2">
        <v>0.5</v>
      </c>
      <c r="J84" s="2">
        <v>8.3000000000000007</v>
      </c>
      <c r="K84" s="2">
        <v>-13.2</v>
      </c>
      <c r="L84" s="2">
        <v>-14</v>
      </c>
      <c r="M84" s="2">
        <v>-18.399999999999999</v>
      </c>
      <c r="N84" s="2">
        <v>-16.8</v>
      </c>
      <c r="O84" s="2">
        <v>-16.5</v>
      </c>
      <c r="P84" s="2">
        <v>-9.6999999999999993</v>
      </c>
      <c r="Q84" s="2">
        <v>-16.399999999999999</v>
      </c>
      <c r="R84" s="2">
        <v>-30.3</v>
      </c>
      <c r="S84" s="2">
        <v>-34.1</v>
      </c>
      <c r="T84" s="2">
        <v>-26.4</v>
      </c>
      <c r="U84" s="2">
        <v>-27.6</v>
      </c>
      <c r="V84" s="2">
        <v>-21.1</v>
      </c>
      <c r="W84" s="2">
        <v>-27</v>
      </c>
      <c r="X84" s="2">
        <v>-29.5</v>
      </c>
      <c r="AJ84" s="2">
        <f t="shared" si="231"/>
        <v>-4.3999999999999995</v>
      </c>
      <c r="AK84" s="2">
        <f t="shared" si="232"/>
        <v>12.200000000000001</v>
      </c>
      <c r="AL84" s="2">
        <f t="shared" si="233"/>
        <v>-62.399999999999991</v>
      </c>
      <c r="AM84" s="2">
        <f t="shared" si="234"/>
        <v>-72.899999999999991</v>
      </c>
      <c r="AN84" s="2">
        <f t="shared" si="235"/>
        <v>-109.19999999999999</v>
      </c>
    </row>
    <row r="85" spans="2:40" x14ac:dyDescent="0.3">
      <c r="B85" s="33" t="s">
        <v>111</v>
      </c>
      <c r="C85" s="2">
        <v>0</v>
      </c>
      <c r="D85" s="2">
        <v>0</v>
      </c>
      <c r="E85" s="2">
        <v>0</v>
      </c>
      <c r="F85" s="2">
        <v>0</v>
      </c>
      <c r="G85" s="2">
        <v>0</v>
      </c>
      <c r="H85" s="2">
        <v>0</v>
      </c>
      <c r="I85" s="2">
        <v>0</v>
      </c>
      <c r="J85" s="2">
        <v>0</v>
      </c>
      <c r="K85" s="2">
        <v>13.8</v>
      </c>
      <c r="L85" s="2">
        <v>14.7</v>
      </c>
      <c r="M85" s="2">
        <v>16.899999999999999</v>
      </c>
      <c r="N85" s="2">
        <v>9.9</v>
      </c>
      <c r="O85" s="2">
        <v>9.1999999999999993</v>
      </c>
      <c r="P85" s="2">
        <v>7.4</v>
      </c>
      <c r="Q85" s="2">
        <v>2.7</v>
      </c>
      <c r="R85" s="2">
        <v>3.2</v>
      </c>
      <c r="S85" s="2">
        <v>1.6</v>
      </c>
      <c r="T85" s="2">
        <v>0</v>
      </c>
      <c r="U85" s="2">
        <v>1.2</v>
      </c>
      <c r="V85" s="1">
        <v>2.2999999999999998</v>
      </c>
      <c r="W85" s="2">
        <v>0.9</v>
      </c>
      <c r="X85" s="2">
        <v>2.4</v>
      </c>
      <c r="AJ85" s="2">
        <f t="shared" si="231"/>
        <v>0</v>
      </c>
      <c r="AK85" s="2">
        <f t="shared" si="232"/>
        <v>0</v>
      </c>
      <c r="AL85" s="2">
        <f t="shared" si="233"/>
        <v>55.3</v>
      </c>
      <c r="AM85" s="2">
        <f t="shared" si="234"/>
        <v>22.5</v>
      </c>
      <c r="AN85" s="2">
        <f t="shared" si="235"/>
        <v>5.0999999999999996</v>
      </c>
    </row>
    <row r="86" spans="2:40" x14ac:dyDescent="0.3">
      <c r="B86" s="33" t="s">
        <v>131</v>
      </c>
      <c r="C86" s="2">
        <v>0</v>
      </c>
      <c r="D86" s="2">
        <v>0</v>
      </c>
      <c r="E86" s="2">
        <v>0</v>
      </c>
      <c r="F86" s="2">
        <v>0</v>
      </c>
      <c r="G86" s="2">
        <v>0</v>
      </c>
      <c r="H86" s="2">
        <v>0</v>
      </c>
      <c r="I86" s="2">
        <v>0</v>
      </c>
      <c r="J86" s="2">
        <v>0</v>
      </c>
      <c r="K86" s="2">
        <v>0</v>
      </c>
      <c r="L86" s="2">
        <v>0</v>
      </c>
      <c r="M86" s="2">
        <v>0</v>
      </c>
      <c r="N86" s="2">
        <v>0</v>
      </c>
      <c r="O86" s="2">
        <v>0</v>
      </c>
      <c r="P86" s="2">
        <v>0</v>
      </c>
      <c r="Q86" s="2">
        <v>0</v>
      </c>
      <c r="R86" s="2">
        <v>0</v>
      </c>
      <c r="S86" s="2">
        <v>0</v>
      </c>
      <c r="T86" s="2">
        <v>0</v>
      </c>
      <c r="U86" s="2">
        <v>0</v>
      </c>
      <c r="V86" s="2">
        <v>-32</v>
      </c>
      <c r="W86" s="2">
        <v>0</v>
      </c>
      <c r="X86" s="2">
        <v>0</v>
      </c>
      <c r="AJ86" s="2">
        <f t="shared" si="231"/>
        <v>0</v>
      </c>
      <c r="AK86" s="2">
        <f t="shared" si="232"/>
        <v>0</v>
      </c>
      <c r="AL86" s="2">
        <f t="shared" si="233"/>
        <v>0</v>
      </c>
      <c r="AM86" s="2">
        <f t="shared" si="234"/>
        <v>0</v>
      </c>
      <c r="AN86" s="2">
        <f t="shared" si="235"/>
        <v>-32</v>
      </c>
    </row>
    <row r="87" spans="2:40" s="3" customFormat="1" x14ac:dyDescent="0.3">
      <c r="B87" s="3" t="s">
        <v>112</v>
      </c>
      <c r="C87" s="22">
        <f t="shared" ref="C87:X87" si="236">SUM(C67:C86)</f>
        <v>61.599999999999994</v>
      </c>
      <c r="D87" s="22">
        <f t="shared" si="236"/>
        <v>86.09999999999998</v>
      </c>
      <c r="E87" s="22">
        <f t="shared" si="236"/>
        <v>111.49999999999999</v>
      </c>
      <c r="F87" s="22">
        <f t="shared" si="236"/>
        <v>71.100000000000009</v>
      </c>
      <c r="G87" s="22">
        <f t="shared" si="236"/>
        <v>61.799999999999983</v>
      </c>
      <c r="H87" s="22">
        <f t="shared" si="236"/>
        <v>111.9</v>
      </c>
      <c r="I87" s="22">
        <f t="shared" si="236"/>
        <v>128</v>
      </c>
      <c r="J87" s="22">
        <f t="shared" si="236"/>
        <v>123.7</v>
      </c>
      <c r="K87" s="22">
        <f t="shared" si="236"/>
        <v>63.199999999999989</v>
      </c>
      <c r="L87" s="22">
        <f t="shared" si="236"/>
        <v>128.79999999999998</v>
      </c>
      <c r="M87" s="22">
        <f t="shared" si="236"/>
        <v>149.70000000000002</v>
      </c>
      <c r="N87" s="22">
        <f t="shared" si="236"/>
        <v>186.79999999999998</v>
      </c>
      <c r="O87" s="22">
        <f t="shared" si="236"/>
        <v>53.299999999999983</v>
      </c>
      <c r="P87" s="22">
        <f t="shared" si="236"/>
        <v>145.89999999999998</v>
      </c>
      <c r="Q87" s="22">
        <f t="shared" si="236"/>
        <v>200.89999999999995</v>
      </c>
      <c r="R87" s="22">
        <f t="shared" si="236"/>
        <v>170.7</v>
      </c>
      <c r="S87" s="22">
        <f t="shared" si="236"/>
        <v>115.70000000000002</v>
      </c>
      <c r="T87" s="22">
        <f t="shared" si="236"/>
        <v>219.89999999999995</v>
      </c>
      <c r="U87" s="22">
        <f t="shared" si="236"/>
        <v>231.49999999999997</v>
      </c>
      <c r="V87" s="22">
        <f t="shared" si="236"/>
        <v>162.69999999999999</v>
      </c>
      <c r="W87" s="22">
        <f t="shared" si="236"/>
        <v>141.4</v>
      </c>
      <c r="X87" s="22">
        <f t="shared" si="236"/>
        <v>209.89999999999998</v>
      </c>
      <c r="AJ87" s="22">
        <f t="shared" ref="AJ87:AN87" si="237">SUM(AJ67:AJ86)</f>
        <v>330.3</v>
      </c>
      <c r="AK87" s="22">
        <f t="shared" si="237"/>
        <v>425.40000000000003</v>
      </c>
      <c r="AL87" s="22">
        <f t="shared" si="237"/>
        <v>528.5</v>
      </c>
      <c r="AM87" s="22">
        <f t="shared" si="237"/>
        <v>570.80000000000018</v>
      </c>
      <c r="AN87" s="22">
        <f t="shared" si="237"/>
        <v>729.79999999999984</v>
      </c>
    </row>
    <row r="88" spans="2:40" x14ac:dyDescent="0.3">
      <c r="B88" s="33" t="s">
        <v>114</v>
      </c>
      <c r="C88" s="2">
        <v>-5.0999999999999996</v>
      </c>
      <c r="D88" s="2">
        <v>-3.7</v>
      </c>
      <c r="E88" s="2">
        <v>-3.2</v>
      </c>
      <c r="F88" s="2">
        <v>-13.3</v>
      </c>
      <c r="G88" s="2">
        <v>-9.9</v>
      </c>
      <c r="H88" s="2">
        <v>-9.6999999999999993</v>
      </c>
      <c r="I88" s="2">
        <v>-8</v>
      </c>
      <c r="J88" s="2">
        <v>-35.4</v>
      </c>
      <c r="K88" s="2">
        <v>-29.7</v>
      </c>
      <c r="L88" s="2">
        <v>-33.700000000000003</v>
      </c>
      <c r="M88" s="2">
        <v>-47.2</v>
      </c>
      <c r="N88" s="2">
        <v>-25.5</v>
      </c>
      <c r="O88" s="2">
        <v>-27.8</v>
      </c>
      <c r="P88" s="2">
        <v>-26.1</v>
      </c>
      <c r="Q88" s="2">
        <v>-13.9</v>
      </c>
      <c r="R88" s="2">
        <v>-12.3</v>
      </c>
      <c r="S88" s="2">
        <v>-6.9</v>
      </c>
      <c r="T88" s="2">
        <v>-3.9</v>
      </c>
      <c r="U88" s="2">
        <v>-10</v>
      </c>
      <c r="V88" s="2">
        <v>-1.3</v>
      </c>
      <c r="W88" s="2">
        <v>-10.7</v>
      </c>
      <c r="X88" s="2">
        <v>-4</v>
      </c>
      <c r="AJ88" s="2">
        <f t="shared" ref="AJ88:AJ95" si="238">SUM(C88:F88)</f>
        <v>-25.3</v>
      </c>
      <c r="AK88" s="2">
        <f t="shared" ref="AK88:AK95" si="239">SUM(G88:J88)</f>
        <v>-63</v>
      </c>
      <c r="AL88" s="2">
        <f t="shared" ref="AL88:AL95" si="240">SUM(K88:N88)</f>
        <v>-136.10000000000002</v>
      </c>
      <c r="AM88" s="2">
        <f t="shared" ref="AM88:AM95" si="241">SUM(O88:R88)</f>
        <v>-80.100000000000009</v>
      </c>
      <c r="AN88" s="2">
        <f t="shared" ref="AN88:AN95" si="242">SUM(S88:V88)</f>
        <v>-22.1</v>
      </c>
    </row>
    <row r="89" spans="2:40" x14ac:dyDescent="0.3">
      <c r="B89" s="33" t="s">
        <v>133</v>
      </c>
      <c r="C89" s="2">
        <v>-0.3</v>
      </c>
      <c r="D89" s="2">
        <v>-0.5</v>
      </c>
      <c r="E89" s="2">
        <v>0</v>
      </c>
      <c r="F89" s="2">
        <v>0</v>
      </c>
      <c r="G89" s="2">
        <v>-2.5</v>
      </c>
      <c r="H89" s="2">
        <v>0</v>
      </c>
      <c r="I89" s="2">
        <v>-0.4</v>
      </c>
      <c r="J89" s="2">
        <v>-0.1</v>
      </c>
      <c r="K89" s="2">
        <v>0</v>
      </c>
      <c r="L89" s="2">
        <v>0</v>
      </c>
      <c r="M89" s="2">
        <v>0</v>
      </c>
      <c r="N89" s="2">
        <v>0</v>
      </c>
      <c r="O89" s="2">
        <v>0</v>
      </c>
      <c r="P89" s="2">
        <v>0</v>
      </c>
      <c r="Q89" s="2">
        <v>0</v>
      </c>
      <c r="R89" s="2">
        <v>0</v>
      </c>
      <c r="S89" s="2">
        <v>0</v>
      </c>
      <c r="T89" s="2">
        <v>0</v>
      </c>
      <c r="U89" s="2">
        <v>0</v>
      </c>
      <c r="V89" s="2">
        <v>-1.5</v>
      </c>
      <c r="W89" s="2">
        <v>0</v>
      </c>
      <c r="X89" s="2">
        <v>0</v>
      </c>
      <c r="AJ89" s="2">
        <f t="shared" si="238"/>
        <v>-0.8</v>
      </c>
      <c r="AK89" s="2">
        <f t="shared" si="239"/>
        <v>-3</v>
      </c>
      <c r="AL89" s="2">
        <f t="shared" si="240"/>
        <v>0</v>
      </c>
      <c r="AM89" s="2">
        <f t="shared" si="241"/>
        <v>0</v>
      </c>
      <c r="AN89" s="2">
        <f t="shared" si="242"/>
        <v>-1.5</v>
      </c>
    </row>
    <row r="90" spans="2:40" x14ac:dyDescent="0.3">
      <c r="B90" s="33" t="s">
        <v>115</v>
      </c>
      <c r="C90" s="2">
        <v>0</v>
      </c>
      <c r="D90" s="2">
        <v>0</v>
      </c>
      <c r="E90" s="2">
        <v>0</v>
      </c>
      <c r="F90" s="2">
        <v>0</v>
      </c>
      <c r="G90" s="2">
        <v>0</v>
      </c>
      <c r="H90" s="2">
        <v>0</v>
      </c>
      <c r="I90" s="2">
        <v>0</v>
      </c>
      <c r="J90" s="2">
        <v>0</v>
      </c>
      <c r="K90" s="2">
        <v>-172.1</v>
      </c>
      <c r="L90" s="2">
        <v>0.5</v>
      </c>
      <c r="M90" s="2">
        <v>0</v>
      </c>
      <c r="N90" s="2">
        <v>-2.2999999999999998</v>
      </c>
      <c r="O90" s="2">
        <v>0</v>
      </c>
      <c r="P90" s="2">
        <v>0</v>
      </c>
      <c r="Q90" s="2">
        <v>0</v>
      </c>
      <c r="R90" s="2">
        <v>0</v>
      </c>
      <c r="S90" s="2">
        <v>-125.4</v>
      </c>
      <c r="T90" s="2">
        <v>0</v>
      </c>
      <c r="U90" s="2">
        <v>0.1</v>
      </c>
      <c r="V90" s="2">
        <v>-14.7</v>
      </c>
      <c r="W90" s="2">
        <v>0</v>
      </c>
      <c r="X90" s="2">
        <v>0</v>
      </c>
      <c r="AJ90" s="2">
        <f t="shared" si="238"/>
        <v>0</v>
      </c>
      <c r="AK90" s="2">
        <f t="shared" si="239"/>
        <v>0</v>
      </c>
      <c r="AL90" s="2">
        <f t="shared" si="240"/>
        <v>-173.9</v>
      </c>
      <c r="AM90" s="2">
        <f t="shared" si="241"/>
        <v>0</v>
      </c>
      <c r="AN90" s="2">
        <f t="shared" si="242"/>
        <v>-140</v>
      </c>
    </row>
    <row r="91" spans="2:40" x14ac:dyDescent="0.3">
      <c r="B91" s="33" t="s">
        <v>137</v>
      </c>
      <c r="C91" s="2">
        <v>1.3</v>
      </c>
      <c r="D91" s="2">
        <v>0.6</v>
      </c>
      <c r="E91" s="2">
        <v>0</v>
      </c>
      <c r="F91" s="2">
        <v>0</v>
      </c>
      <c r="G91" s="2">
        <v>0.1</v>
      </c>
      <c r="H91" s="2">
        <v>0.8</v>
      </c>
      <c r="I91" s="2">
        <v>1.4</v>
      </c>
      <c r="J91" s="2">
        <v>0</v>
      </c>
      <c r="K91" s="2">
        <v>0</v>
      </c>
      <c r="L91" s="2">
        <v>0</v>
      </c>
      <c r="M91" s="2">
        <v>0</v>
      </c>
      <c r="N91" s="2">
        <v>0</v>
      </c>
      <c r="O91" s="2">
        <v>0</v>
      </c>
      <c r="P91" s="2">
        <v>0</v>
      </c>
      <c r="Q91" s="2">
        <v>0</v>
      </c>
      <c r="R91" s="2">
        <v>0</v>
      </c>
      <c r="S91" s="2">
        <v>0</v>
      </c>
      <c r="T91" s="2">
        <v>0</v>
      </c>
      <c r="U91" s="2">
        <v>0</v>
      </c>
      <c r="V91" s="2">
        <v>0</v>
      </c>
      <c r="W91" s="2">
        <v>0</v>
      </c>
      <c r="X91" s="2">
        <v>0</v>
      </c>
      <c r="AJ91" s="2">
        <f t="shared" si="238"/>
        <v>1.9</v>
      </c>
      <c r="AK91" s="2">
        <f t="shared" si="239"/>
        <v>2.2999999999999998</v>
      </c>
      <c r="AL91" s="2">
        <f t="shared" si="240"/>
        <v>0</v>
      </c>
      <c r="AM91" s="2">
        <f t="shared" si="241"/>
        <v>0</v>
      </c>
      <c r="AN91" s="2">
        <f t="shared" si="242"/>
        <v>0</v>
      </c>
    </row>
    <row r="92" spans="2:40" x14ac:dyDescent="0.3">
      <c r="B92" s="33" t="s">
        <v>116</v>
      </c>
      <c r="C92" s="2">
        <v>0</v>
      </c>
      <c r="D92" s="2">
        <v>0</v>
      </c>
      <c r="E92" s="2">
        <v>0</v>
      </c>
      <c r="F92" s="2">
        <v>0</v>
      </c>
      <c r="G92" s="2">
        <v>-180.8</v>
      </c>
      <c r="H92" s="2">
        <v>-315.10000000000002</v>
      </c>
      <c r="I92" s="2">
        <v>-168.4</v>
      </c>
      <c r="J92" s="2">
        <v>-186.1</v>
      </c>
      <c r="K92" s="2">
        <v>-153</v>
      </c>
      <c r="L92" s="2">
        <v>-236.7</v>
      </c>
      <c r="M92" s="2">
        <v>-193</v>
      </c>
      <c r="N92" s="2">
        <v>-192.7</v>
      </c>
      <c r="O92" s="2">
        <v>-120.5</v>
      </c>
      <c r="P92" s="2">
        <v>-308.7</v>
      </c>
      <c r="Q92" s="2">
        <v>-111.9</v>
      </c>
      <c r="R92" s="2">
        <v>-215</v>
      </c>
      <c r="S92" s="2">
        <v>-513.9</v>
      </c>
      <c r="T92" s="2">
        <v>-179.8</v>
      </c>
      <c r="U92" s="2">
        <v>-366.9</v>
      </c>
      <c r="V92" s="2">
        <v>-77.8</v>
      </c>
      <c r="W92" s="2">
        <v>-81.599999999999994</v>
      </c>
      <c r="X92" s="2">
        <v>-219.9</v>
      </c>
      <c r="AJ92" s="2">
        <f t="shared" si="238"/>
        <v>0</v>
      </c>
      <c r="AK92" s="2">
        <f t="shared" si="239"/>
        <v>-850.40000000000009</v>
      </c>
      <c r="AL92" s="2">
        <f t="shared" si="240"/>
        <v>-775.40000000000009</v>
      </c>
      <c r="AM92" s="2">
        <f t="shared" si="241"/>
        <v>-756.1</v>
      </c>
      <c r="AN92" s="2">
        <f t="shared" si="242"/>
        <v>-1138.3999999999999</v>
      </c>
    </row>
    <row r="93" spans="2:40" x14ac:dyDescent="0.3">
      <c r="B93" s="33" t="s">
        <v>117</v>
      </c>
      <c r="C93" s="2">
        <v>0</v>
      </c>
      <c r="D93" s="2">
        <v>0</v>
      </c>
      <c r="E93" s="2">
        <v>0</v>
      </c>
      <c r="F93" s="2">
        <v>0</v>
      </c>
      <c r="G93" s="2">
        <v>0</v>
      </c>
      <c r="H93" s="2">
        <v>3.1</v>
      </c>
      <c r="I93" s="2">
        <v>58.5</v>
      </c>
      <c r="J93" s="2">
        <v>9.6</v>
      </c>
      <c r="K93" s="2">
        <v>110.2</v>
      </c>
      <c r="L93" s="2">
        <v>70.8</v>
      </c>
      <c r="M93" s="2">
        <v>160</v>
      </c>
      <c r="N93" s="2">
        <v>115.1</v>
      </c>
      <c r="O93" s="2">
        <v>65.099999999999994</v>
      </c>
      <c r="P93" s="2">
        <v>80.2</v>
      </c>
      <c r="Q93" s="2">
        <v>37.700000000000003</v>
      </c>
      <c r="R93" s="2">
        <v>15.8</v>
      </c>
      <c r="S93" s="2">
        <v>114.2</v>
      </c>
      <c r="T93" s="2">
        <v>57</v>
      </c>
      <c r="U93" s="2">
        <v>99.1</v>
      </c>
      <c r="V93" s="2">
        <v>23.3</v>
      </c>
      <c r="W93" s="2">
        <v>51.8</v>
      </c>
      <c r="X93" s="2">
        <v>64.8</v>
      </c>
      <c r="AJ93" s="2">
        <f t="shared" si="238"/>
        <v>0</v>
      </c>
      <c r="AK93" s="2">
        <f t="shared" si="239"/>
        <v>71.2</v>
      </c>
      <c r="AL93" s="2">
        <f t="shared" si="240"/>
        <v>456.1</v>
      </c>
      <c r="AM93" s="2">
        <f t="shared" si="241"/>
        <v>198.8</v>
      </c>
      <c r="AN93" s="2">
        <f t="shared" si="242"/>
        <v>293.59999999999997</v>
      </c>
    </row>
    <row r="94" spans="2:40" x14ac:dyDescent="0.3">
      <c r="B94" s="33" t="s">
        <v>118</v>
      </c>
      <c r="C94" s="2">
        <v>0</v>
      </c>
      <c r="D94" s="2">
        <v>0</v>
      </c>
      <c r="E94" s="2">
        <v>0</v>
      </c>
      <c r="F94" s="2">
        <v>0</v>
      </c>
      <c r="G94" s="2">
        <v>0</v>
      </c>
      <c r="H94" s="2">
        <v>16.399999999999999</v>
      </c>
      <c r="I94" s="2">
        <v>85.5</v>
      </c>
      <c r="J94" s="2">
        <v>110.5</v>
      </c>
      <c r="K94" s="2">
        <v>66.599999999999994</v>
      </c>
      <c r="L94" s="2">
        <v>95</v>
      </c>
      <c r="M94" s="2">
        <v>75.099999999999994</v>
      </c>
      <c r="N94" s="2">
        <v>58.1</v>
      </c>
      <c r="O94" s="2">
        <v>67.7</v>
      </c>
      <c r="P94" s="2">
        <v>71.2</v>
      </c>
      <c r="Q94" s="2">
        <v>83</v>
      </c>
      <c r="R94" s="2">
        <v>164.8</v>
      </c>
      <c r="S94" s="2">
        <v>129.9</v>
      </c>
      <c r="T94" s="2">
        <v>134.1</v>
      </c>
      <c r="U94" s="2">
        <v>83.9</v>
      </c>
      <c r="V94" s="2">
        <v>100.8</v>
      </c>
      <c r="W94" s="2">
        <v>137.5</v>
      </c>
      <c r="X94" s="2">
        <v>101.7</v>
      </c>
      <c r="AJ94" s="2">
        <f t="shared" si="238"/>
        <v>0</v>
      </c>
      <c r="AK94" s="2">
        <f t="shared" si="239"/>
        <v>212.4</v>
      </c>
      <c r="AL94" s="2">
        <f t="shared" si="240"/>
        <v>294.8</v>
      </c>
      <c r="AM94" s="2">
        <f t="shared" si="241"/>
        <v>386.70000000000005</v>
      </c>
      <c r="AN94" s="2">
        <f t="shared" si="242"/>
        <v>448.7</v>
      </c>
    </row>
    <row r="95" spans="2:40" x14ac:dyDescent="0.3">
      <c r="B95" s="33" t="s">
        <v>88</v>
      </c>
      <c r="C95" s="2">
        <v>0</v>
      </c>
      <c r="D95" s="2">
        <v>0</v>
      </c>
      <c r="E95" s="2">
        <v>0</v>
      </c>
      <c r="F95" s="2">
        <v>0.3</v>
      </c>
      <c r="G95" s="2">
        <v>0</v>
      </c>
      <c r="H95" s="2">
        <v>0</v>
      </c>
      <c r="I95" s="2">
        <v>0</v>
      </c>
      <c r="J95" s="2">
        <v>-3.3</v>
      </c>
      <c r="K95" s="2">
        <v>4.7</v>
      </c>
      <c r="L95" s="2">
        <v>6.9</v>
      </c>
      <c r="M95" s="2">
        <v>-3.2</v>
      </c>
      <c r="N95" s="2">
        <v>6.1</v>
      </c>
      <c r="O95" s="2">
        <v>3.8</v>
      </c>
      <c r="P95" s="2">
        <v>5.5</v>
      </c>
      <c r="Q95" s="2">
        <v>3.1</v>
      </c>
      <c r="R95" s="2">
        <v>4.7</v>
      </c>
      <c r="S95" s="2">
        <v>3.3</v>
      </c>
      <c r="T95" s="2">
        <v>14.2</v>
      </c>
      <c r="U95" s="2">
        <v>10.9</v>
      </c>
      <c r="V95" s="2">
        <v>6.5</v>
      </c>
      <c r="W95" s="2">
        <v>4</v>
      </c>
      <c r="X95" s="2">
        <v>5.5</v>
      </c>
      <c r="AJ95" s="2">
        <f t="shared" si="238"/>
        <v>0.3</v>
      </c>
      <c r="AK95" s="2">
        <f t="shared" si="239"/>
        <v>-3.3</v>
      </c>
      <c r="AL95" s="2">
        <f t="shared" si="240"/>
        <v>14.500000000000002</v>
      </c>
      <c r="AM95" s="2">
        <f t="shared" si="241"/>
        <v>17.100000000000001</v>
      </c>
      <c r="AN95" s="2">
        <f t="shared" si="242"/>
        <v>34.9</v>
      </c>
    </row>
    <row r="96" spans="2:40" s="3" customFormat="1" x14ac:dyDescent="0.3">
      <c r="B96" s="3" t="s">
        <v>113</v>
      </c>
      <c r="C96" s="22">
        <f t="shared" ref="C96:W96" si="243">SUM(C88:C95)</f>
        <v>-4.0999999999999996</v>
      </c>
      <c r="D96" s="22">
        <f t="shared" si="243"/>
        <v>-3.6</v>
      </c>
      <c r="E96" s="22">
        <f t="shared" si="243"/>
        <v>-3.2</v>
      </c>
      <c r="F96" s="22">
        <f t="shared" si="243"/>
        <v>-13</v>
      </c>
      <c r="G96" s="22">
        <f t="shared" si="243"/>
        <v>-193.10000000000002</v>
      </c>
      <c r="H96" s="22">
        <f t="shared" si="243"/>
        <v>-304.5</v>
      </c>
      <c r="I96" s="22">
        <f t="shared" si="243"/>
        <v>-31.400000000000006</v>
      </c>
      <c r="J96" s="22">
        <f t="shared" si="243"/>
        <v>-104.8</v>
      </c>
      <c r="K96" s="22">
        <f t="shared" si="243"/>
        <v>-173.29999999999998</v>
      </c>
      <c r="L96" s="22">
        <f t="shared" si="243"/>
        <v>-97.19999999999996</v>
      </c>
      <c r="M96" s="22">
        <f t="shared" si="243"/>
        <v>-8.2999999999999936</v>
      </c>
      <c r="N96" s="22">
        <f t="shared" si="243"/>
        <v>-41.2</v>
      </c>
      <c r="O96" s="22">
        <f t="shared" si="243"/>
        <v>-11.700000000000014</v>
      </c>
      <c r="P96" s="22">
        <f t="shared" si="243"/>
        <v>-177.90000000000003</v>
      </c>
      <c r="Q96" s="22">
        <f t="shared" si="243"/>
        <v>-2.0000000000000084</v>
      </c>
      <c r="R96" s="22">
        <f t="shared" si="243"/>
        <v>-41.999999999999986</v>
      </c>
      <c r="S96" s="22">
        <f t="shared" si="243"/>
        <v>-398.8</v>
      </c>
      <c r="T96" s="22">
        <f t="shared" si="243"/>
        <v>21.599999999999977</v>
      </c>
      <c r="U96" s="22">
        <f t="shared" si="243"/>
        <v>-182.89999999999992</v>
      </c>
      <c r="V96" s="22">
        <f t="shared" si="243"/>
        <v>35.299999999999997</v>
      </c>
      <c r="W96" s="22">
        <f t="shared" si="243"/>
        <v>101</v>
      </c>
      <c r="X96" s="22">
        <f>SUM(X88:X95)</f>
        <v>-51.90000000000002</v>
      </c>
      <c r="AJ96" s="22">
        <f t="shared" ref="AJ96:AN96" si="244">SUM(AJ88:AJ95)</f>
        <v>-23.900000000000002</v>
      </c>
      <c r="AK96" s="22">
        <f t="shared" si="244"/>
        <v>-633.80000000000007</v>
      </c>
      <c r="AL96" s="22">
        <f t="shared" si="244"/>
        <v>-320.00000000000006</v>
      </c>
      <c r="AM96" s="22">
        <f t="shared" si="244"/>
        <v>-233.60000000000005</v>
      </c>
      <c r="AN96" s="22">
        <f t="shared" si="244"/>
        <v>-524.79999999999984</v>
      </c>
    </row>
    <row r="97" spans="1:202" s="33" customFormat="1" x14ac:dyDescent="0.3">
      <c r="B97" s="33" t="s">
        <v>138</v>
      </c>
      <c r="C97" s="36">
        <v>0</v>
      </c>
      <c r="D97" s="36">
        <v>0</v>
      </c>
      <c r="E97" s="36">
        <v>0</v>
      </c>
      <c r="F97" s="36">
        <v>0</v>
      </c>
      <c r="G97" s="36">
        <v>638.20000000000005</v>
      </c>
      <c r="H97" s="36">
        <v>108.4</v>
      </c>
      <c r="I97" s="36">
        <v>0</v>
      </c>
      <c r="J97" s="36">
        <v>0</v>
      </c>
      <c r="K97" s="36">
        <v>0</v>
      </c>
      <c r="L97" s="36">
        <v>0</v>
      </c>
      <c r="M97" s="36">
        <v>0</v>
      </c>
      <c r="N97" s="36">
        <v>0</v>
      </c>
      <c r="O97" s="36">
        <v>0</v>
      </c>
      <c r="P97" s="36">
        <v>0</v>
      </c>
      <c r="Q97" s="36">
        <v>0</v>
      </c>
      <c r="R97" s="36">
        <v>0</v>
      </c>
      <c r="S97" s="36">
        <v>0</v>
      </c>
      <c r="T97" s="36">
        <v>0</v>
      </c>
      <c r="U97" s="36">
        <v>0</v>
      </c>
      <c r="V97" s="36">
        <v>0</v>
      </c>
      <c r="W97" s="36">
        <v>0</v>
      </c>
      <c r="X97" s="36">
        <v>0</v>
      </c>
      <c r="AJ97" s="2">
        <f t="shared" ref="AJ97:AJ106" si="245">SUM(C97:F97)</f>
        <v>0</v>
      </c>
      <c r="AK97" s="2">
        <f t="shared" ref="AK97:AK106" si="246">SUM(G97:J97)</f>
        <v>746.6</v>
      </c>
      <c r="AL97" s="2">
        <f t="shared" ref="AL97:AL106" si="247">SUM(K97:N97)</f>
        <v>0</v>
      </c>
      <c r="AM97" s="2">
        <f t="shared" ref="AM97:AM106" si="248">SUM(O97:R97)</f>
        <v>0</v>
      </c>
      <c r="AN97" s="2">
        <f t="shared" ref="AN97:AN106" si="249">SUM(S97:V97)</f>
        <v>0</v>
      </c>
    </row>
    <row r="98" spans="1:202" x14ac:dyDescent="0.3">
      <c r="B98" s="33" t="s">
        <v>119</v>
      </c>
      <c r="C98" s="2">
        <v>0</v>
      </c>
      <c r="D98" s="2">
        <v>0</v>
      </c>
      <c r="E98" s="2">
        <v>0</v>
      </c>
      <c r="F98" s="2">
        <v>0</v>
      </c>
      <c r="G98" s="2">
        <v>0</v>
      </c>
      <c r="H98" s="2">
        <v>0</v>
      </c>
      <c r="I98" s="2">
        <v>0</v>
      </c>
      <c r="J98" s="2">
        <v>0</v>
      </c>
      <c r="K98" s="2">
        <v>0</v>
      </c>
      <c r="L98" s="2">
        <v>0</v>
      </c>
      <c r="M98" s="2">
        <v>0</v>
      </c>
      <c r="N98" s="2">
        <v>0</v>
      </c>
      <c r="O98" s="2">
        <v>0</v>
      </c>
      <c r="P98" s="2">
        <v>0</v>
      </c>
      <c r="Q98" s="2">
        <v>0</v>
      </c>
      <c r="R98" s="2">
        <v>0</v>
      </c>
      <c r="S98" s="2">
        <v>1389.1</v>
      </c>
      <c r="T98" s="2">
        <v>0</v>
      </c>
      <c r="U98" s="2">
        <v>0</v>
      </c>
      <c r="V98" s="2">
        <v>0</v>
      </c>
      <c r="W98" s="2">
        <v>0</v>
      </c>
      <c r="X98" s="2">
        <v>0</v>
      </c>
      <c r="AJ98" s="2">
        <f t="shared" si="245"/>
        <v>0</v>
      </c>
      <c r="AK98" s="2">
        <f t="shared" si="246"/>
        <v>0</v>
      </c>
      <c r="AL98" s="2">
        <f t="shared" si="247"/>
        <v>0</v>
      </c>
      <c r="AM98" s="2">
        <f t="shared" si="248"/>
        <v>0</v>
      </c>
      <c r="AN98" s="2">
        <f t="shared" si="249"/>
        <v>1389.1</v>
      </c>
    </row>
    <row r="99" spans="1:202" x14ac:dyDescent="0.3">
      <c r="B99" s="33" t="s">
        <v>120</v>
      </c>
      <c r="C99" s="2">
        <v>0</v>
      </c>
      <c r="D99" s="2">
        <v>0</v>
      </c>
      <c r="E99" s="2">
        <v>0</v>
      </c>
      <c r="F99" s="2">
        <v>0</v>
      </c>
      <c r="G99" s="2">
        <v>0</v>
      </c>
      <c r="H99" s="2">
        <v>0</v>
      </c>
      <c r="I99" s="2">
        <v>0</v>
      </c>
      <c r="J99" s="2">
        <v>0</v>
      </c>
      <c r="K99" s="2">
        <v>0</v>
      </c>
      <c r="L99" s="2">
        <v>0</v>
      </c>
      <c r="M99" s="2">
        <v>0</v>
      </c>
      <c r="N99" s="2">
        <v>0</v>
      </c>
      <c r="O99" s="2">
        <v>0</v>
      </c>
      <c r="P99" s="2">
        <v>0</v>
      </c>
      <c r="Q99" s="2">
        <v>0</v>
      </c>
      <c r="R99" s="2">
        <v>0</v>
      </c>
      <c r="S99" s="2">
        <v>-265.3</v>
      </c>
      <c r="T99" s="2">
        <v>0</v>
      </c>
      <c r="U99" s="2">
        <v>0</v>
      </c>
      <c r="V99" s="2">
        <v>0</v>
      </c>
      <c r="W99" s="2">
        <v>0</v>
      </c>
      <c r="X99" s="2">
        <v>0</v>
      </c>
      <c r="AJ99" s="2">
        <f t="shared" si="245"/>
        <v>0</v>
      </c>
      <c r="AK99" s="2">
        <f t="shared" si="246"/>
        <v>0</v>
      </c>
      <c r="AL99" s="2">
        <f t="shared" si="247"/>
        <v>0</v>
      </c>
      <c r="AM99" s="2">
        <f t="shared" si="248"/>
        <v>0</v>
      </c>
      <c r="AN99" s="2">
        <f t="shared" si="249"/>
        <v>-265.3</v>
      </c>
    </row>
    <row r="100" spans="1:202" x14ac:dyDescent="0.3">
      <c r="B100" s="33" t="s">
        <v>121</v>
      </c>
      <c r="C100" s="2">
        <v>0</v>
      </c>
      <c r="D100" s="2">
        <v>0</v>
      </c>
      <c r="E100" s="2">
        <v>0</v>
      </c>
      <c r="F100" s="2">
        <v>0</v>
      </c>
      <c r="G100" s="2">
        <v>0</v>
      </c>
      <c r="H100" s="2">
        <v>0</v>
      </c>
      <c r="I100" s="2">
        <v>0</v>
      </c>
      <c r="J100" s="2">
        <v>0</v>
      </c>
      <c r="K100" s="2">
        <v>0</v>
      </c>
      <c r="L100" s="2">
        <v>0</v>
      </c>
      <c r="M100" s="2">
        <v>0</v>
      </c>
      <c r="N100" s="2">
        <v>0</v>
      </c>
      <c r="O100" s="2">
        <v>0</v>
      </c>
      <c r="P100" s="2">
        <v>0</v>
      </c>
      <c r="Q100" s="2">
        <v>0</v>
      </c>
      <c r="R100" s="2">
        <v>0</v>
      </c>
      <c r="S100" s="2">
        <v>202.9</v>
      </c>
      <c r="T100" s="2">
        <v>0</v>
      </c>
      <c r="U100" s="2">
        <v>0</v>
      </c>
      <c r="V100" s="2">
        <v>0</v>
      </c>
      <c r="W100" s="2">
        <v>0</v>
      </c>
      <c r="X100" s="2">
        <v>0</v>
      </c>
      <c r="AJ100" s="2">
        <f t="shared" si="245"/>
        <v>0</v>
      </c>
      <c r="AK100" s="2">
        <f t="shared" si="246"/>
        <v>0</v>
      </c>
      <c r="AL100" s="2">
        <f t="shared" si="247"/>
        <v>0</v>
      </c>
      <c r="AM100" s="2">
        <f t="shared" si="248"/>
        <v>0</v>
      </c>
      <c r="AN100" s="2">
        <f t="shared" si="249"/>
        <v>202.9</v>
      </c>
    </row>
    <row r="101" spans="1:202" x14ac:dyDescent="0.3">
      <c r="B101" s="33" t="s">
        <v>122</v>
      </c>
      <c r="C101" s="2">
        <v>0</v>
      </c>
      <c r="D101" s="2">
        <v>0</v>
      </c>
      <c r="E101" s="2">
        <v>0</v>
      </c>
      <c r="F101" s="2">
        <f>-2.5-1</f>
        <v>-3.5</v>
      </c>
      <c r="G101" s="2">
        <v>-0.9</v>
      </c>
      <c r="H101" s="2">
        <v>-2.5</v>
      </c>
      <c r="I101" s="2">
        <v>-1.1000000000000001</v>
      </c>
      <c r="J101" s="2">
        <v>-0.3</v>
      </c>
      <c r="K101" s="2">
        <v>0</v>
      </c>
      <c r="L101" s="2">
        <v>0</v>
      </c>
      <c r="M101" s="2">
        <v>0</v>
      </c>
      <c r="N101" s="2">
        <v>0</v>
      </c>
      <c r="O101" s="2">
        <v>0</v>
      </c>
      <c r="P101" s="2">
        <v>0</v>
      </c>
      <c r="Q101" s="2">
        <v>0</v>
      </c>
      <c r="R101" s="2">
        <v>0</v>
      </c>
      <c r="S101" s="2">
        <v>-22.7</v>
      </c>
      <c r="T101" s="2">
        <v>-1</v>
      </c>
      <c r="U101" s="2">
        <v>0</v>
      </c>
      <c r="V101" s="2">
        <v>0</v>
      </c>
      <c r="W101" s="2">
        <v>0</v>
      </c>
      <c r="X101" s="2">
        <v>0</v>
      </c>
      <c r="AJ101" s="2">
        <f t="shared" si="245"/>
        <v>-3.5</v>
      </c>
      <c r="AK101" s="2">
        <f t="shared" si="246"/>
        <v>-4.8</v>
      </c>
      <c r="AL101" s="2">
        <f t="shared" si="247"/>
        <v>0</v>
      </c>
      <c r="AM101" s="2">
        <f t="shared" si="248"/>
        <v>0</v>
      </c>
      <c r="AN101" s="2">
        <f t="shared" si="249"/>
        <v>-23.7</v>
      </c>
    </row>
    <row r="102" spans="1:202" x14ac:dyDescent="0.3">
      <c r="B102" s="33" t="s">
        <v>123</v>
      </c>
      <c r="C102" s="2">
        <v>-24</v>
      </c>
      <c r="D102" s="2">
        <v>0</v>
      </c>
      <c r="E102" s="2">
        <v>-48.2</v>
      </c>
      <c r="F102" s="2">
        <v>-15.7</v>
      </c>
      <c r="G102" s="2">
        <v>-241.2</v>
      </c>
      <c r="H102" s="2">
        <v>-41.2</v>
      </c>
      <c r="I102" s="2">
        <v>-44.3</v>
      </c>
      <c r="J102" s="2">
        <v>-25.2</v>
      </c>
      <c r="K102" s="2">
        <v>-25.5</v>
      </c>
      <c r="L102" s="2">
        <v>-22.6</v>
      </c>
      <c r="M102" s="2">
        <v>-19</v>
      </c>
      <c r="N102" s="2">
        <v>-18.3</v>
      </c>
      <c r="O102" s="2">
        <v>-18.899999999999999</v>
      </c>
      <c r="P102" s="2">
        <v>-25.1</v>
      </c>
      <c r="Q102" s="2">
        <v>-22.5</v>
      </c>
      <c r="R102" s="2">
        <v>-25.7</v>
      </c>
      <c r="S102" s="2">
        <v>-35.799999999999997</v>
      </c>
      <c r="T102" s="2">
        <v>-26.9</v>
      </c>
      <c r="U102" s="2">
        <v>-35.5</v>
      </c>
      <c r="V102" s="2">
        <v>-26.6</v>
      </c>
      <c r="W102" s="2">
        <v>-36.700000000000003</v>
      </c>
      <c r="X102" s="2">
        <v>-24.7</v>
      </c>
      <c r="AJ102" s="2">
        <f t="shared" si="245"/>
        <v>-87.9</v>
      </c>
      <c r="AK102" s="2">
        <f t="shared" si="246"/>
        <v>-351.9</v>
      </c>
      <c r="AL102" s="2">
        <f t="shared" si="247"/>
        <v>-85.399999999999991</v>
      </c>
      <c r="AM102" s="2">
        <f t="shared" si="248"/>
        <v>-92.2</v>
      </c>
      <c r="AN102" s="2">
        <f t="shared" si="249"/>
        <v>-124.79999999999998</v>
      </c>
    </row>
    <row r="103" spans="1:202" x14ac:dyDescent="0.3">
      <c r="B103" s="33" t="s">
        <v>124</v>
      </c>
      <c r="C103" s="2">
        <v>0</v>
      </c>
      <c r="D103" s="2">
        <v>0</v>
      </c>
      <c r="E103" s="2">
        <v>0</v>
      </c>
      <c r="F103" s="2">
        <v>0</v>
      </c>
      <c r="G103" s="2">
        <v>0</v>
      </c>
      <c r="H103" s="2">
        <v>0</v>
      </c>
      <c r="I103" s="2">
        <v>8.8000000000000007</v>
      </c>
      <c r="J103" s="2">
        <v>16.399999999999999</v>
      </c>
      <c r="K103" s="2">
        <v>0.9</v>
      </c>
      <c r="L103" s="2">
        <v>1.1000000000000001</v>
      </c>
      <c r="M103" s="2">
        <v>0</v>
      </c>
      <c r="N103" s="2">
        <v>0.2</v>
      </c>
      <c r="O103" s="2">
        <v>0.7</v>
      </c>
      <c r="P103" s="2">
        <v>0.8</v>
      </c>
      <c r="Q103" s="2">
        <v>0.1</v>
      </c>
      <c r="R103" s="2">
        <v>0.7</v>
      </c>
      <c r="S103" s="2">
        <v>2.9</v>
      </c>
      <c r="T103" s="2">
        <v>2.6</v>
      </c>
      <c r="U103" s="2">
        <v>1.1000000000000001</v>
      </c>
      <c r="V103" s="2">
        <v>0.3</v>
      </c>
      <c r="W103" s="2">
        <v>0.2</v>
      </c>
      <c r="X103" s="2">
        <v>0.1</v>
      </c>
      <c r="AJ103" s="2">
        <f t="shared" si="245"/>
        <v>0</v>
      </c>
      <c r="AK103" s="2">
        <f t="shared" si="246"/>
        <v>25.2</v>
      </c>
      <c r="AL103" s="2">
        <f t="shared" si="247"/>
        <v>2.2000000000000002</v>
      </c>
      <c r="AM103" s="2">
        <f t="shared" si="248"/>
        <v>2.2999999999999998</v>
      </c>
      <c r="AN103" s="2">
        <f t="shared" si="249"/>
        <v>6.8999999999999995</v>
      </c>
    </row>
    <row r="104" spans="1:202" x14ac:dyDescent="0.3">
      <c r="B104" s="33" t="s">
        <v>125</v>
      </c>
      <c r="C104" s="2">
        <v>-34.6</v>
      </c>
      <c r="D104" s="2">
        <v>-34.700000000000003</v>
      </c>
      <c r="E104" s="2">
        <v>-33</v>
      </c>
      <c r="F104" s="2">
        <v>-30.7</v>
      </c>
      <c r="G104" s="2">
        <v>-29.8</v>
      </c>
      <c r="H104" s="2">
        <v>-28.5</v>
      </c>
      <c r="I104" s="2">
        <v>-25.8</v>
      </c>
      <c r="J104" s="2">
        <v>-25</v>
      </c>
      <c r="K104" s="2">
        <v>-26.2</v>
      </c>
      <c r="L104" s="2">
        <v>-24.4</v>
      </c>
      <c r="M104" s="2">
        <v>-21.2</v>
      </c>
      <c r="N104" s="2">
        <v>-21.1</v>
      </c>
      <c r="O104" s="2">
        <v>-21.7</v>
      </c>
      <c r="P104" s="2">
        <v>-21.7</v>
      </c>
      <c r="Q104" s="2">
        <v>-21.5</v>
      </c>
      <c r="R104" s="2">
        <v>-24.6</v>
      </c>
      <c r="S104" s="2">
        <v>-24.6</v>
      </c>
      <c r="T104" s="2">
        <v>-26.1</v>
      </c>
      <c r="U104" s="2">
        <v>-28.5</v>
      </c>
      <c r="V104" s="2">
        <v>-31.2</v>
      </c>
      <c r="W104" s="2">
        <v>-32.4</v>
      </c>
      <c r="X104" s="2">
        <v>-32</v>
      </c>
      <c r="AJ104" s="2">
        <f t="shared" si="245"/>
        <v>-133</v>
      </c>
      <c r="AK104" s="2">
        <f t="shared" si="246"/>
        <v>-109.1</v>
      </c>
      <c r="AL104" s="2">
        <f t="shared" si="247"/>
        <v>-92.9</v>
      </c>
      <c r="AM104" s="2">
        <f t="shared" si="248"/>
        <v>-89.5</v>
      </c>
      <c r="AN104" s="2">
        <f t="shared" si="249"/>
        <v>-110.4</v>
      </c>
    </row>
    <row r="105" spans="1:202" x14ac:dyDescent="0.3">
      <c r="B105" s="33" t="s">
        <v>126</v>
      </c>
      <c r="C105" s="2">
        <v>0</v>
      </c>
      <c r="D105" s="2">
        <v>0</v>
      </c>
      <c r="E105" s="2">
        <v>0</v>
      </c>
      <c r="F105" s="2">
        <v>0</v>
      </c>
      <c r="G105" s="2">
        <v>0</v>
      </c>
      <c r="H105" s="2">
        <v>0</v>
      </c>
      <c r="I105" s="2">
        <v>0</v>
      </c>
      <c r="J105" s="2">
        <v>0</v>
      </c>
      <c r="K105" s="2">
        <v>0</v>
      </c>
      <c r="L105" s="2">
        <v>0</v>
      </c>
      <c r="M105" s="2">
        <v>0</v>
      </c>
      <c r="N105" s="2">
        <v>0</v>
      </c>
      <c r="O105" s="2">
        <v>-64</v>
      </c>
      <c r="P105" s="2">
        <v>-75.8</v>
      </c>
      <c r="Q105" s="2">
        <v>-37.5</v>
      </c>
      <c r="R105" s="2">
        <v>-220.2</v>
      </c>
      <c r="S105" s="2">
        <v>-431.9</v>
      </c>
      <c r="T105" s="2">
        <v>-150.80000000000001</v>
      </c>
      <c r="U105" s="2">
        <v>-181</v>
      </c>
      <c r="V105" s="2">
        <v>-294.8</v>
      </c>
      <c r="W105" s="2">
        <v>-259.89999999999998</v>
      </c>
      <c r="X105" s="2">
        <v>-189.8</v>
      </c>
      <c r="AJ105" s="2">
        <f t="shared" si="245"/>
        <v>0</v>
      </c>
      <c r="AK105" s="2">
        <f t="shared" si="246"/>
        <v>0</v>
      </c>
      <c r="AL105" s="2">
        <f t="shared" si="247"/>
        <v>0</v>
      </c>
      <c r="AM105" s="2">
        <f t="shared" si="248"/>
        <v>-397.5</v>
      </c>
      <c r="AN105" s="2">
        <f t="shared" si="249"/>
        <v>-1058.5</v>
      </c>
    </row>
    <row r="106" spans="1:202" x14ac:dyDescent="0.3">
      <c r="B106" s="33" t="s">
        <v>88</v>
      </c>
      <c r="C106" s="2">
        <v>-1.2</v>
      </c>
      <c r="D106" s="2">
        <v>-3.9</v>
      </c>
      <c r="E106" s="2">
        <v>-1.5</v>
      </c>
      <c r="F106" s="2">
        <v>-0.7</v>
      </c>
      <c r="G106" s="2">
        <v>-1.3</v>
      </c>
      <c r="H106" s="2">
        <v>-1.8</v>
      </c>
      <c r="I106" s="2">
        <v>-2</v>
      </c>
      <c r="J106" s="2">
        <v>-0.1</v>
      </c>
      <c r="K106" s="2">
        <v>-0.2</v>
      </c>
      <c r="L106" s="2">
        <v>-0.5</v>
      </c>
      <c r="M106" s="2">
        <v>0.3</v>
      </c>
      <c r="N106" s="2">
        <v>-0.2</v>
      </c>
      <c r="O106" s="2">
        <v>-0.4</v>
      </c>
      <c r="P106" s="2">
        <v>-0.1</v>
      </c>
      <c r="Q106" s="2">
        <v>-0.3</v>
      </c>
      <c r="R106" s="2">
        <v>0</v>
      </c>
      <c r="S106" s="2">
        <v>0</v>
      </c>
      <c r="T106" s="2">
        <v>0</v>
      </c>
      <c r="U106" s="2">
        <v>0</v>
      </c>
      <c r="V106" s="2">
        <v>0</v>
      </c>
      <c r="W106" s="2">
        <v>0</v>
      </c>
      <c r="X106" s="2">
        <v>0</v>
      </c>
      <c r="AJ106" s="2">
        <f t="shared" si="245"/>
        <v>-7.3</v>
      </c>
      <c r="AK106" s="2">
        <f t="shared" si="246"/>
        <v>-5.1999999999999993</v>
      </c>
      <c r="AL106" s="2">
        <f t="shared" si="247"/>
        <v>-0.6</v>
      </c>
      <c r="AM106" s="2">
        <f t="shared" si="248"/>
        <v>-0.8</v>
      </c>
      <c r="AN106" s="2">
        <f t="shared" si="249"/>
        <v>0</v>
      </c>
    </row>
    <row r="107" spans="1:202" s="3" customFormat="1" x14ac:dyDescent="0.3">
      <c r="B107" s="3" t="s">
        <v>127</v>
      </c>
      <c r="C107" s="22">
        <f t="shared" ref="C107:I107" si="250">SUM(C97:C106)</f>
        <v>-59.800000000000004</v>
      </c>
      <c r="D107" s="22">
        <f t="shared" si="250"/>
        <v>-38.6</v>
      </c>
      <c r="E107" s="22">
        <f t="shared" si="250"/>
        <v>-82.7</v>
      </c>
      <c r="F107" s="22">
        <f t="shared" si="250"/>
        <v>-50.6</v>
      </c>
      <c r="G107" s="22">
        <f t="shared" si="250"/>
        <v>365.00000000000006</v>
      </c>
      <c r="H107" s="22">
        <f t="shared" si="250"/>
        <v>34.400000000000006</v>
      </c>
      <c r="I107" s="22">
        <f t="shared" si="250"/>
        <v>-64.399999999999991</v>
      </c>
      <c r="J107" s="22">
        <f>SUM(J97:J106)</f>
        <v>-34.200000000000003</v>
      </c>
      <c r="K107" s="22">
        <f t="shared" ref="K107:X107" si="251">SUM(K97:K106)</f>
        <v>-51</v>
      </c>
      <c r="L107" s="22">
        <f t="shared" si="251"/>
        <v>-46.4</v>
      </c>
      <c r="M107" s="22">
        <f t="shared" si="251"/>
        <v>-39.900000000000006</v>
      </c>
      <c r="N107" s="22">
        <f t="shared" si="251"/>
        <v>-39.400000000000006</v>
      </c>
      <c r="O107" s="22">
        <f t="shared" si="251"/>
        <v>-104.30000000000001</v>
      </c>
      <c r="P107" s="22">
        <f t="shared" si="251"/>
        <v>-121.89999999999999</v>
      </c>
      <c r="Q107" s="22">
        <f t="shared" si="251"/>
        <v>-81.7</v>
      </c>
      <c r="R107" s="22">
        <f t="shared" si="251"/>
        <v>-269.8</v>
      </c>
      <c r="S107" s="22">
        <f t="shared" si="251"/>
        <v>814.60000000000025</v>
      </c>
      <c r="T107" s="22">
        <f t="shared" si="251"/>
        <v>-202.20000000000002</v>
      </c>
      <c r="U107" s="22">
        <f t="shared" si="251"/>
        <v>-243.9</v>
      </c>
      <c r="V107" s="22">
        <f t="shared" si="251"/>
        <v>-352.3</v>
      </c>
      <c r="W107" s="22">
        <f t="shared" si="251"/>
        <v>-328.79999999999995</v>
      </c>
      <c r="X107" s="22">
        <f t="shared" si="251"/>
        <v>-246.4</v>
      </c>
      <c r="AJ107" s="22">
        <f t="shared" ref="AJ107" si="252">SUM(AJ97:AJ106)</f>
        <v>-231.70000000000002</v>
      </c>
      <c r="AK107" s="22">
        <f t="shared" ref="AK107" si="253">SUM(AK97:AK106)</f>
        <v>300.80000000000013</v>
      </c>
      <c r="AL107" s="22">
        <f t="shared" ref="AL107" si="254">SUM(AL97:AL106)</f>
        <v>-176.7</v>
      </c>
      <c r="AM107" s="22">
        <f t="shared" ref="AM107" si="255">SUM(AM97:AM106)</f>
        <v>-577.69999999999993</v>
      </c>
      <c r="AN107" s="22">
        <f t="shared" ref="AN107" si="256">SUM(AN97:AN106)</f>
        <v>16.200000000000045</v>
      </c>
    </row>
    <row r="108" spans="1:202" x14ac:dyDescent="0.3">
      <c r="B108" s="33" t="s">
        <v>129</v>
      </c>
      <c r="C108" s="2">
        <f t="shared" ref="C108:X108" si="257">C87+C96+C107</f>
        <v>-2.3000000000000114</v>
      </c>
      <c r="D108" s="2">
        <f t="shared" si="257"/>
        <v>43.899999999999984</v>
      </c>
      <c r="E108" s="2">
        <f t="shared" si="257"/>
        <v>25.59999999999998</v>
      </c>
      <c r="F108" s="2">
        <f t="shared" si="257"/>
        <v>7.5000000000000071</v>
      </c>
      <c r="G108" s="2">
        <f t="shared" si="257"/>
        <v>233.70000000000002</v>
      </c>
      <c r="H108" s="2">
        <f t="shared" si="257"/>
        <v>-158.19999999999999</v>
      </c>
      <c r="I108" s="2">
        <f t="shared" si="257"/>
        <v>32.200000000000003</v>
      </c>
      <c r="J108" s="2">
        <f t="shared" si="257"/>
        <v>-15.299999999999997</v>
      </c>
      <c r="K108" s="2">
        <f t="shared" si="257"/>
        <v>-161.1</v>
      </c>
      <c r="L108" s="2">
        <f t="shared" si="257"/>
        <v>-14.799999999999976</v>
      </c>
      <c r="M108" s="2">
        <f t="shared" si="257"/>
        <v>101.50000000000003</v>
      </c>
      <c r="N108" s="2">
        <f t="shared" si="257"/>
        <v>106.19999999999996</v>
      </c>
      <c r="O108" s="2">
        <f t="shared" si="257"/>
        <v>-62.700000000000045</v>
      </c>
      <c r="P108" s="2">
        <f t="shared" si="257"/>
        <v>-153.90000000000003</v>
      </c>
      <c r="Q108" s="2">
        <f t="shared" si="257"/>
        <v>117.19999999999995</v>
      </c>
      <c r="R108" s="2">
        <f t="shared" si="257"/>
        <v>-141.10000000000002</v>
      </c>
      <c r="S108" s="2">
        <f t="shared" si="257"/>
        <v>531.50000000000023</v>
      </c>
      <c r="T108" s="2">
        <f t="shared" si="257"/>
        <v>39.299999999999898</v>
      </c>
      <c r="U108" s="2">
        <f t="shared" si="257"/>
        <v>-195.29999999999995</v>
      </c>
      <c r="V108" s="2">
        <f t="shared" si="257"/>
        <v>-154.30000000000001</v>
      </c>
      <c r="W108" s="2">
        <f t="shared" si="257"/>
        <v>-86.399999999999949</v>
      </c>
      <c r="X108" s="2">
        <f t="shared" si="257"/>
        <v>-88.400000000000063</v>
      </c>
      <c r="AJ108" s="2">
        <f t="shared" ref="AJ108:AN108" si="258">AJ87+AJ96+AJ107</f>
        <v>74.700000000000017</v>
      </c>
      <c r="AK108" s="2">
        <f t="shared" si="258"/>
        <v>92.400000000000091</v>
      </c>
      <c r="AL108" s="2">
        <f t="shared" si="258"/>
        <v>31.799999999999955</v>
      </c>
      <c r="AM108" s="2">
        <f t="shared" si="258"/>
        <v>-240.49999999999977</v>
      </c>
      <c r="AN108" s="2">
        <f t="shared" si="258"/>
        <v>221.20000000000005</v>
      </c>
    </row>
    <row r="109" spans="1:202" s="22" customFormat="1" x14ac:dyDescent="0.3">
      <c r="A109" s="3"/>
      <c r="B109" s="3" t="s">
        <v>130</v>
      </c>
      <c r="C109" s="22">
        <f t="shared" ref="C109:W109" si="259">C87+C88</f>
        <v>56.499999999999993</v>
      </c>
      <c r="D109" s="22">
        <f t="shared" si="259"/>
        <v>82.399999999999977</v>
      </c>
      <c r="E109" s="22">
        <f t="shared" si="259"/>
        <v>108.29999999999998</v>
      </c>
      <c r="F109" s="22">
        <f t="shared" si="259"/>
        <v>57.800000000000011</v>
      </c>
      <c r="G109" s="22">
        <f t="shared" si="259"/>
        <v>51.899999999999984</v>
      </c>
      <c r="H109" s="22">
        <f t="shared" si="259"/>
        <v>102.2</v>
      </c>
      <c r="I109" s="22">
        <f t="shared" si="259"/>
        <v>120</v>
      </c>
      <c r="J109" s="22">
        <f t="shared" si="259"/>
        <v>88.300000000000011</v>
      </c>
      <c r="K109" s="22">
        <f t="shared" si="259"/>
        <v>33.499999999999986</v>
      </c>
      <c r="L109" s="22">
        <f t="shared" si="259"/>
        <v>95.09999999999998</v>
      </c>
      <c r="M109" s="22">
        <f t="shared" si="259"/>
        <v>102.50000000000001</v>
      </c>
      <c r="N109" s="22">
        <f t="shared" si="259"/>
        <v>161.29999999999998</v>
      </c>
      <c r="O109" s="22">
        <f t="shared" si="259"/>
        <v>25.499999999999982</v>
      </c>
      <c r="P109" s="22">
        <f t="shared" si="259"/>
        <v>119.79999999999998</v>
      </c>
      <c r="Q109" s="22">
        <f t="shared" si="259"/>
        <v>186.99999999999994</v>
      </c>
      <c r="R109" s="22">
        <f t="shared" si="259"/>
        <v>158.39999999999998</v>
      </c>
      <c r="S109" s="22">
        <f t="shared" si="259"/>
        <v>108.80000000000001</v>
      </c>
      <c r="T109" s="22">
        <f t="shared" si="259"/>
        <v>215.99999999999994</v>
      </c>
      <c r="U109" s="22">
        <f t="shared" si="259"/>
        <v>221.49999999999997</v>
      </c>
      <c r="V109" s="22">
        <f t="shared" si="259"/>
        <v>161.39999999999998</v>
      </c>
      <c r="W109" s="22">
        <f t="shared" si="259"/>
        <v>130.70000000000002</v>
      </c>
      <c r="X109" s="22">
        <f>X87+X88</f>
        <v>205.89999999999998</v>
      </c>
      <c r="Y109" s="3"/>
      <c r="Z109" s="3"/>
      <c r="AA109" s="3"/>
      <c r="AB109" s="3"/>
      <c r="AC109" s="3"/>
      <c r="AD109" s="3"/>
      <c r="AE109" s="3"/>
      <c r="AF109" s="3"/>
      <c r="AG109" s="3"/>
      <c r="AH109" s="3"/>
      <c r="AI109" s="3"/>
      <c r="AJ109" s="22">
        <f>AJ87+AJ88</f>
        <v>305</v>
      </c>
      <c r="AK109" s="22">
        <f t="shared" ref="AK109:AN109" si="260">AK87+AK88</f>
        <v>362.40000000000003</v>
      </c>
      <c r="AL109" s="22">
        <f t="shared" si="260"/>
        <v>392.4</v>
      </c>
      <c r="AM109" s="22">
        <f t="shared" si="260"/>
        <v>490.70000000000016</v>
      </c>
      <c r="AN109" s="22">
        <f t="shared" si="260"/>
        <v>707.69999999999982</v>
      </c>
      <c r="AO109" s="22">
        <f>AN109*(1+$BB$28)</f>
        <v>700.62299999999982</v>
      </c>
      <c r="AP109" s="22">
        <f t="shared" ref="AP109:DA109" si="261">AO109*(1+$BB$28)</f>
        <v>693.61676999999986</v>
      </c>
      <c r="AQ109" s="22">
        <f t="shared" si="261"/>
        <v>686.6806022999998</v>
      </c>
      <c r="AR109" s="22">
        <f t="shared" si="261"/>
        <v>679.81379627699982</v>
      </c>
      <c r="AS109" s="22">
        <f t="shared" si="261"/>
        <v>673.01565831422977</v>
      </c>
      <c r="AT109" s="22">
        <f t="shared" si="261"/>
        <v>666.28550173108749</v>
      </c>
      <c r="AU109" s="22">
        <f t="shared" si="261"/>
        <v>659.62264671377659</v>
      </c>
      <c r="AV109" s="22">
        <f t="shared" si="261"/>
        <v>653.02642024663885</v>
      </c>
      <c r="AW109" s="22">
        <f t="shared" si="261"/>
        <v>646.49615604417249</v>
      </c>
      <c r="AX109" s="22">
        <f t="shared" si="261"/>
        <v>640.03119448373081</v>
      </c>
      <c r="AY109" s="22">
        <f t="shared" si="261"/>
        <v>633.6308825388935</v>
      </c>
      <c r="AZ109" s="22">
        <f t="shared" si="261"/>
        <v>627.29457371350452</v>
      </c>
      <c r="BA109" s="22">
        <f t="shared" si="261"/>
        <v>621.02162797636947</v>
      </c>
      <c r="BB109" s="22">
        <f t="shared" si="261"/>
        <v>614.81141169660577</v>
      </c>
      <c r="BC109" s="22">
        <f t="shared" si="261"/>
        <v>608.66329757963967</v>
      </c>
      <c r="BD109" s="22">
        <f t="shared" si="261"/>
        <v>602.57666460384326</v>
      </c>
      <c r="BE109" s="22">
        <f t="shared" si="261"/>
        <v>596.55089795780486</v>
      </c>
      <c r="BF109" s="22">
        <f t="shared" si="261"/>
        <v>590.58538897822677</v>
      </c>
      <c r="BG109" s="22">
        <f t="shared" si="261"/>
        <v>584.67953508844448</v>
      </c>
      <c r="BH109" s="22">
        <f t="shared" si="261"/>
        <v>578.83273973756002</v>
      </c>
      <c r="BI109" s="22">
        <f t="shared" si="261"/>
        <v>573.04441234018441</v>
      </c>
      <c r="BJ109" s="22">
        <f t="shared" si="261"/>
        <v>567.31396821678254</v>
      </c>
      <c r="BK109" s="22">
        <f t="shared" si="261"/>
        <v>561.64082853461468</v>
      </c>
      <c r="BL109" s="22">
        <f t="shared" si="261"/>
        <v>556.02442024926859</v>
      </c>
      <c r="BM109" s="22">
        <f t="shared" si="261"/>
        <v>550.46417604677595</v>
      </c>
      <c r="BN109" s="22">
        <f t="shared" si="261"/>
        <v>544.95953428630821</v>
      </c>
      <c r="BO109" s="22">
        <f t="shared" si="261"/>
        <v>539.50993894344515</v>
      </c>
      <c r="BP109" s="22">
        <f t="shared" si="261"/>
        <v>534.1148395540107</v>
      </c>
      <c r="BQ109" s="22">
        <f t="shared" si="261"/>
        <v>528.77369115847057</v>
      </c>
      <c r="BR109" s="22">
        <f t="shared" si="261"/>
        <v>523.48595424688585</v>
      </c>
      <c r="BS109" s="22">
        <f t="shared" si="261"/>
        <v>518.25109470441703</v>
      </c>
      <c r="BT109" s="22">
        <f t="shared" si="261"/>
        <v>513.06858375737283</v>
      </c>
      <c r="BU109" s="22">
        <f t="shared" si="261"/>
        <v>507.93789791979913</v>
      </c>
      <c r="BV109" s="22">
        <f t="shared" si="261"/>
        <v>502.85851894060113</v>
      </c>
      <c r="BW109" s="22">
        <f t="shared" si="261"/>
        <v>497.82993375119514</v>
      </c>
      <c r="BX109" s="22">
        <f t="shared" si="261"/>
        <v>492.8516344136832</v>
      </c>
      <c r="BY109" s="22">
        <f t="shared" si="261"/>
        <v>487.92311806954638</v>
      </c>
      <c r="BZ109" s="22">
        <f t="shared" si="261"/>
        <v>483.04388688885092</v>
      </c>
      <c r="CA109" s="22">
        <f t="shared" si="261"/>
        <v>478.21344801996241</v>
      </c>
      <c r="CB109" s="22">
        <f t="shared" si="261"/>
        <v>473.43131353976281</v>
      </c>
      <c r="CC109" s="22">
        <f t="shared" si="261"/>
        <v>468.69700040436516</v>
      </c>
      <c r="CD109" s="22">
        <f t="shared" si="261"/>
        <v>464.01003040032151</v>
      </c>
      <c r="CE109" s="22">
        <f t="shared" si="261"/>
        <v>459.36993009631828</v>
      </c>
      <c r="CF109" s="22">
        <f t="shared" si="261"/>
        <v>454.7762307953551</v>
      </c>
      <c r="CG109" s="22">
        <f t="shared" si="261"/>
        <v>450.22846848740153</v>
      </c>
      <c r="CH109" s="22">
        <f t="shared" si="261"/>
        <v>445.72618380252749</v>
      </c>
      <c r="CI109" s="22">
        <f t="shared" si="261"/>
        <v>441.26892196450223</v>
      </c>
      <c r="CJ109" s="22">
        <f t="shared" si="261"/>
        <v>436.85623274485721</v>
      </c>
      <c r="CK109" s="22">
        <f t="shared" si="261"/>
        <v>432.48767041740865</v>
      </c>
      <c r="CL109" s="22">
        <f t="shared" si="261"/>
        <v>428.16279371323458</v>
      </c>
      <c r="CM109" s="22">
        <f t="shared" si="261"/>
        <v>423.88116577610225</v>
      </c>
      <c r="CN109" s="22">
        <f t="shared" si="261"/>
        <v>419.64235411834125</v>
      </c>
      <c r="CO109" s="22">
        <f t="shared" si="261"/>
        <v>415.44593057715781</v>
      </c>
      <c r="CP109" s="22">
        <f t="shared" si="261"/>
        <v>411.29147127138623</v>
      </c>
      <c r="CQ109" s="22">
        <f t="shared" si="261"/>
        <v>407.17855655867237</v>
      </c>
      <c r="CR109" s="22">
        <f t="shared" si="261"/>
        <v>403.10677099308566</v>
      </c>
      <c r="CS109" s="22">
        <f t="shared" si="261"/>
        <v>399.07570328315478</v>
      </c>
      <c r="CT109" s="22">
        <f t="shared" si="261"/>
        <v>395.08494625032324</v>
      </c>
      <c r="CU109" s="22">
        <f t="shared" si="261"/>
        <v>391.13409678782</v>
      </c>
      <c r="CV109" s="22">
        <f t="shared" si="261"/>
        <v>387.22275581994177</v>
      </c>
      <c r="CW109" s="22">
        <f t="shared" si="261"/>
        <v>383.35052826174234</v>
      </c>
      <c r="CX109" s="22">
        <f t="shared" si="261"/>
        <v>379.51702297912493</v>
      </c>
      <c r="CY109" s="22">
        <f t="shared" si="261"/>
        <v>375.72185274933366</v>
      </c>
      <c r="CZ109" s="22">
        <f t="shared" si="261"/>
        <v>371.9646342218403</v>
      </c>
      <c r="DA109" s="22">
        <f t="shared" si="261"/>
        <v>368.24498787962187</v>
      </c>
      <c r="DB109" s="22">
        <f t="shared" ref="DB109:FM109" si="262">DA109*(1+$BB$28)</f>
        <v>364.56253800082567</v>
      </c>
      <c r="DC109" s="22">
        <f t="shared" si="262"/>
        <v>360.91691262081741</v>
      </c>
      <c r="DD109" s="22">
        <f t="shared" si="262"/>
        <v>357.30774349460921</v>
      </c>
      <c r="DE109" s="22">
        <f t="shared" si="262"/>
        <v>353.73466605966314</v>
      </c>
      <c r="DF109" s="22">
        <f t="shared" si="262"/>
        <v>350.19731939906649</v>
      </c>
      <c r="DG109" s="22">
        <f t="shared" si="262"/>
        <v>346.69534620507579</v>
      </c>
      <c r="DH109" s="22">
        <f t="shared" si="262"/>
        <v>343.22839274302504</v>
      </c>
      <c r="DI109" s="22">
        <f t="shared" si="262"/>
        <v>339.79610881559478</v>
      </c>
      <c r="DJ109" s="22">
        <f t="shared" si="262"/>
        <v>336.39814772743881</v>
      </c>
      <c r="DK109" s="22">
        <f t="shared" si="262"/>
        <v>333.03416625016445</v>
      </c>
      <c r="DL109" s="22">
        <f t="shared" si="262"/>
        <v>329.70382458766278</v>
      </c>
      <c r="DM109" s="22">
        <f t="shared" si="262"/>
        <v>326.40678634178613</v>
      </c>
      <c r="DN109" s="22">
        <f t="shared" si="262"/>
        <v>323.14271847836824</v>
      </c>
      <c r="DO109" s="22">
        <f t="shared" si="262"/>
        <v>319.91129129358455</v>
      </c>
      <c r="DP109" s="22">
        <f t="shared" si="262"/>
        <v>316.71217838064871</v>
      </c>
      <c r="DQ109" s="22">
        <f t="shared" si="262"/>
        <v>313.54505659684224</v>
      </c>
      <c r="DR109" s="22">
        <f t="shared" si="262"/>
        <v>310.40960603087382</v>
      </c>
      <c r="DS109" s="22">
        <f t="shared" si="262"/>
        <v>307.30550997056508</v>
      </c>
      <c r="DT109" s="22">
        <f t="shared" si="262"/>
        <v>304.23245487085944</v>
      </c>
      <c r="DU109" s="22">
        <f t="shared" si="262"/>
        <v>301.19013032215082</v>
      </c>
      <c r="DV109" s="22">
        <f t="shared" si="262"/>
        <v>298.1782290189293</v>
      </c>
      <c r="DW109" s="22">
        <f t="shared" si="262"/>
        <v>295.19644672874</v>
      </c>
      <c r="DX109" s="22">
        <f t="shared" si="262"/>
        <v>292.24448226145262</v>
      </c>
      <c r="DY109" s="22">
        <f t="shared" si="262"/>
        <v>289.32203743883809</v>
      </c>
      <c r="DZ109" s="22">
        <f t="shared" si="262"/>
        <v>286.42881706444973</v>
      </c>
      <c r="EA109" s="22">
        <f t="shared" si="262"/>
        <v>283.56452889380523</v>
      </c>
      <c r="EB109" s="22">
        <f t="shared" si="262"/>
        <v>280.72888360486718</v>
      </c>
      <c r="EC109" s="22">
        <f t="shared" si="262"/>
        <v>277.92159476881852</v>
      </c>
      <c r="ED109" s="22">
        <f t="shared" si="262"/>
        <v>275.14237882113031</v>
      </c>
      <c r="EE109" s="22">
        <f t="shared" si="262"/>
        <v>272.39095503291901</v>
      </c>
      <c r="EF109" s="22">
        <f t="shared" si="262"/>
        <v>269.6670454825898</v>
      </c>
      <c r="EG109" s="22">
        <f t="shared" si="262"/>
        <v>266.97037502776391</v>
      </c>
      <c r="EH109" s="22">
        <f t="shared" si="262"/>
        <v>264.30067127748629</v>
      </c>
      <c r="EI109" s="22">
        <f t="shared" si="262"/>
        <v>261.65766456471141</v>
      </c>
      <c r="EJ109" s="22">
        <f t="shared" si="262"/>
        <v>259.0410879190643</v>
      </c>
      <c r="EK109" s="22">
        <f t="shared" si="262"/>
        <v>256.45067703987365</v>
      </c>
      <c r="EL109" s="22">
        <f t="shared" si="262"/>
        <v>253.88617026947492</v>
      </c>
      <c r="EM109" s="22">
        <f t="shared" si="262"/>
        <v>251.34730856678016</v>
      </c>
      <c r="EN109" s="22">
        <f t="shared" si="262"/>
        <v>248.83383548111235</v>
      </c>
      <c r="EO109" s="22">
        <f t="shared" si="262"/>
        <v>246.34549712630121</v>
      </c>
      <c r="EP109" s="22">
        <f t="shared" si="262"/>
        <v>243.88204215503819</v>
      </c>
      <c r="EQ109" s="22">
        <f t="shared" si="262"/>
        <v>241.4432217334878</v>
      </c>
      <c r="ER109" s="22">
        <f t="shared" si="262"/>
        <v>239.02878951615293</v>
      </c>
      <c r="ES109" s="22">
        <f t="shared" si="262"/>
        <v>236.63850162099141</v>
      </c>
      <c r="ET109" s="22">
        <f t="shared" si="262"/>
        <v>234.2721166047815</v>
      </c>
      <c r="EU109" s="22">
        <f t="shared" si="262"/>
        <v>231.92939543873368</v>
      </c>
      <c r="EV109" s="22">
        <f t="shared" si="262"/>
        <v>229.61010148434633</v>
      </c>
      <c r="EW109" s="22">
        <f t="shared" si="262"/>
        <v>227.31400046950287</v>
      </c>
      <c r="EX109" s="22">
        <f t="shared" si="262"/>
        <v>225.04086046480785</v>
      </c>
      <c r="EY109" s="22">
        <f t="shared" si="262"/>
        <v>222.79045186015978</v>
      </c>
      <c r="EZ109" s="22">
        <f t="shared" si="262"/>
        <v>220.56254734155817</v>
      </c>
      <c r="FA109" s="22">
        <f t="shared" si="262"/>
        <v>218.35692186814259</v>
      </c>
      <c r="FB109" s="22">
        <f t="shared" si="262"/>
        <v>216.17335264946115</v>
      </c>
      <c r="FC109" s="22">
        <f t="shared" si="262"/>
        <v>214.01161912296655</v>
      </c>
      <c r="FD109" s="22">
        <f t="shared" si="262"/>
        <v>211.87150293173687</v>
      </c>
      <c r="FE109" s="22">
        <f t="shared" si="262"/>
        <v>209.7527879024195</v>
      </c>
      <c r="FF109" s="22">
        <f t="shared" si="262"/>
        <v>207.6552600233953</v>
      </c>
      <c r="FG109" s="22">
        <f t="shared" si="262"/>
        <v>205.57870742316135</v>
      </c>
      <c r="FH109" s="22">
        <f t="shared" si="262"/>
        <v>203.52292034892974</v>
      </c>
      <c r="FI109" s="22">
        <f t="shared" si="262"/>
        <v>201.48769114544044</v>
      </c>
      <c r="FJ109" s="22">
        <f t="shared" si="262"/>
        <v>199.47281423398604</v>
      </c>
      <c r="FK109" s="22">
        <f t="shared" si="262"/>
        <v>197.47808609164619</v>
      </c>
      <c r="FL109" s="22">
        <f t="shared" si="262"/>
        <v>195.50330523072972</v>
      </c>
      <c r="FM109" s="22">
        <f t="shared" si="262"/>
        <v>193.54827217842242</v>
      </c>
      <c r="FN109" s="22">
        <f t="shared" ref="FN109:GT109" si="263">FM109*(1+$BB$28)</f>
        <v>191.61278945663818</v>
      </c>
      <c r="FO109" s="22">
        <f t="shared" si="263"/>
        <v>189.6966615620718</v>
      </c>
      <c r="FP109" s="22">
        <f t="shared" si="263"/>
        <v>187.79969494645107</v>
      </c>
      <c r="FQ109" s="22">
        <f t="shared" si="263"/>
        <v>185.92169799698655</v>
      </c>
      <c r="FR109" s="22">
        <f t="shared" si="263"/>
        <v>184.06248101701669</v>
      </c>
      <c r="FS109" s="22">
        <f t="shared" si="263"/>
        <v>182.22185620684652</v>
      </c>
      <c r="FT109" s="22">
        <f t="shared" si="263"/>
        <v>180.39963764477807</v>
      </c>
      <c r="FU109" s="22">
        <f t="shared" si="263"/>
        <v>178.5956412683303</v>
      </c>
      <c r="FV109" s="22">
        <f t="shared" si="263"/>
        <v>176.80968485564699</v>
      </c>
      <c r="FW109" s="22">
        <f t="shared" si="263"/>
        <v>175.04158800709052</v>
      </c>
      <c r="FX109" s="22">
        <f t="shared" si="263"/>
        <v>173.29117212701962</v>
      </c>
      <c r="FY109" s="22">
        <f t="shared" si="263"/>
        <v>171.55826040574942</v>
      </c>
      <c r="FZ109" s="22">
        <f t="shared" si="263"/>
        <v>169.84267780169193</v>
      </c>
      <c r="GA109" s="22">
        <f t="shared" si="263"/>
        <v>168.14425102367503</v>
      </c>
      <c r="GB109" s="22">
        <f t="shared" si="263"/>
        <v>166.46280851343826</v>
      </c>
      <c r="GC109" s="22">
        <f t="shared" si="263"/>
        <v>164.79818042830388</v>
      </c>
      <c r="GD109" s="22">
        <f t="shared" si="263"/>
        <v>163.15019862402085</v>
      </c>
      <c r="GE109" s="22">
        <f t="shared" si="263"/>
        <v>161.51869663778064</v>
      </c>
      <c r="GF109" s="22">
        <f t="shared" si="263"/>
        <v>159.90350967140282</v>
      </c>
      <c r="GG109" s="22">
        <f t="shared" si="263"/>
        <v>158.30447457468878</v>
      </c>
      <c r="GH109" s="22">
        <f t="shared" si="263"/>
        <v>156.72142982894189</v>
      </c>
      <c r="GI109" s="22">
        <f t="shared" si="263"/>
        <v>155.15421553065246</v>
      </c>
      <c r="GJ109" s="22">
        <f t="shared" si="263"/>
        <v>153.60267337534594</v>
      </c>
      <c r="GK109" s="22">
        <f t="shared" si="263"/>
        <v>152.06664664159248</v>
      </c>
      <c r="GL109" s="22">
        <f t="shared" si="263"/>
        <v>150.54598017517657</v>
      </c>
      <c r="GM109" s="22">
        <f t="shared" si="263"/>
        <v>149.04052037342481</v>
      </c>
      <c r="GN109" s="22">
        <f t="shared" si="263"/>
        <v>147.55011516969057</v>
      </c>
      <c r="GO109" s="22">
        <f t="shared" si="263"/>
        <v>146.07461401799367</v>
      </c>
      <c r="GP109" s="22">
        <f t="shared" si="263"/>
        <v>144.61386787781373</v>
      </c>
      <c r="GQ109" s="22">
        <f t="shared" si="263"/>
        <v>143.16772919903559</v>
      </c>
      <c r="GR109" s="22">
        <f t="shared" si="263"/>
        <v>141.73605190704524</v>
      </c>
      <c r="GS109" s="22">
        <f t="shared" si="263"/>
        <v>140.31869138797478</v>
      </c>
      <c r="GT109" s="22">
        <f t="shared" si="263"/>
        <v>138.91550447409503</v>
      </c>
    </row>
    <row r="111" spans="1:202" x14ac:dyDescent="0.3">
      <c r="B111" s="33" t="s">
        <v>139</v>
      </c>
      <c r="G111" s="7">
        <f>G109/C109-1</f>
        <v>-8.1415929203540016E-2</v>
      </c>
      <c r="H111" s="7">
        <f t="shared" ref="H111:X111" si="264">H109/D109-1</f>
        <v>0.24029126213592278</v>
      </c>
      <c r="I111" s="7">
        <f t="shared" si="264"/>
        <v>0.10803324099723</v>
      </c>
      <c r="J111" s="7">
        <f t="shared" si="264"/>
        <v>0.52768166089965396</v>
      </c>
      <c r="K111" s="7">
        <f t="shared" si="264"/>
        <v>-0.35452793834296736</v>
      </c>
      <c r="L111" s="7">
        <f t="shared" si="264"/>
        <v>-6.947162426614506E-2</v>
      </c>
      <c r="M111" s="7">
        <f t="shared" si="264"/>
        <v>-0.14583333333333326</v>
      </c>
      <c r="N111" s="7">
        <f t="shared" si="264"/>
        <v>0.82672706681766672</v>
      </c>
      <c r="O111" s="7">
        <f t="shared" si="264"/>
        <v>-0.23880597014925398</v>
      </c>
      <c r="P111" s="7">
        <f t="shared" si="264"/>
        <v>0.25972660357518418</v>
      </c>
      <c r="Q111" s="7">
        <f t="shared" si="264"/>
        <v>0.8243902439024382</v>
      </c>
      <c r="R111" s="7">
        <f t="shared" si="264"/>
        <v>-1.7978921264724113E-2</v>
      </c>
      <c r="S111" s="7">
        <f t="shared" si="264"/>
        <v>3.2666666666666702</v>
      </c>
      <c r="T111" s="7">
        <f t="shared" si="264"/>
        <v>0.80300500834724509</v>
      </c>
      <c r="U111" s="7">
        <f t="shared" si="264"/>
        <v>0.18449197860962596</v>
      </c>
      <c r="V111" s="7">
        <f t="shared" si="264"/>
        <v>1.8939393939394034E-2</v>
      </c>
      <c r="W111" s="7">
        <f t="shared" si="264"/>
        <v>0.20128676470588247</v>
      </c>
      <c r="X111" s="7">
        <f t="shared" si="264"/>
        <v>-4.6759259259259167E-2</v>
      </c>
      <c r="AK111" s="7">
        <f>AK109/AJ109-1</f>
        <v>0.18819672131147547</v>
      </c>
      <c r="AL111" s="7">
        <f t="shared" ref="AL111:AN111" si="265">AL109/AK109-1</f>
        <v>8.2781456953642252E-2</v>
      </c>
      <c r="AM111" s="7">
        <f t="shared" si="265"/>
        <v>0.2505096839959231</v>
      </c>
      <c r="AN111" s="7">
        <f t="shared" si="265"/>
        <v>0.44222539229671809</v>
      </c>
    </row>
  </sheetData>
  <phoneticPr fontId="5" type="noConversion"/>
  <conditionalFormatting sqref="AY36">
    <cfRule type="cellIs" dxfId="3" priority="5" operator="lessThan">
      <formula>0</formula>
    </cfRule>
    <cfRule type="cellIs" dxfId="2" priority="6" operator="greaterThan">
      <formula>0</formula>
    </cfRule>
  </conditionalFormatting>
  <conditionalFormatting sqref="BB36">
    <cfRule type="cellIs" dxfId="1" priority="1" operator="lessThan">
      <formula>0</formula>
    </cfRule>
    <cfRule type="cellIs" dxfId="0" priority="2" operator="greaterThan">
      <formula>0</formula>
    </cfRule>
  </conditionalFormatting>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CEF1B-949F-4D0E-BFBC-BEECF06CE2AA}">
  <dimension ref="B3:D18"/>
  <sheetViews>
    <sheetView workbookViewId="0">
      <selection activeCell="D11" sqref="D11"/>
    </sheetView>
  </sheetViews>
  <sheetFormatPr defaultColWidth="9.1796875" defaultRowHeight="14" x14ac:dyDescent="0.3"/>
  <cols>
    <col min="1" max="1" width="9.1796875" style="1"/>
    <col min="2" max="2" width="16.453125" style="1" bestFit="1" customWidth="1"/>
    <col min="3" max="3" width="8.26953125" style="1" bestFit="1" customWidth="1"/>
    <col min="4" max="4" width="17.26953125" style="1" bestFit="1" customWidth="1"/>
    <col min="5" max="16384" width="9.1796875" style="1"/>
  </cols>
  <sheetData>
    <row r="3" spans="2:4" x14ac:dyDescent="0.3">
      <c r="B3" s="1" t="s">
        <v>6</v>
      </c>
      <c r="C3" s="2">
        <f>Main!C8</f>
        <v>2278.4</v>
      </c>
    </row>
    <row r="4" spans="2:4" x14ac:dyDescent="0.3">
      <c r="B4" s="1" t="s">
        <v>47</v>
      </c>
      <c r="C4" s="2">
        <f>Main!C6</f>
        <v>8678.1440000000002</v>
      </c>
    </row>
    <row r="5" spans="2:4" x14ac:dyDescent="0.3">
      <c r="B5" s="1" t="s">
        <v>48</v>
      </c>
      <c r="C5" s="2">
        <f>C3+C4</f>
        <v>10956.544</v>
      </c>
    </row>
    <row r="6" spans="2:4" x14ac:dyDescent="0.3">
      <c r="B6" s="3" t="s">
        <v>49</v>
      </c>
      <c r="C6" s="4">
        <f>C3/C5</f>
        <v>0.20794878385008997</v>
      </c>
    </row>
    <row r="7" spans="2:4" x14ac:dyDescent="0.3">
      <c r="B7" s="3" t="s">
        <v>50</v>
      </c>
      <c r="C7" s="4">
        <f>C4/C5</f>
        <v>0.79205121614991003</v>
      </c>
    </row>
    <row r="9" spans="2:4" x14ac:dyDescent="0.3">
      <c r="B9" s="1" t="s">
        <v>51</v>
      </c>
      <c r="C9" s="5">
        <f>AVERAGE(Model!AJ35:AO35)</f>
        <v>-0.17905468725267762</v>
      </c>
    </row>
    <row r="10" spans="2:4" x14ac:dyDescent="0.3">
      <c r="B10" s="1" t="s">
        <v>52</v>
      </c>
      <c r="C10" s="1">
        <v>0</v>
      </c>
      <c r="D10" s="33" t="s">
        <v>150</v>
      </c>
    </row>
    <row r="11" spans="2:4" x14ac:dyDescent="0.3">
      <c r="B11" s="3" t="s">
        <v>53</v>
      </c>
      <c r="C11" s="6">
        <f>C10/C3</f>
        <v>0</v>
      </c>
    </row>
    <row r="13" spans="2:4" x14ac:dyDescent="0.3">
      <c r="B13" s="1" t="s">
        <v>54</v>
      </c>
      <c r="C13" s="5">
        <f>'[1]T-Bond Yields'!$C$7</f>
        <v>2.8799999999999999E-2</v>
      </c>
    </row>
    <row r="14" spans="2:4" x14ac:dyDescent="0.3">
      <c r="B14" s="1" t="s">
        <v>55</v>
      </c>
      <c r="C14" s="1">
        <v>0.83</v>
      </c>
      <c r="D14" s="32" t="s">
        <v>75</v>
      </c>
    </row>
    <row r="15" spans="2:4" x14ac:dyDescent="0.3">
      <c r="B15" s="1" t="s">
        <v>56</v>
      </c>
      <c r="C15" s="7">
        <v>0.06</v>
      </c>
    </row>
    <row r="16" spans="2:4" x14ac:dyDescent="0.3">
      <c r="B16" s="3" t="s">
        <v>57</v>
      </c>
      <c r="C16" s="4">
        <f>C13+C14*(C15-C13)</f>
        <v>5.4695999999999995E-2</v>
      </c>
    </row>
    <row r="18" spans="2:3" x14ac:dyDescent="0.3">
      <c r="B18" s="3" t="s">
        <v>42</v>
      </c>
      <c r="C18" s="4">
        <f>(C6*C11)+(C7*C16)*(1-C9)</f>
        <v>5.1079046445535924E-2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3BF20-0ED1-4A31-89AF-2816C0A00775}">
  <dimension ref="A1"/>
  <sheetViews>
    <sheetView workbookViewId="0">
      <selection activeCell="B3" sqref="B3"/>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Model</vt:lpstr>
      <vt:lpstr>WACC</vt:lpstr>
      <vt:lpstr>Ratios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S</dc:creator>
  <cp:lastModifiedBy>Bill Sheldon</cp:lastModifiedBy>
  <dcterms:created xsi:type="dcterms:W3CDTF">2020-10-11T15:42:57Z</dcterms:created>
  <dcterms:modified xsi:type="dcterms:W3CDTF">2023-06-13T20:28:02Z</dcterms:modified>
</cp:coreProperties>
</file>