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9FDF0C97-8A18-41F5-83AF-9DEBF974A843}" xr6:coauthVersionLast="47" xr6:coauthVersionMax="47" xr10:uidLastSave="{00000000-0000-0000-0000-000000000000}"/>
  <bookViews>
    <workbookView xWindow="-28920" yWindow="-120" windowWidth="29040" windowHeight="15720" activeTab="1"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3" l="1"/>
  <c r="AB20" i="2"/>
  <c r="AC20" i="2" s="1"/>
  <c r="AA20" i="2"/>
  <c r="AA19" i="2"/>
  <c r="AB19" i="2" s="1"/>
  <c r="AC19" i="2" s="1"/>
  <c r="AA18" i="2"/>
  <c r="AB18" i="2" s="1"/>
  <c r="AC18" i="2" s="1"/>
  <c r="AB16" i="2"/>
  <c r="AC16" i="2" s="1"/>
  <c r="AA14" i="2"/>
  <c r="AA12" i="2"/>
  <c r="AA11" i="2"/>
  <c r="AB14" i="2"/>
  <c r="AC14" i="2" s="1"/>
  <c r="Z11" i="2"/>
  <c r="Z13" i="2"/>
  <c r="Z14" i="2"/>
  <c r="Z12" i="2"/>
  <c r="Q13" i="2"/>
  <c r="P13" i="2"/>
  <c r="O13" i="2"/>
  <c r="N13" i="2"/>
  <c r="Q12" i="2"/>
  <c r="P12" i="2"/>
  <c r="O12" i="2"/>
  <c r="N12" i="2"/>
  <c r="N34" i="2" s="1"/>
  <c r="Q11" i="2"/>
  <c r="P11" i="2"/>
  <c r="O11" i="2"/>
  <c r="N11" i="2"/>
  <c r="Q14" i="2"/>
  <c r="P14" i="2"/>
  <c r="O14" i="2"/>
  <c r="N14" i="2"/>
  <c r="N36" i="2" s="1"/>
  <c r="X36" i="2"/>
  <c r="W36" i="2"/>
  <c r="X35" i="2"/>
  <c r="W35" i="2"/>
  <c r="X34" i="2"/>
  <c r="W34" i="2"/>
  <c r="X33" i="2"/>
  <c r="W33" i="2"/>
  <c r="X14" i="2"/>
  <c r="W14" i="2"/>
  <c r="X13" i="2"/>
  <c r="W13" i="2"/>
  <c r="X12" i="2"/>
  <c r="W12" i="2"/>
  <c r="X11" i="2"/>
  <c r="W11" i="2"/>
  <c r="V14" i="2"/>
  <c r="V13" i="2"/>
  <c r="V15" i="2" s="1"/>
  <c r="V12" i="2"/>
  <c r="V11" i="2"/>
  <c r="N35" i="2"/>
  <c r="M36" i="2"/>
  <c r="L36" i="2"/>
  <c r="K36" i="2"/>
  <c r="J36" i="2"/>
  <c r="I36" i="2"/>
  <c r="H36" i="2"/>
  <c r="G36" i="2"/>
  <c r="M35" i="2"/>
  <c r="L35" i="2"/>
  <c r="K35" i="2"/>
  <c r="J35" i="2"/>
  <c r="I35" i="2"/>
  <c r="H35" i="2"/>
  <c r="G35" i="2"/>
  <c r="M34" i="2"/>
  <c r="L34" i="2"/>
  <c r="K34" i="2"/>
  <c r="J34" i="2"/>
  <c r="I34" i="2"/>
  <c r="H34" i="2"/>
  <c r="G34" i="2"/>
  <c r="L33" i="2"/>
  <c r="K33" i="2"/>
  <c r="J33" i="2"/>
  <c r="I33" i="2"/>
  <c r="H33" i="2"/>
  <c r="G33" i="2"/>
  <c r="M33" i="2"/>
  <c r="M15" i="2"/>
  <c r="I14" i="2"/>
  <c r="I15" i="2" s="1"/>
  <c r="M14" i="2"/>
  <c r="L15" i="2"/>
  <c r="K15" i="2"/>
  <c r="J15" i="2"/>
  <c r="H15" i="2"/>
  <c r="G15" i="2"/>
  <c r="F15" i="2"/>
  <c r="E15" i="2"/>
  <c r="D15" i="2"/>
  <c r="C15" i="2"/>
  <c r="W15" i="2" l="1"/>
  <c r="X15" i="2"/>
  <c r="N15" i="2"/>
  <c r="O34" i="2"/>
  <c r="N33" i="2"/>
  <c r="Q28" i="2"/>
  <c r="Y28" i="2" s="1"/>
  <c r="Z28" i="2" s="1"/>
  <c r="AA28" i="2" s="1"/>
  <c r="AB28" i="2" s="1"/>
  <c r="AC28" i="2" s="1"/>
  <c r="P28" i="2"/>
  <c r="O28" i="2"/>
  <c r="N28" i="2"/>
  <c r="Q24" i="2"/>
  <c r="P24" i="2"/>
  <c r="O24" i="2"/>
  <c r="N24" i="2"/>
  <c r="Q23" i="2"/>
  <c r="P23" i="2"/>
  <c r="O23" i="2"/>
  <c r="N23" i="2"/>
  <c r="Q20" i="2"/>
  <c r="P20" i="2"/>
  <c r="O20" i="2"/>
  <c r="N20" i="2"/>
  <c r="Q19" i="2"/>
  <c r="P19" i="2"/>
  <c r="O19" i="2"/>
  <c r="N19" i="2"/>
  <c r="Q18" i="2"/>
  <c r="P18" i="2"/>
  <c r="O18" i="2"/>
  <c r="N18" i="2"/>
  <c r="O16" i="2"/>
  <c r="P16" i="2"/>
  <c r="P38" i="2" s="1"/>
  <c r="Q16" i="2"/>
  <c r="Q38" i="2" s="1"/>
  <c r="O38" i="2"/>
  <c r="M38" i="2"/>
  <c r="L38" i="2"/>
  <c r="K38" i="2"/>
  <c r="J38" i="2"/>
  <c r="I38" i="2"/>
  <c r="H38" i="2"/>
  <c r="G38" i="2"/>
  <c r="N16" i="2"/>
  <c r="N38" i="2" s="1"/>
  <c r="AJ40" i="2"/>
  <c r="O35" i="2" l="1"/>
  <c r="P35" i="2" s="1"/>
  <c r="O36" i="2"/>
  <c r="Q35" i="2"/>
  <c r="P36" i="2"/>
  <c r="Q36" i="2" s="1"/>
  <c r="Y20" i="2"/>
  <c r="Z20" i="2" s="1"/>
  <c r="Y23" i="2"/>
  <c r="Z23" i="2" s="1"/>
  <c r="AA23" i="2" s="1"/>
  <c r="AB23" i="2" s="1"/>
  <c r="AC23" i="2" s="1"/>
  <c r="Y24" i="2"/>
  <c r="Z24" i="2" s="1"/>
  <c r="AA24" i="2" s="1"/>
  <c r="AB24" i="2" s="1"/>
  <c r="AC24" i="2" s="1"/>
  <c r="Y16" i="2"/>
  <c r="Y18" i="2"/>
  <c r="Z18" i="2" s="1"/>
  <c r="Y19" i="2"/>
  <c r="Z19" i="2" s="1"/>
  <c r="Z16" i="2"/>
  <c r="W24" i="2"/>
  <c r="W23" i="2"/>
  <c r="W20" i="2"/>
  <c r="W19" i="2"/>
  <c r="W18" i="2"/>
  <c r="W16" i="2"/>
  <c r="V26" i="2"/>
  <c r="V24" i="2"/>
  <c r="V23" i="2"/>
  <c r="V20" i="2"/>
  <c r="V19" i="2"/>
  <c r="V18" i="2"/>
  <c r="V16" i="2"/>
  <c r="V28" i="2"/>
  <c r="W28" i="2"/>
  <c r="X28" i="2"/>
  <c r="Y43" i="2" s="1"/>
  <c r="X26" i="2"/>
  <c r="X24" i="2"/>
  <c r="X23" i="2"/>
  <c r="X20" i="2"/>
  <c r="X19" i="2"/>
  <c r="X18" i="2"/>
  <c r="X16" i="2"/>
  <c r="V5" i="2"/>
  <c r="V4" i="2"/>
  <c r="V3" i="2"/>
  <c r="W5" i="2"/>
  <c r="W4" i="2"/>
  <c r="W3" i="2"/>
  <c r="W7" i="2" s="1"/>
  <c r="X5" i="2"/>
  <c r="Y9" i="2" s="1"/>
  <c r="X4" i="2"/>
  <c r="Y8" i="2" s="1"/>
  <c r="X3" i="2"/>
  <c r="Y7" i="2" s="1"/>
  <c r="AC43" i="2"/>
  <c r="AB43" i="2"/>
  <c r="AA43" i="2"/>
  <c r="Z43" i="2"/>
  <c r="AC9" i="2"/>
  <c r="AB9" i="2"/>
  <c r="AA9" i="2"/>
  <c r="Z9" i="2"/>
  <c r="AC8" i="2"/>
  <c r="AB8" i="2"/>
  <c r="AA8" i="2"/>
  <c r="Z8" i="2"/>
  <c r="AC7" i="2"/>
  <c r="AB7" i="2"/>
  <c r="AA7" i="2"/>
  <c r="Z7" i="2"/>
  <c r="Q9" i="2"/>
  <c r="P9" i="2"/>
  <c r="O9" i="2"/>
  <c r="N9" i="2"/>
  <c r="M9" i="2"/>
  <c r="L9" i="2"/>
  <c r="K9" i="2"/>
  <c r="J9" i="2"/>
  <c r="Q8" i="2"/>
  <c r="P8" i="2"/>
  <c r="O8" i="2"/>
  <c r="N8" i="2"/>
  <c r="M8" i="2"/>
  <c r="L8" i="2"/>
  <c r="K8" i="2"/>
  <c r="J8" i="2"/>
  <c r="Q7" i="2"/>
  <c r="P7" i="2"/>
  <c r="O7" i="2"/>
  <c r="N7" i="2"/>
  <c r="M7" i="2"/>
  <c r="L7" i="2"/>
  <c r="K7" i="2"/>
  <c r="J7" i="2"/>
  <c r="H7" i="2"/>
  <c r="G7" i="2"/>
  <c r="I7" i="2"/>
  <c r="Q43" i="2"/>
  <c r="P43" i="2"/>
  <c r="O43" i="2"/>
  <c r="N43" i="2"/>
  <c r="L37" i="2"/>
  <c r="K37" i="2"/>
  <c r="J37" i="2"/>
  <c r="M21" i="2"/>
  <c r="J21" i="2"/>
  <c r="Q21" i="2"/>
  <c r="L21" i="2"/>
  <c r="L17" i="2"/>
  <c r="M17" i="2"/>
  <c r="K17" i="2"/>
  <c r="K44" i="2" s="1"/>
  <c r="J17" i="2"/>
  <c r="J44" i="2" s="1"/>
  <c r="N17" i="2"/>
  <c r="Y13" i="2" l="1"/>
  <c r="P34" i="2"/>
  <c r="Q34" i="2" s="1"/>
  <c r="Y12" i="2"/>
  <c r="Y14" i="2"/>
  <c r="O33" i="2"/>
  <c r="O15" i="2"/>
  <c r="X38" i="2"/>
  <c r="W38" i="2"/>
  <c r="Y38" i="2"/>
  <c r="AA16" i="2"/>
  <c r="Z38" i="2"/>
  <c r="X7" i="2"/>
  <c r="L22" i="2"/>
  <c r="L25" i="2" s="1"/>
  <c r="N39" i="2"/>
  <c r="Q40" i="2"/>
  <c r="L44" i="2"/>
  <c r="M22" i="2"/>
  <c r="M44" i="2"/>
  <c r="N44" i="2"/>
  <c r="N37" i="2"/>
  <c r="J22" i="2"/>
  <c r="J25" i="2" s="1"/>
  <c r="O21" i="2"/>
  <c r="N21" i="2"/>
  <c r="K21" i="2"/>
  <c r="P21" i="2"/>
  <c r="C3" i="3"/>
  <c r="C11" i="3"/>
  <c r="G9" i="2"/>
  <c r="H8" i="2"/>
  <c r="G37" i="2"/>
  <c r="G8" i="2"/>
  <c r="H37" i="2"/>
  <c r="H9" i="2"/>
  <c r="C16" i="3"/>
  <c r="Y35" i="2" l="1"/>
  <c r="Y34" i="2"/>
  <c r="Y36" i="2"/>
  <c r="O37" i="2"/>
  <c r="O17" i="2"/>
  <c r="AA38" i="2"/>
  <c r="M25" i="2"/>
  <c r="M46" i="2" s="1"/>
  <c r="L45" i="2"/>
  <c r="M45" i="2"/>
  <c r="W9" i="2"/>
  <c r="X9" i="2"/>
  <c r="W8" i="2"/>
  <c r="X8" i="2"/>
  <c r="I17" i="2"/>
  <c r="M39" i="2" s="1"/>
  <c r="M37" i="2"/>
  <c r="P40" i="2"/>
  <c r="K22" i="2"/>
  <c r="K25" i="2" s="1"/>
  <c r="N22" i="2"/>
  <c r="N25" i="2" s="1"/>
  <c r="N26" i="2" s="1"/>
  <c r="N40" i="2"/>
  <c r="O40" i="2"/>
  <c r="L27" i="2"/>
  <c r="L46" i="2"/>
  <c r="J45" i="2"/>
  <c r="I21" i="2"/>
  <c r="I8" i="2"/>
  <c r="I9" i="2"/>
  <c r="I37" i="2"/>
  <c r="AA13" i="2" l="1"/>
  <c r="Z35" i="2"/>
  <c r="Z34" i="2"/>
  <c r="Z36" i="2"/>
  <c r="O44" i="2"/>
  <c r="O39" i="2"/>
  <c r="O22" i="2"/>
  <c r="O25" i="2" s="1"/>
  <c r="O26" i="2" s="1"/>
  <c r="O46" i="2" s="1"/>
  <c r="P33" i="2"/>
  <c r="Y11" i="2" s="1"/>
  <c r="P15" i="2"/>
  <c r="M27" i="2"/>
  <c r="M29" i="2" s="1"/>
  <c r="AC38" i="2"/>
  <c r="AB38" i="2"/>
  <c r="K45" i="2"/>
  <c r="I44" i="2"/>
  <c r="N45" i="2"/>
  <c r="N41" i="2"/>
  <c r="N46" i="2"/>
  <c r="N27" i="2"/>
  <c r="I22" i="2"/>
  <c r="M40" i="2"/>
  <c r="L29" i="2"/>
  <c r="K27" i="2"/>
  <c r="K46" i="2"/>
  <c r="J27" i="2"/>
  <c r="J46" i="2"/>
  <c r="AB13" i="2" l="1"/>
  <c r="AA35" i="2"/>
  <c r="AB12" i="2"/>
  <c r="AA34" i="2"/>
  <c r="AA36" i="2"/>
  <c r="Y33" i="2"/>
  <c r="Y15" i="2"/>
  <c r="Y37" i="2" s="1"/>
  <c r="O45" i="2"/>
  <c r="O41" i="2"/>
  <c r="P17" i="2"/>
  <c r="P37" i="2"/>
  <c r="Q33" i="2"/>
  <c r="Q15" i="2"/>
  <c r="O27" i="2"/>
  <c r="O29" i="2" s="1"/>
  <c r="M41" i="2"/>
  <c r="I25" i="2"/>
  <c r="N42" i="2"/>
  <c r="I45" i="2"/>
  <c r="N29" i="2"/>
  <c r="K29" i="2"/>
  <c r="J29" i="2"/>
  <c r="X37" i="2"/>
  <c r="V17" i="2"/>
  <c r="AC21" i="2"/>
  <c r="AB21" i="2"/>
  <c r="AA21" i="2"/>
  <c r="Z21" i="2"/>
  <c r="Y21" i="2"/>
  <c r="X21" i="2"/>
  <c r="X17" i="2"/>
  <c r="K43" i="2"/>
  <c r="G21" i="2"/>
  <c r="K40" i="2" s="1"/>
  <c r="F21" i="2"/>
  <c r="J40" i="2" s="1"/>
  <c r="E21" i="2"/>
  <c r="I40" i="2" s="1"/>
  <c r="D21" i="2"/>
  <c r="C21" i="2"/>
  <c r="G17" i="2"/>
  <c r="K39" i="2" s="1"/>
  <c r="F17" i="2"/>
  <c r="J39" i="2" s="1"/>
  <c r="E17" i="2"/>
  <c r="I39" i="2" s="1"/>
  <c r="D17" i="2"/>
  <c r="C17" i="2"/>
  <c r="L43" i="2"/>
  <c r="H21" i="2"/>
  <c r="L40" i="2" s="1"/>
  <c r="H17" i="2"/>
  <c r="L39" i="2" s="1"/>
  <c r="C5" i="1" a="1"/>
  <c r="C5" i="1" s="1"/>
  <c r="AJ43" i="2" s="1"/>
  <c r="Y17" i="2" l="1"/>
  <c r="AC13" i="2"/>
  <c r="AC35" i="2" s="1"/>
  <c r="AB35" i="2"/>
  <c r="O42" i="2"/>
  <c r="AC12" i="2"/>
  <c r="AC34" i="2" s="1"/>
  <c r="AB34" i="2"/>
  <c r="AC36" i="2"/>
  <c r="AB36" i="2"/>
  <c r="Z33" i="2"/>
  <c r="Z15" i="2"/>
  <c r="Q37" i="2"/>
  <c r="Q17" i="2"/>
  <c r="P44" i="2"/>
  <c r="P39" i="2"/>
  <c r="P22" i="2"/>
  <c r="AA40" i="2"/>
  <c r="AC40" i="2"/>
  <c r="Y40" i="2"/>
  <c r="Z40" i="2"/>
  <c r="AB40" i="2"/>
  <c r="X44" i="2"/>
  <c r="Y44" i="2"/>
  <c r="Y39" i="2"/>
  <c r="V21" i="2"/>
  <c r="J43" i="2"/>
  <c r="I27" i="2"/>
  <c r="M42" i="2" s="1"/>
  <c r="M43" i="2"/>
  <c r="W37" i="2"/>
  <c r="H40" i="2"/>
  <c r="C44" i="2"/>
  <c r="F44" i="2"/>
  <c r="H44" i="2"/>
  <c r="H39" i="2"/>
  <c r="G44" i="2"/>
  <c r="G39" i="2"/>
  <c r="H43" i="2"/>
  <c r="G40" i="2"/>
  <c r="D44" i="2"/>
  <c r="E44" i="2"/>
  <c r="G43" i="2"/>
  <c r="D22" i="2"/>
  <c r="D25" i="2" s="1"/>
  <c r="W21" i="2"/>
  <c r="G22" i="2"/>
  <c r="H22" i="2"/>
  <c r="W17" i="2"/>
  <c r="X39" i="2" s="1"/>
  <c r="X22" i="2"/>
  <c r="X25" i="2" s="1"/>
  <c r="Y22" i="2"/>
  <c r="Y25" i="2" s="1"/>
  <c r="E22" i="2"/>
  <c r="F22" i="2"/>
  <c r="C22" i="2"/>
  <c r="C25" i="2" s="1"/>
  <c r="C7" i="1"/>
  <c r="AA33" i="2" l="1"/>
  <c r="AB11" i="2"/>
  <c r="AA15" i="2"/>
  <c r="Z37" i="2"/>
  <c r="Z17" i="2"/>
  <c r="P25" i="2"/>
  <c r="P45" i="2"/>
  <c r="P41" i="2"/>
  <c r="Q22" i="2"/>
  <c r="Q39" i="2"/>
  <c r="Q44" i="2"/>
  <c r="L41" i="2"/>
  <c r="H25" i="2"/>
  <c r="K41" i="2"/>
  <c r="G25" i="2"/>
  <c r="J41" i="2"/>
  <c r="F25" i="2"/>
  <c r="I41" i="2"/>
  <c r="E25" i="2"/>
  <c r="X45" i="2"/>
  <c r="W40" i="2"/>
  <c r="V22" i="2"/>
  <c r="V25" i="2" s="1"/>
  <c r="Y45" i="2"/>
  <c r="Y41" i="2"/>
  <c r="X40" i="2"/>
  <c r="I46" i="2"/>
  <c r="W26" i="2"/>
  <c r="V44" i="2"/>
  <c r="I43" i="2"/>
  <c r="I29" i="2"/>
  <c r="C10" i="1"/>
  <c r="C4" i="3"/>
  <c r="C5" i="3" s="1"/>
  <c r="W44" i="2"/>
  <c r="W39" i="2"/>
  <c r="H45" i="2"/>
  <c r="H41" i="2"/>
  <c r="G45" i="2"/>
  <c r="G41" i="2"/>
  <c r="C45" i="2"/>
  <c r="F45" i="2"/>
  <c r="D45" i="2"/>
  <c r="E45" i="2"/>
  <c r="W22" i="2"/>
  <c r="Z39" i="2" l="1"/>
  <c r="Z44" i="2"/>
  <c r="Z22" i="2"/>
  <c r="AA37" i="2"/>
  <c r="AA17" i="2"/>
  <c r="AC11" i="2"/>
  <c r="AB33" i="2"/>
  <c r="AB15" i="2"/>
  <c r="Q25" i="2"/>
  <c r="Q45" i="2"/>
  <c r="Q41" i="2"/>
  <c r="P26" i="2"/>
  <c r="P27" i="2" s="1"/>
  <c r="X41" i="2"/>
  <c r="W25" i="2"/>
  <c r="V45" i="2"/>
  <c r="W43" i="2"/>
  <c r="X43" i="2"/>
  <c r="X27" i="2"/>
  <c r="X46" i="2"/>
  <c r="C9" i="3" s="1"/>
  <c r="V27" i="2"/>
  <c r="V46" i="2"/>
  <c r="C7" i="3"/>
  <c r="C6" i="3"/>
  <c r="W45" i="2"/>
  <c r="W41" i="2"/>
  <c r="D27" i="2"/>
  <c r="D46" i="2"/>
  <c r="G27" i="2"/>
  <c r="K42" i="2" s="1"/>
  <c r="G46" i="2"/>
  <c r="E27" i="2"/>
  <c r="I42" i="2" s="1"/>
  <c r="E46" i="2"/>
  <c r="F27" i="2"/>
  <c r="J42" i="2" s="1"/>
  <c r="F46" i="2"/>
  <c r="C27" i="2"/>
  <c r="C46" i="2"/>
  <c r="H27" i="2"/>
  <c r="L42" i="2" s="1"/>
  <c r="H46" i="2"/>
  <c r="AB37" i="2" l="1"/>
  <c r="AB17" i="2"/>
  <c r="AC33" i="2"/>
  <c r="AC15" i="2"/>
  <c r="AA39" i="2"/>
  <c r="AA22" i="2"/>
  <c r="AA44" i="2"/>
  <c r="Z25" i="2"/>
  <c r="Z45" i="2"/>
  <c r="Z41" i="2"/>
  <c r="P29" i="2"/>
  <c r="P42" i="2"/>
  <c r="P46" i="2"/>
  <c r="Q26" i="2"/>
  <c r="Q46" i="2" s="1"/>
  <c r="C18" i="3"/>
  <c r="AJ38" i="2" s="1"/>
  <c r="X29" i="2"/>
  <c r="V29" i="2"/>
  <c r="W27" i="2"/>
  <c r="X42" i="2" s="1"/>
  <c r="W46" i="2"/>
  <c r="E29" i="2"/>
  <c r="H29" i="2"/>
  <c r="H42" i="2"/>
  <c r="C29" i="2"/>
  <c r="F29" i="2"/>
  <c r="G29" i="2"/>
  <c r="G42" i="2"/>
  <c r="D29" i="2"/>
  <c r="Q27" i="2" l="1"/>
  <c r="Z26" i="2"/>
  <c r="Z46" i="2" s="1"/>
  <c r="AA25" i="2"/>
  <c r="AA45" i="2"/>
  <c r="AA41" i="2"/>
  <c r="AC37" i="2"/>
  <c r="AC17" i="2"/>
  <c r="AB44" i="2"/>
  <c r="AB22" i="2"/>
  <c r="AB39" i="2"/>
  <c r="Q29" i="2"/>
  <c r="Q42" i="2"/>
  <c r="Y26" i="2"/>
  <c r="W29" i="2"/>
  <c r="W42" i="2"/>
  <c r="Z27" i="2" l="1"/>
  <c r="Z29" i="2" s="1"/>
  <c r="AA26" i="2"/>
  <c r="AA46" i="2" s="1"/>
  <c r="AB25" i="2"/>
  <c r="AB45" i="2"/>
  <c r="AB41" i="2"/>
  <c r="AC22" i="2"/>
  <c r="AC39" i="2"/>
  <c r="AC44" i="2"/>
  <c r="Y27" i="2"/>
  <c r="Y46" i="2"/>
  <c r="AA27" i="2" l="1"/>
  <c r="AA42" i="2" s="1"/>
  <c r="AC25" i="2"/>
  <c r="AC45" i="2"/>
  <c r="AC41" i="2"/>
  <c r="AB26" i="2"/>
  <c r="AB46" i="2" s="1"/>
  <c r="Z42" i="2"/>
  <c r="Y42" i="2"/>
  <c r="Y29" i="2"/>
  <c r="AA29" i="2" l="1"/>
  <c r="AB27" i="2"/>
  <c r="AB29" i="2" s="1"/>
  <c r="AC26" i="2"/>
  <c r="AC46" i="2" s="1"/>
  <c r="AB42" i="2" l="1"/>
  <c r="AC27" i="2"/>
  <c r="AD27" i="2" s="1"/>
  <c r="AE27" i="2" s="1"/>
  <c r="AF27" i="2" s="1"/>
  <c r="AG27" i="2" s="1"/>
  <c r="AH27" i="2" s="1"/>
  <c r="AI27" i="2" s="1"/>
  <c r="AJ27" i="2" s="1"/>
  <c r="AK27" i="2" s="1"/>
  <c r="AL27" i="2" s="1"/>
  <c r="AM27" i="2" s="1"/>
  <c r="AN27" i="2" s="1"/>
  <c r="AO27" i="2" s="1"/>
  <c r="AP27" i="2" s="1"/>
  <c r="AQ27" i="2" s="1"/>
  <c r="AR27" i="2" s="1"/>
  <c r="AS27" i="2" s="1"/>
  <c r="AT27" i="2" s="1"/>
  <c r="AU27" i="2" s="1"/>
  <c r="AV27" i="2" s="1"/>
  <c r="AW27" i="2" s="1"/>
  <c r="AX27" i="2" s="1"/>
  <c r="AY27" i="2" s="1"/>
  <c r="AZ27" i="2" s="1"/>
  <c r="BA27" i="2" s="1"/>
  <c r="BB27" i="2" s="1"/>
  <c r="BC27" i="2" s="1"/>
  <c r="BD27" i="2" s="1"/>
  <c r="BE27" i="2" s="1"/>
  <c r="BF27" i="2" s="1"/>
  <c r="BG27" i="2" s="1"/>
  <c r="BH27" i="2" s="1"/>
  <c r="BI27" i="2" s="1"/>
  <c r="BJ27" i="2" s="1"/>
  <c r="BK27" i="2" s="1"/>
  <c r="BL27" i="2" s="1"/>
  <c r="BM27" i="2" s="1"/>
  <c r="BN27" i="2" s="1"/>
  <c r="BO27" i="2" s="1"/>
  <c r="BP27" i="2" s="1"/>
  <c r="BQ27" i="2" s="1"/>
  <c r="BR27" i="2" s="1"/>
  <c r="BS27" i="2" s="1"/>
  <c r="BT27" i="2" s="1"/>
  <c r="BU27" i="2" s="1"/>
  <c r="BV27" i="2" s="1"/>
  <c r="BW27" i="2" s="1"/>
  <c r="BX27" i="2" s="1"/>
  <c r="BY27" i="2" s="1"/>
  <c r="BZ27" i="2" s="1"/>
  <c r="CA27" i="2" s="1"/>
  <c r="CB27" i="2" s="1"/>
  <c r="CC27" i="2" s="1"/>
  <c r="CD27" i="2" s="1"/>
  <c r="CE27" i="2" s="1"/>
  <c r="CF27" i="2" s="1"/>
  <c r="CG27" i="2" s="1"/>
  <c r="CH27" i="2" s="1"/>
  <c r="CI27" i="2" s="1"/>
  <c r="CJ27" i="2" s="1"/>
  <c r="CK27" i="2" s="1"/>
  <c r="CL27" i="2" s="1"/>
  <c r="CM27" i="2" s="1"/>
  <c r="CN27" i="2" s="1"/>
  <c r="CO27" i="2" s="1"/>
  <c r="CP27" i="2" s="1"/>
  <c r="CQ27" i="2" s="1"/>
  <c r="CR27" i="2" s="1"/>
  <c r="CS27" i="2" s="1"/>
  <c r="CT27" i="2" s="1"/>
  <c r="CU27" i="2" s="1"/>
  <c r="CV27" i="2" s="1"/>
  <c r="CW27" i="2" s="1"/>
  <c r="CX27" i="2" s="1"/>
  <c r="CY27" i="2" s="1"/>
  <c r="CZ27" i="2" s="1"/>
  <c r="DA27" i="2" s="1"/>
  <c r="DB27" i="2" s="1"/>
  <c r="DC27" i="2" s="1"/>
  <c r="DD27" i="2" s="1"/>
  <c r="DE27" i="2" s="1"/>
  <c r="DF27" i="2" s="1"/>
  <c r="DG27" i="2" s="1"/>
  <c r="DH27" i="2" s="1"/>
  <c r="DI27" i="2" s="1"/>
  <c r="DJ27" i="2" s="1"/>
  <c r="DK27" i="2" s="1"/>
  <c r="DL27" i="2" s="1"/>
  <c r="DM27" i="2" s="1"/>
  <c r="DN27" i="2" s="1"/>
  <c r="DO27" i="2" s="1"/>
  <c r="DP27" i="2" s="1"/>
  <c r="DQ27" i="2" s="1"/>
  <c r="DR27" i="2" s="1"/>
  <c r="DS27" i="2" s="1"/>
  <c r="DT27" i="2" s="1"/>
  <c r="DU27" i="2" s="1"/>
  <c r="DV27" i="2" s="1"/>
  <c r="DW27" i="2" s="1"/>
  <c r="DX27" i="2" s="1"/>
  <c r="DY27" i="2" s="1"/>
  <c r="DZ27" i="2" s="1"/>
  <c r="EA27" i="2" s="1"/>
  <c r="EB27" i="2" s="1"/>
  <c r="EC27" i="2" s="1"/>
  <c r="ED27" i="2" s="1"/>
  <c r="EE27" i="2" s="1"/>
  <c r="EF27" i="2" s="1"/>
  <c r="EG27" i="2" s="1"/>
  <c r="EH27" i="2" s="1"/>
  <c r="EI27" i="2" s="1"/>
  <c r="EJ27" i="2" s="1"/>
  <c r="EK27" i="2" s="1"/>
  <c r="EL27" i="2" s="1"/>
  <c r="EM27" i="2" s="1"/>
  <c r="EN27" i="2" s="1"/>
  <c r="EO27" i="2" s="1"/>
  <c r="EP27" i="2" s="1"/>
  <c r="EQ27" i="2" s="1"/>
  <c r="ER27" i="2" s="1"/>
  <c r="ES27" i="2" s="1"/>
  <c r="ET27" i="2" s="1"/>
  <c r="EU27" i="2" s="1"/>
  <c r="EV27" i="2" s="1"/>
  <c r="EW27" i="2" s="1"/>
  <c r="EX27" i="2" s="1"/>
  <c r="EY27" i="2" s="1"/>
  <c r="EZ27" i="2" s="1"/>
  <c r="FA27" i="2" s="1"/>
  <c r="FB27" i="2" s="1"/>
  <c r="FC27" i="2" s="1"/>
  <c r="FD27" i="2" s="1"/>
  <c r="FE27" i="2" s="1"/>
  <c r="FF27" i="2" s="1"/>
  <c r="FG27" i="2" s="1"/>
  <c r="FH27" i="2" s="1"/>
  <c r="FI27" i="2" s="1"/>
  <c r="FJ27" i="2" s="1"/>
  <c r="FK27" i="2" s="1"/>
  <c r="FL27" i="2" s="1"/>
  <c r="FM27" i="2" s="1"/>
  <c r="FN27" i="2" s="1"/>
  <c r="FO27" i="2" s="1"/>
  <c r="FP27" i="2" s="1"/>
  <c r="FQ27" i="2" s="1"/>
  <c r="FR27" i="2" s="1"/>
  <c r="FS27" i="2" s="1"/>
  <c r="FT27" i="2" s="1"/>
  <c r="FU27" i="2" s="1"/>
  <c r="FV27" i="2" s="1"/>
  <c r="FW27" i="2" s="1"/>
  <c r="FX27" i="2" s="1"/>
  <c r="FY27" i="2" s="1"/>
  <c r="FZ27" i="2" s="1"/>
  <c r="GA27" i="2" s="1"/>
  <c r="GB27" i="2" s="1"/>
  <c r="GC27" i="2" s="1"/>
  <c r="GD27" i="2" s="1"/>
  <c r="GE27" i="2" s="1"/>
  <c r="GF27" i="2" s="1"/>
  <c r="GG27" i="2" s="1"/>
  <c r="GH27" i="2" s="1"/>
  <c r="GI27" i="2" s="1"/>
  <c r="GJ27" i="2" s="1"/>
  <c r="GK27" i="2" s="1"/>
  <c r="GL27" i="2" s="1"/>
  <c r="GM27" i="2" s="1"/>
  <c r="GN27" i="2" s="1"/>
  <c r="GO27" i="2" s="1"/>
  <c r="GP27" i="2" s="1"/>
  <c r="GQ27" i="2" s="1"/>
  <c r="GR27" i="2" s="1"/>
  <c r="GS27" i="2" s="1"/>
  <c r="GT27" i="2" s="1"/>
  <c r="GU27" i="2" s="1"/>
  <c r="GV27" i="2" s="1"/>
  <c r="GW27" i="2" s="1"/>
  <c r="GX27" i="2" s="1"/>
  <c r="GY27" i="2" s="1"/>
  <c r="GZ27" i="2" s="1"/>
  <c r="HA27" i="2" s="1"/>
  <c r="HB27" i="2" s="1"/>
  <c r="HC27" i="2" s="1"/>
  <c r="HD27" i="2" s="1"/>
  <c r="HE27" i="2" s="1"/>
  <c r="HF27" i="2" s="1"/>
  <c r="HG27" i="2" s="1"/>
  <c r="HH27" i="2" s="1"/>
  <c r="HI27" i="2" s="1"/>
  <c r="HJ27" i="2" s="1"/>
  <c r="AC42" i="2" l="1"/>
  <c r="AC29" i="2"/>
  <c r="AJ39" i="2"/>
  <c r="AJ41" i="2" s="1"/>
  <c r="AJ42" i="2" s="1"/>
  <c r="AJ4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tc={842824FC-659D-41F2-B305-29C8B3BDD7BA}</author>
  </authors>
  <commentList>
    <comment ref="V2" authorId="0" shapeId="0" xr:uid="{842824FC-659D-41F2-B305-29C8B3BDD7BA}">
      <text>
        <t>[Threaded comment]
Your version of Excel allows you to read this threaded comment; however, any edits to it will get removed if the file is opened in a newer version of Excel. Learn more: https://go.microsoft.com/fwlink/?linkid=870924
Comment:
    Only 2Q21-4Q21</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<sst xmlns="http://schemas.openxmlformats.org/spreadsheetml/2006/main" count="87" uniqueCount="83">
  <si>
    <t>Company</t>
  </si>
  <si>
    <t>Source</t>
  </si>
  <si>
    <t>Price</t>
  </si>
  <si>
    <t>Shares</t>
  </si>
  <si>
    <t>2Q22</t>
  </si>
  <si>
    <t>Market Cap</t>
  </si>
  <si>
    <t>Cash</t>
  </si>
  <si>
    <t>Debt</t>
  </si>
  <si>
    <t>EV</t>
  </si>
  <si>
    <t>3Q22</t>
  </si>
  <si>
    <t>R&amp;D</t>
  </si>
  <si>
    <t>S&amp;M</t>
  </si>
  <si>
    <t>G&amp;A</t>
  </si>
  <si>
    <t>Opex</t>
  </si>
  <si>
    <t>Other Income/(Loss)</t>
  </si>
  <si>
    <t>Pretax Income</t>
  </si>
  <si>
    <t>Taxes</t>
  </si>
  <si>
    <t>Net Income</t>
  </si>
  <si>
    <t>Shares Outstanding</t>
  </si>
  <si>
    <t>EPS</t>
  </si>
  <si>
    <t>Cost of Revenue</t>
  </si>
  <si>
    <t>Gross Profit</t>
  </si>
  <si>
    <t>Operating Income</t>
  </si>
  <si>
    <t>2Q21</t>
  </si>
  <si>
    <t>3Q21</t>
  </si>
  <si>
    <t>4Q21</t>
  </si>
  <si>
    <t>1Q22</t>
  </si>
  <si>
    <t>4Q22</t>
  </si>
  <si>
    <t>DAUS</t>
  </si>
  <si>
    <t>Paid Subs</t>
  </si>
  <si>
    <t>Equity</t>
  </si>
  <si>
    <t>D+E</t>
  </si>
  <si>
    <t>Wdebt</t>
  </si>
  <si>
    <t>Wequity</t>
  </si>
  <si>
    <t>Tax rate</t>
  </si>
  <si>
    <t>Interest expense</t>
  </si>
  <si>
    <t>Cost of debt</t>
  </si>
  <si>
    <t>Risk-free rate</t>
  </si>
  <si>
    <t>Beta</t>
  </si>
  <si>
    <t>Market return</t>
  </si>
  <si>
    <t>Cost of equity</t>
  </si>
  <si>
    <t>WACC</t>
  </si>
  <si>
    <t>DAUs Y/Y</t>
  </si>
  <si>
    <t>Paid Subs Y/Y</t>
  </si>
  <si>
    <t>Revenue Y/Y</t>
  </si>
  <si>
    <t>GP Y/Y</t>
  </si>
  <si>
    <t>Opex Y/Y</t>
  </si>
  <si>
    <t>OI Y/Y</t>
  </si>
  <si>
    <t>Net Income Y/Y</t>
  </si>
  <si>
    <t>Shares Y/Y</t>
  </si>
  <si>
    <t>Gross Margin</t>
  </si>
  <si>
    <t>Operating Margin</t>
  </si>
  <si>
    <t>Tax Rate</t>
  </si>
  <si>
    <t>1Q23</t>
  </si>
  <si>
    <t>2Q23</t>
  </si>
  <si>
    <t>3Q23</t>
  </si>
  <si>
    <t>4Q23</t>
  </si>
  <si>
    <t>1Q24</t>
  </si>
  <si>
    <t>2Q24</t>
  </si>
  <si>
    <t>3Q24</t>
  </si>
  <si>
    <t>4Q24</t>
  </si>
  <si>
    <t>MAUs</t>
  </si>
  <si>
    <t>MAUs Y/Y</t>
  </si>
  <si>
    <t>Interest Income</t>
  </si>
  <si>
    <t>5yr tbond</t>
  </si>
  <si>
    <t>Maturity</t>
  </si>
  <si>
    <t>Discount (WACC)</t>
  </si>
  <si>
    <t>NPV</t>
  </si>
  <si>
    <t>Net Cash</t>
  </si>
  <si>
    <t>Total Value</t>
  </si>
  <si>
    <t>Model Price</t>
  </si>
  <si>
    <t>Current Price</t>
  </si>
  <si>
    <t>Difference</t>
  </si>
  <si>
    <t>Cost of Revenue Y/Y</t>
  </si>
  <si>
    <t>Subscription Revenue</t>
  </si>
  <si>
    <t>Ad Revenue</t>
  </si>
  <si>
    <t>Duolingo English Test</t>
  </si>
  <si>
    <t>Total Revenue</t>
  </si>
  <si>
    <t>In-App Purchases/Other Revenue</t>
  </si>
  <si>
    <t>Subscription Revenue Y/Y</t>
  </si>
  <si>
    <t>Ad Revenue Y/Y</t>
  </si>
  <si>
    <t>Duolingo English Test Y/Y</t>
  </si>
  <si>
    <t>In-App Purchases/Other Revenue 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</si>
</sst>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xf numFmtId="14" fontId="1" fillId="0" borderId="0" xfId="0" applyNumberFormat="1" applyFont="1"/>
    <xf numFmtId="9" fontId="1" fillId="0" borderId="0" xfId="1" applyFont="1"/>
    <xf numFmtId="4" fontId="1" fillId="0" borderId="0" xfId="0" applyNumberFormat="1" applyFont="1"/>
    <xf numFmtId="3" fontId="2" fillId="0" borderId="0" xfId="0" applyNumberFormat="1" applyFont="1"/>
    <xf numFmtId="9" fontId="2" fillId="0" borderId="0" xfId="0" applyNumberFormat="1" applyFont="1"/>
    <xf numFmtId="9" fontId="2" fillId="0" borderId="0" xfId="0" applyNumberFormat="1" applyFont="1" applyAlignment="1">
      <alignment horizontal="right"/>
    </xf>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24</xdr:col>
      <xdr:colOff>59690</xdr:colOff>
      <xdr:row>0</xdr:row>
      <xdr:rowOff>62865</xdr:rowOff>
    </xdr:from>
    <xdr:to>
      <xdr:col>24</xdr:col>
      <xdr:colOff>95765</xdr:colOff>
      <xdr:row>47</xdr:row>
      <xdr:rowOff>114300</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16318865" y="62865"/>
          <a:ext cx="36075" cy="81095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26670</xdr:colOff>
      <xdr:row>0</xdr:row>
      <xdr:rowOff>129540</xdr:rowOff>
    </xdr:from>
    <xdr:to>
      <xdr:col>13</xdr:col>
      <xdr:colOff>26670</xdr:colOff>
      <xdr:row>48</xdr:row>
      <xdr:rowOff>133350</xdr:rowOff>
    </xdr:to>
    <xdr:cxnSp macro="">
      <xdr:nvCxnSpPr>
        <xdr:cNvPr id="5" name="Straight Connector 4">
          <a:extLst>
            <a:ext uri="{FF2B5EF4-FFF2-40B4-BE49-F238E27FC236}">
              <a16:creationId xmlns:a16="http://schemas.microsoft.com/office/drawing/2014/main" id="{733CBA92-6818-686D-C09B-F75420A9B914}"/>
            </a:ext>
          </a:extLst>
        </xdr:cNvPr>
        <xdr:cNvCxnSpPr/>
      </xdr:nvCxnSpPr>
      <xdr:spPr>
        <a:xfrm>
          <a:off x="9685020" y="129540"/>
          <a:ext cx="0" cy="82334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Dashboard.xlsx" TargetMode="External"/><Relationship Id="rId1" Type="http://schemas.openxmlformats.org/officeDocument/2006/relationships/externalLinkPath" Target="0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4.2999999999999997E-2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Bill Sheldon" id="{177FFDFF-63E0-4B9B-940B-78D58D1ACD3A}"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en-US</v>
    <v>c2mtim</v>
    <v>268435456</v>
    <v>1</v>
    <v>Powered by Refinitiv</v>
    <v>0</v>
    <v>DUOLINGO, INC. (XNAS:DUOL)</v>
    <v>2</v>
    <v>3</v>
    <v>Finance</v>
    <v>4</v>
    <v>245.8699</v>
    <v>114.1101</v>
    <v>1.214</v>
    <v>9.11</v>
    <v>1.5047E-2</v>
    <v>4.2664000000000001E-2</v>
    <v>3.35</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720</v>
    <v>Nasdaq Stock Market</v>
    <v>XNAS</v>
    <v>XNAS</v>
    <v>5900 PENN AVE, SECOND FLOOR, PITTSBURGH, PA, 15206 US</v>
    <v>225.96</v>
    <v>Software &amp; IT Services</v>
    <v>Stock</v>
    <v>45362.997003541408</v>
    <v>0</v>
    <v>215.91</v>
    <v>9545874791</v>
    <v>DUOLINGO, INC.</v>
    <v>DUOLINGO, INC.</v>
    <v>218.88</v>
    <v>638.54669999999999</v>
    <v>213.53</v>
    <v>222.64</v>
    <v>225.99</v>
    <v>42875830</v>
    <v>DUOL</v>
    <v>DUOLINGO, INC. (XNAS:DUOL)</v>
    <v>683337</v>
    <v>806454</v>
    <v>2011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2" dT="2024-03-03T08:23:22.23" personId="{177FFDFF-63E0-4B9B-940B-78D58D1ACD3A}" id="{842824FC-659D-41F2-B305-29C8B3BDD7BA}">
    <text>Only 2Q21-4Q21</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workbookViewId="0">
      <selection activeCell="F11" sqref="F11"/>
    </sheetView>
  </sheetViews>
  <sheetFormatPr defaultRowHeight="14.4" x14ac:dyDescent="0.3"/>
  <cols>
    <col min="2" max="2" width="11" bestFit="1" customWidth="1"/>
    <col min="3" max="3" width="33.5546875" customWidth="1"/>
    <col min="4" max="4" width="7.109375" bestFit="1" customWidth="1"/>
  </cols>
  <sheetData>
    <row r="4" spans="2:4" x14ac:dyDescent="0.3">
      <c r="B4" s="1" t="s">
        <v>0</v>
      </c>
      <c r="C4" s="2" t="e" vm="1">
        <v>#VALUE!</v>
      </c>
      <c r="D4" s="3" t="s">
        <v>1</v>
      </c>
    </row>
    <row r="5" spans="2:4" x14ac:dyDescent="0.3">
      <c r="B5" s="4" t="s">
        <v>2</v>
      </c>
      <c r="C5" s="5" cm="1">
        <f t="array" ref="C5">_FV(C4,"Price")</f>
        <v>222.64</v>
      </c>
      <c r="D5" s="6"/>
    </row>
    <row r="6" spans="2:4" x14ac:dyDescent="0.3">
      <c r="B6" s="4" t="s">
        <v>3</v>
      </c>
      <c r="C6" s="7">
        <v>49</v>
      </c>
      <c r="D6" s="8" t="s">
        <v>56</v>
      </c>
    </row>
    <row r="7" spans="2:4" x14ac:dyDescent="0.3">
      <c r="B7" s="4" t="s">
        <v>5</v>
      </c>
      <c r="C7" s="7">
        <f>C5*C6</f>
        <v>10909.359999999999</v>
      </c>
      <c r="D7" s="8"/>
    </row>
    <row r="8" spans="2:4" x14ac:dyDescent="0.3">
      <c r="B8" s="4" t="s">
        <v>6</v>
      </c>
      <c r="C8" s="7">
        <v>747.61</v>
      </c>
      <c r="D8" s="8" t="s">
        <v>56</v>
      </c>
    </row>
    <row r="9" spans="2:4" x14ac:dyDescent="0.3">
      <c r="B9" s="4" t="s">
        <v>7</v>
      </c>
      <c r="C9" s="7">
        <v>0</v>
      </c>
      <c r="D9" s="8" t="s">
        <v>56</v>
      </c>
    </row>
    <row r="10" spans="2:4" x14ac:dyDescent="0.3">
      <c r="B10" s="9" t="s">
        <v>8</v>
      </c>
      <c r="C10" s="10">
        <f>C7-C8+C9</f>
        <v>10161.749999999998</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HJ46"/>
  <sheetViews>
    <sheetView tabSelected="1" workbookViewId="0">
      <pane xSplit="2" ySplit="2" topLeftCell="N12" activePane="bottomRight" state="frozen"/>
      <selection pane="topRight" activeCell="C1" sqref="C1"/>
      <selection pane="bottomLeft" activeCell="A3" sqref="A3"/>
      <selection pane="bottomRight" activeCell="M3" sqref="M3"/>
    </sheetView>
  </sheetViews>
  <sheetFormatPr defaultColWidth="8.77734375" defaultRowHeight="13.8" x14ac:dyDescent="0.25"/>
  <cols>
    <col min="1" max="1" width="8.77734375" style="12"/>
    <col min="2" max="2" width="35.77734375" style="12" bestFit="1" customWidth="1"/>
    <col min="3" max="8" width="8.77734375" style="13"/>
    <col min="9" max="34" width="8.77734375" style="7"/>
    <col min="35" max="35" width="17.6640625" style="7" bestFit="1" customWidth="1"/>
    <col min="36" max="16384" width="8.77734375" style="7"/>
  </cols>
  <sheetData>
    <row r="1" spans="1:29" s="13" customFormat="1" x14ac:dyDescent="0.25">
      <c r="A1" s="12"/>
      <c r="B1" s="12"/>
    </row>
    <row r="2" spans="1:29" s="13" customFormat="1" x14ac:dyDescent="0.25">
      <c r="A2" s="12"/>
      <c r="B2" s="12"/>
      <c r="C2" s="13" t="s">
        <v>23</v>
      </c>
      <c r="D2" s="13" t="s">
        <v>24</v>
      </c>
      <c r="E2" s="13" t="s">
        <v>25</v>
      </c>
      <c r="F2" s="13" t="s">
        <v>26</v>
      </c>
      <c r="G2" s="13" t="s">
        <v>4</v>
      </c>
      <c r="H2" s="13" t="s">
        <v>9</v>
      </c>
      <c r="I2" s="13" t="s">
        <v>27</v>
      </c>
      <c r="J2" s="13" t="s">
        <v>53</v>
      </c>
      <c r="K2" s="13" t="s">
        <v>54</v>
      </c>
      <c r="L2" s="13" t="s">
        <v>55</v>
      </c>
      <c r="M2" s="13" t="s">
        <v>56</v>
      </c>
      <c r="N2" s="13" t="s">
        <v>57</v>
      </c>
      <c r="O2" s="13" t="s">
        <v>58</v>
      </c>
      <c r="P2" s="13" t="s">
        <v>59</v>
      </c>
      <c r="Q2" s="13" t="s">
        <v>60</v>
      </c>
      <c r="V2" s="16">
        <v>2021</v>
      </c>
      <c r="W2" s="16">
        <v>2022</v>
      </c>
      <c r="X2" s="16">
        <v>2023</v>
      </c>
      <c r="Y2" s="16">
        <v>2024</v>
      </c>
      <c r="Z2" s="16">
        <v>2025</v>
      </c>
      <c r="AA2" s="16">
        <v>2026</v>
      </c>
      <c r="AB2" s="16">
        <v>2027</v>
      </c>
      <c r="AC2" s="16">
        <v>2028</v>
      </c>
    </row>
    <row r="3" spans="1:29" x14ac:dyDescent="0.25">
      <c r="B3" s="12" t="s">
        <v>61</v>
      </c>
      <c r="C3" s="7">
        <v>37.9</v>
      </c>
      <c r="D3" s="7">
        <v>41.7</v>
      </c>
      <c r="E3" s="7">
        <v>42.4</v>
      </c>
      <c r="F3" s="7">
        <v>49.2</v>
      </c>
      <c r="G3" s="7">
        <v>49.5</v>
      </c>
      <c r="H3" s="7">
        <v>56.5</v>
      </c>
      <c r="I3" s="7">
        <v>60.7</v>
      </c>
      <c r="J3" s="7">
        <v>72.599999999999994</v>
      </c>
      <c r="K3" s="7">
        <v>74</v>
      </c>
      <c r="L3" s="7">
        <v>83.1</v>
      </c>
      <c r="M3" s="7">
        <v>88.4</v>
      </c>
      <c r="V3" s="7">
        <f>E3</f>
        <v>42.4</v>
      </c>
      <c r="W3" s="7">
        <f>I3</f>
        <v>60.7</v>
      </c>
      <c r="X3" s="7">
        <f>M3</f>
        <v>88.4</v>
      </c>
    </row>
    <row r="4" spans="1:29" s="13" customFormat="1" x14ac:dyDescent="0.25">
      <c r="A4" s="12"/>
      <c r="B4" s="12" t="s">
        <v>28</v>
      </c>
      <c r="C4" s="7">
        <v>9.1</v>
      </c>
      <c r="D4" s="7">
        <v>9.8000000000000007</v>
      </c>
      <c r="E4" s="7">
        <v>10.1</v>
      </c>
      <c r="F4" s="7">
        <v>12.5</v>
      </c>
      <c r="G4" s="7">
        <v>13.2</v>
      </c>
      <c r="H4" s="7">
        <v>14.9</v>
      </c>
      <c r="I4" s="7">
        <v>16.3</v>
      </c>
      <c r="J4" s="7">
        <v>20.3</v>
      </c>
      <c r="K4" s="7">
        <v>21.4</v>
      </c>
      <c r="L4" s="7">
        <v>24.2</v>
      </c>
      <c r="M4" s="7">
        <v>26.9</v>
      </c>
      <c r="N4" s="7"/>
      <c r="O4" s="7"/>
      <c r="P4" s="7"/>
      <c r="Q4" s="7"/>
      <c r="V4" s="7">
        <f>E4</f>
        <v>10.1</v>
      </c>
      <c r="W4" s="7">
        <f>I4</f>
        <v>16.3</v>
      </c>
      <c r="X4" s="7">
        <f>M4</f>
        <v>26.9</v>
      </c>
      <c r="Y4" s="16"/>
      <c r="Z4" s="16"/>
      <c r="AA4" s="16"/>
      <c r="AB4" s="16"/>
      <c r="AC4" s="16"/>
    </row>
    <row r="5" spans="1:29" s="13" customFormat="1" x14ac:dyDescent="0.25">
      <c r="A5" s="12"/>
      <c r="B5" s="12" t="s">
        <v>29</v>
      </c>
      <c r="C5" s="7">
        <v>1.9</v>
      </c>
      <c r="D5" s="7">
        <v>2.2000000000000002</v>
      </c>
      <c r="E5" s="7">
        <v>2.5</v>
      </c>
      <c r="F5" s="7">
        <v>2.9</v>
      </c>
      <c r="G5" s="7">
        <v>3.3</v>
      </c>
      <c r="H5" s="7">
        <v>3.7</v>
      </c>
      <c r="I5" s="7">
        <v>4.2</v>
      </c>
      <c r="J5" s="7">
        <v>4.8</v>
      </c>
      <c r="K5" s="7">
        <v>5.2</v>
      </c>
      <c r="L5" s="7">
        <v>5.8</v>
      </c>
      <c r="M5" s="7">
        <v>6.6</v>
      </c>
      <c r="N5" s="7"/>
      <c r="O5" s="7"/>
      <c r="P5" s="7"/>
      <c r="Q5" s="7"/>
      <c r="V5" s="7">
        <f>E5</f>
        <v>2.5</v>
      </c>
      <c r="W5" s="7">
        <f>I5</f>
        <v>4.2</v>
      </c>
      <c r="X5" s="7">
        <f>M5</f>
        <v>6.6</v>
      </c>
      <c r="Y5" s="16"/>
      <c r="Z5" s="16"/>
      <c r="AA5" s="16"/>
      <c r="AB5" s="16"/>
      <c r="AC5" s="16"/>
    </row>
    <row r="6" spans="1:29" s="13" customFormat="1" x14ac:dyDescent="0.25">
      <c r="A6" s="12"/>
      <c r="B6" s="12"/>
      <c r="C6" s="7"/>
      <c r="D6" s="7"/>
      <c r="E6" s="7"/>
      <c r="F6" s="7"/>
      <c r="G6" s="7"/>
      <c r="H6" s="7"/>
      <c r="I6" s="7"/>
      <c r="J6" s="7"/>
      <c r="K6" s="7"/>
      <c r="L6" s="7"/>
      <c r="M6" s="7"/>
      <c r="N6" s="7"/>
      <c r="O6" s="7"/>
      <c r="P6" s="7"/>
      <c r="Q6" s="7"/>
      <c r="V6" s="7"/>
      <c r="W6" s="16"/>
      <c r="X6" s="16"/>
      <c r="Y6" s="16"/>
      <c r="Z6" s="16"/>
      <c r="AA6" s="16"/>
      <c r="AB6" s="16"/>
      <c r="AC6" s="16"/>
    </row>
    <row r="7" spans="1:29" s="13" customFormat="1" x14ac:dyDescent="0.25">
      <c r="A7" s="12"/>
      <c r="B7" s="12" t="s">
        <v>62</v>
      </c>
      <c r="C7" s="24"/>
      <c r="D7" s="24"/>
      <c r="E7" s="24"/>
      <c r="F7" s="24"/>
      <c r="G7" s="24">
        <f t="shared" ref="G7:H7" si="0">G3/C3-1</f>
        <v>0.30606860158311355</v>
      </c>
      <c r="H7" s="24">
        <f t="shared" si="0"/>
        <v>0.35491606714628299</v>
      </c>
      <c r="I7" s="24">
        <f>I3/E3-1</f>
        <v>0.43160377358490587</v>
      </c>
      <c r="J7" s="24">
        <f t="shared" ref="J7:Q7" si="1">J3/F3-1</f>
        <v>0.47560975609756073</v>
      </c>
      <c r="K7" s="24">
        <f t="shared" si="1"/>
        <v>0.49494949494949503</v>
      </c>
      <c r="L7" s="24">
        <f t="shared" si="1"/>
        <v>0.47079646017699095</v>
      </c>
      <c r="M7" s="24">
        <f t="shared" si="1"/>
        <v>0.45634266886326191</v>
      </c>
      <c r="N7" s="24">
        <f t="shared" si="1"/>
        <v>-1</v>
      </c>
      <c r="O7" s="24">
        <f t="shared" si="1"/>
        <v>-1</v>
      </c>
      <c r="P7" s="24">
        <f t="shared" si="1"/>
        <v>-1</v>
      </c>
      <c r="Q7" s="24">
        <f t="shared" si="1"/>
        <v>-1</v>
      </c>
      <c r="V7" s="24"/>
      <c r="W7" s="24">
        <f t="shared" ref="W7:AC7" si="2">W3/V3-1</f>
        <v>0.43160377358490587</v>
      </c>
      <c r="X7" s="24">
        <f t="shared" si="2"/>
        <v>0.45634266886326191</v>
      </c>
      <c r="Y7" s="24">
        <f t="shared" si="2"/>
        <v>-1</v>
      </c>
      <c r="Z7" s="24" t="e">
        <f t="shared" si="2"/>
        <v>#DIV/0!</v>
      </c>
      <c r="AA7" s="24" t="e">
        <f t="shared" si="2"/>
        <v>#DIV/0!</v>
      </c>
      <c r="AB7" s="24" t="e">
        <f t="shared" si="2"/>
        <v>#DIV/0!</v>
      </c>
      <c r="AC7" s="24" t="e">
        <f t="shared" si="2"/>
        <v>#DIV/0!</v>
      </c>
    </row>
    <row r="8" spans="1:29" x14ac:dyDescent="0.25">
      <c r="B8" s="12" t="s">
        <v>42</v>
      </c>
      <c r="C8" s="24"/>
      <c r="D8" s="24"/>
      <c r="E8" s="24"/>
      <c r="F8" s="24"/>
      <c r="G8" s="24">
        <f t="shared" ref="G8:H9" si="3">G4/C4-1</f>
        <v>0.4505494505494505</v>
      </c>
      <c r="H8" s="24">
        <f t="shared" si="3"/>
        <v>0.52040816326530615</v>
      </c>
      <c r="I8" s="24">
        <f>I4/E4-1</f>
        <v>0.61386138613861396</v>
      </c>
      <c r="J8" s="24">
        <f t="shared" ref="J8:Q8" si="4">J4/F4-1</f>
        <v>0.62400000000000011</v>
      </c>
      <c r="K8" s="24">
        <f t="shared" si="4"/>
        <v>0.6212121212121211</v>
      </c>
      <c r="L8" s="24">
        <f t="shared" si="4"/>
        <v>0.62416107382550323</v>
      </c>
      <c r="M8" s="24">
        <f t="shared" si="4"/>
        <v>0.65030674846625747</v>
      </c>
      <c r="N8" s="24">
        <f t="shared" si="4"/>
        <v>-1</v>
      </c>
      <c r="O8" s="24">
        <f t="shared" si="4"/>
        <v>-1</v>
      </c>
      <c r="P8" s="24">
        <f t="shared" si="4"/>
        <v>-1</v>
      </c>
      <c r="Q8" s="24">
        <f t="shared" si="4"/>
        <v>-1</v>
      </c>
      <c r="S8" s="13"/>
      <c r="V8" s="24"/>
      <c r="W8" s="24">
        <f t="shared" ref="W8:AC8" si="5">W4/V4-1</f>
        <v>0.61386138613861396</v>
      </c>
      <c r="X8" s="24">
        <f t="shared" si="5"/>
        <v>0.65030674846625747</v>
      </c>
      <c r="Y8" s="24">
        <f t="shared" si="5"/>
        <v>-1</v>
      </c>
      <c r="Z8" s="24" t="e">
        <f t="shared" si="5"/>
        <v>#DIV/0!</v>
      </c>
      <c r="AA8" s="24" t="e">
        <f t="shared" si="5"/>
        <v>#DIV/0!</v>
      </c>
      <c r="AB8" s="24" t="e">
        <f t="shared" si="5"/>
        <v>#DIV/0!</v>
      </c>
      <c r="AC8" s="24" t="e">
        <f t="shared" si="5"/>
        <v>#DIV/0!</v>
      </c>
    </row>
    <row r="9" spans="1:29" x14ac:dyDescent="0.25">
      <c r="B9" s="12" t="s">
        <v>43</v>
      </c>
      <c r="C9" s="24"/>
      <c r="D9" s="24"/>
      <c r="E9" s="24"/>
      <c r="F9" s="24"/>
      <c r="G9" s="24">
        <f t="shared" si="3"/>
        <v>0.73684210526315796</v>
      </c>
      <c r="H9" s="24">
        <f t="shared" si="3"/>
        <v>0.68181818181818166</v>
      </c>
      <c r="I9" s="24">
        <f>I5/E5-1</f>
        <v>0.68000000000000016</v>
      </c>
      <c r="J9" s="24">
        <f t="shared" ref="J9:Q9" si="6">J5/F5-1</f>
        <v>0.65517241379310343</v>
      </c>
      <c r="K9" s="24">
        <f t="shared" si="6"/>
        <v>0.57575757575757591</v>
      </c>
      <c r="L9" s="24">
        <f t="shared" si="6"/>
        <v>0.56756756756756754</v>
      </c>
      <c r="M9" s="24">
        <f t="shared" si="6"/>
        <v>0.57142857142857117</v>
      </c>
      <c r="N9" s="24">
        <f t="shared" si="6"/>
        <v>-1</v>
      </c>
      <c r="O9" s="24">
        <f t="shared" si="6"/>
        <v>-1</v>
      </c>
      <c r="P9" s="24">
        <f t="shared" si="6"/>
        <v>-1</v>
      </c>
      <c r="Q9" s="24">
        <f t="shared" si="6"/>
        <v>-1</v>
      </c>
      <c r="V9" s="24"/>
      <c r="W9" s="24">
        <f t="shared" ref="W9:AC9" si="7">W5/V5-1</f>
        <v>0.68000000000000016</v>
      </c>
      <c r="X9" s="24">
        <f t="shared" si="7"/>
        <v>0.57142857142857117</v>
      </c>
      <c r="Y9" s="24">
        <f t="shared" si="7"/>
        <v>-1</v>
      </c>
      <c r="Z9" s="24" t="e">
        <f t="shared" si="7"/>
        <v>#DIV/0!</v>
      </c>
      <c r="AA9" s="24" t="e">
        <f t="shared" si="7"/>
        <v>#DIV/0!</v>
      </c>
      <c r="AB9" s="24" t="e">
        <f t="shared" si="7"/>
        <v>#DIV/0!</v>
      </c>
      <c r="AC9" s="24" t="e">
        <f t="shared" si="7"/>
        <v>#DIV/0!</v>
      </c>
    </row>
    <row r="10" spans="1:29" x14ac:dyDescent="0.25">
      <c r="C10" s="24"/>
      <c r="D10" s="24"/>
      <c r="E10" s="24"/>
      <c r="F10" s="24"/>
      <c r="G10" s="24"/>
      <c r="H10" s="24"/>
    </row>
    <row r="11" spans="1:29" x14ac:dyDescent="0.25">
      <c r="B11" s="12" t="s">
        <v>74</v>
      </c>
      <c r="C11" s="7">
        <v>43.502000000000002</v>
      </c>
      <c r="D11" s="7">
        <v>46.03</v>
      </c>
      <c r="E11" s="7">
        <v>51.110999999999997</v>
      </c>
      <c r="F11" s="7">
        <v>58.01</v>
      </c>
      <c r="G11" s="7">
        <v>65.194000000000003</v>
      </c>
      <c r="H11" s="7">
        <v>72.171999999999997</v>
      </c>
      <c r="I11" s="7">
        <v>78.131</v>
      </c>
      <c r="J11" s="7">
        <v>86.185000000000002</v>
      </c>
      <c r="K11" s="7">
        <v>95.158000000000001</v>
      </c>
      <c r="L11" s="7">
        <v>105.887</v>
      </c>
      <c r="M11" s="7">
        <v>117.45399999999999</v>
      </c>
      <c r="N11" s="7">
        <f>J11*1.4</f>
        <v>120.65899999999999</v>
      </c>
      <c r="O11" s="7">
        <f t="shared" ref="O11:Q11" si="8">K11*1.4</f>
        <v>133.22119999999998</v>
      </c>
      <c r="P11" s="7">
        <f t="shared" si="8"/>
        <v>148.24179999999998</v>
      </c>
      <c r="Q11" s="7">
        <f t="shared" si="8"/>
        <v>164.43559999999999</v>
      </c>
      <c r="V11" s="7">
        <f>SUM(C11:E11)</f>
        <v>140.643</v>
      </c>
      <c r="W11" s="7">
        <f>SUM(F11:I11)</f>
        <v>273.50700000000001</v>
      </c>
      <c r="X11" s="7">
        <f>SUM(J11:M11)</f>
        <v>404.68400000000003</v>
      </c>
      <c r="Y11" s="7">
        <f>SUM(N11:Q11)</f>
        <v>566.55759999999998</v>
      </c>
      <c r="Z11" s="7">
        <f>Y11*1.29</f>
        <v>730.85930399999995</v>
      </c>
      <c r="AA11" s="7">
        <f>Z11*1.32</f>
        <v>964.73428128</v>
      </c>
      <c r="AB11" s="7">
        <f t="shared" ref="AB11:AC11" si="9">AA11*1.4</f>
        <v>1350.6279937919999</v>
      </c>
      <c r="AC11" s="7">
        <f t="shared" si="9"/>
        <v>1890.8791913087996</v>
      </c>
    </row>
    <row r="12" spans="1:29" x14ac:dyDescent="0.25">
      <c r="B12" s="12" t="s">
        <v>75</v>
      </c>
      <c r="C12" s="7">
        <v>9.0559999999999992</v>
      </c>
      <c r="D12" s="7">
        <v>9.0289999999999999</v>
      </c>
      <c r="E12" s="7">
        <v>11.141</v>
      </c>
      <c r="F12" s="7">
        <v>11.747999999999999</v>
      </c>
      <c r="G12" s="7">
        <v>11.218</v>
      </c>
      <c r="H12" s="7">
        <v>10.619</v>
      </c>
      <c r="I12" s="7">
        <v>11.146000000000001</v>
      </c>
      <c r="J12" s="7">
        <v>11.635</v>
      </c>
      <c r="K12" s="7">
        <v>13.061</v>
      </c>
      <c r="L12" s="7">
        <v>11.678000000000001</v>
      </c>
      <c r="M12" s="7">
        <v>13.484</v>
      </c>
      <c r="N12" s="7">
        <f>J12*1.15</f>
        <v>13.380249999999998</v>
      </c>
      <c r="O12" s="7">
        <f t="shared" ref="O12:Q12" si="10">K12*1.15</f>
        <v>15.020149999999999</v>
      </c>
      <c r="P12" s="7">
        <f t="shared" si="10"/>
        <v>13.4297</v>
      </c>
      <c r="Q12" s="7">
        <f t="shared" si="10"/>
        <v>15.506599999999999</v>
      </c>
      <c r="V12" s="7">
        <f t="shared" ref="V12:V14" si="11">SUM(C12:E12)</f>
        <v>29.225999999999999</v>
      </c>
      <c r="W12" s="7">
        <f t="shared" ref="W12:W14" si="12">SUM(F12:I12)</f>
        <v>44.731000000000002</v>
      </c>
      <c r="X12" s="7">
        <f t="shared" ref="X12:X14" si="13">SUM(J12:M12)</f>
        <v>49.857999999999997</v>
      </c>
      <c r="Y12" s="7">
        <f t="shared" ref="Y12:Y14" si="14">SUM(N12:Q12)</f>
        <v>57.3367</v>
      </c>
      <c r="Z12" s="7">
        <f>Y12*1.1</f>
        <v>63.070370000000004</v>
      </c>
      <c r="AA12" s="7">
        <f>Z12*1.1</f>
        <v>69.377407000000005</v>
      </c>
      <c r="AB12" s="7">
        <f t="shared" ref="AB12:AC12" si="15">AA12*1.1</f>
        <v>76.315147700000011</v>
      </c>
      <c r="AC12" s="7">
        <f t="shared" si="15"/>
        <v>83.946662470000021</v>
      </c>
    </row>
    <row r="13" spans="1:29" x14ac:dyDescent="0.25">
      <c r="B13" s="12" t="s">
        <v>76</v>
      </c>
      <c r="C13" s="7">
        <v>4.8330000000000002</v>
      </c>
      <c r="D13" s="7">
        <v>6.6950000000000003</v>
      </c>
      <c r="E13" s="7">
        <v>8.0950000000000006</v>
      </c>
      <c r="F13" s="7">
        <v>8.08</v>
      </c>
      <c r="G13" s="7">
        <v>8.0359999999999996</v>
      </c>
      <c r="H13" s="7">
        <v>8.1920000000000002</v>
      </c>
      <c r="I13" s="7">
        <v>8.41</v>
      </c>
      <c r="J13" s="7">
        <v>9.9719999999999995</v>
      </c>
      <c r="K13" s="7">
        <v>9.8089999999999993</v>
      </c>
      <c r="L13" s="7">
        <v>10.612</v>
      </c>
      <c r="M13" s="7">
        <v>10.819000000000001</v>
      </c>
      <c r="N13" s="7">
        <f>J13*1.2</f>
        <v>11.966399999999998</v>
      </c>
      <c r="O13" s="7">
        <f t="shared" ref="O13:Q13" si="16">K13*1.2</f>
        <v>11.770799999999999</v>
      </c>
      <c r="P13" s="7">
        <f t="shared" si="16"/>
        <v>12.734399999999999</v>
      </c>
      <c r="Q13" s="7">
        <f t="shared" si="16"/>
        <v>12.982800000000001</v>
      </c>
      <c r="V13" s="7">
        <f t="shared" si="11"/>
        <v>19.623000000000001</v>
      </c>
      <c r="W13" s="7">
        <f t="shared" si="12"/>
        <v>32.718000000000004</v>
      </c>
      <c r="X13" s="7">
        <f t="shared" si="13"/>
        <v>41.212000000000003</v>
      </c>
      <c r="Y13" s="7">
        <f t="shared" si="14"/>
        <v>49.454399999999993</v>
      </c>
      <c r="Z13" s="7">
        <f>Y13*1.15</f>
        <v>56.872559999999986</v>
      </c>
      <c r="AA13" s="7">
        <f>Z13*1.2</f>
        <v>68.247071999999974</v>
      </c>
      <c r="AB13" s="7">
        <f t="shared" ref="AB13:AC13" si="17">AA13*1.2</f>
        <v>81.896486399999972</v>
      </c>
      <c r="AC13" s="7">
        <f t="shared" si="17"/>
        <v>98.275783679999961</v>
      </c>
    </row>
    <row r="14" spans="1:29" x14ac:dyDescent="0.25">
      <c r="B14" s="12" t="s">
        <v>78</v>
      </c>
      <c r="C14" s="7">
        <v>1.4119999999999999</v>
      </c>
      <c r="D14" s="7">
        <v>1.841</v>
      </c>
      <c r="E14" s="7">
        <v>2.6669999999999998</v>
      </c>
      <c r="F14" s="7">
        <v>3.3820000000000001</v>
      </c>
      <c r="G14" s="7">
        <v>3.9380000000000002</v>
      </c>
      <c r="H14" s="7">
        <v>5.0819999999999999</v>
      </c>
      <c r="I14" s="7">
        <f>5.855+0.282</f>
        <v>6.1370000000000005</v>
      </c>
      <c r="J14" s="7">
        <v>7.8689999999999998</v>
      </c>
      <c r="K14" s="7">
        <v>8.8109999999999999</v>
      </c>
      <c r="L14" s="7">
        <v>9.4469999999999992</v>
      </c>
      <c r="M14" s="7">
        <f>8.913+0.315</f>
        <v>9.2279999999999998</v>
      </c>
      <c r="N14" s="7">
        <f>J14*1.5</f>
        <v>11.8035</v>
      </c>
      <c r="O14" s="7">
        <f t="shared" ref="O14:Q14" si="18">K14*1.5</f>
        <v>13.2165</v>
      </c>
      <c r="P14" s="7">
        <f t="shared" si="18"/>
        <v>14.170499999999999</v>
      </c>
      <c r="Q14" s="7">
        <f t="shared" si="18"/>
        <v>13.841999999999999</v>
      </c>
      <c r="V14" s="7">
        <f t="shared" si="11"/>
        <v>5.92</v>
      </c>
      <c r="W14" s="7">
        <f t="shared" si="12"/>
        <v>18.539000000000001</v>
      </c>
      <c r="X14" s="7">
        <f t="shared" si="13"/>
        <v>35.354999999999997</v>
      </c>
      <c r="Y14" s="7">
        <f t="shared" si="14"/>
        <v>53.032499999999999</v>
      </c>
      <c r="Z14" s="7">
        <f>Y14*1.4</f>
        <v>74.245499999999993</v>
      </c>
      <c r="AA14" s="7">
        <f>Z14*1.45</f>
        <v>107.65597499999998</v>
      </c>
      <c r="AB14" s="7">
        <f t="shared" ref="AB14:AC14" si="19">AA14*1.45</f>
        <v>156.10116374999998</v>
      </c>
      <c r="AC14" s="7">
        <f t="shared" si="19"/>
        <v>226.34668743749998</v>
      </c>
    </row>
    <row r="15" spans="1:29" s="15" customFormat="1" x14ac:dyDescent="0.25">
      <c r="A15" s="14"/>
      <c r="B15" s="14" t="s">
        <v>77</v>
      </c>
      <c r="C15" s="15">
        <f t="shared" ref="C15:Q15" si="20">SUM(C11:C14)</f>
        <v>58.802999999999997</v>
      </c>
      <c r="D15" s="15">
        <f t="shared" si="20"/>
        <v>63.594999999999999</v>
      </c>
      <c r="E15" s="15">
        <f t="shared" si="20"/>
        <v>73.013999999999996</v>
      </c>
      <c r="F15" s="15">
        <f t="shared" si="20"/>
        <v>81.22</v>
      </c>
      <c r="G15" s="15">
        <f t="shared" si="20"/>
        <v>88.38600000000001</v>
      </c>
      <c r="H15" s="15">
        <f t="shared" si="20"/>
        <v>96.064999999999998</v>
      </c>
      <c r="I15" s="15">
        <f t="shared" si="20"/>
        <v>103.824</v>
      </c>
      <c r="J15" s="15">
        <f t="shared" si="20"/>
        <v>115.661</v>
      </c>
      <c r="K15" s="15">
        <f t="shared" si="20"/>
        <v>126.839</v>
      </c>
      <c r="L15" s="15">
        <f t="shared" si="20"/>
        <v>137.624</v>
      </c>
      <c r="M15" s="15">
        <f t="shared" si="20"/>
        <v>150.98499999999999</v>
      </c>
      <c r="N15" s="15">
        <f t="shared" si="20"/>
        <v>157.80914999999999</v>
      </c>
      <c r="O15" s="15">
        <f t="shared" si="20"/>
        <v>173.22864999999999</v>
      </c>
      <c r="P15" s="15">
        <f t="shared" si="20"/>
        <v>188.57639999999998</v>
      </c>
      <c r="Q15" s="15">
        <f t="shared" si="20"/>
        <v>206.767</v>
      </c>
      <c r="V15" s="15">
        <f t="shared" ref="V15:AC15" si="21">SUM(V11:V14)</f>
        <v>195.41199999999998</v>
      </c>
      <c r="W15" s="15">
        <f t="shared" si="21"/>
        <v>369.495</v>
      </c>
      <c r="X15" s="15">
        <f t="shared" si="21"/>
        <v>531.10900000000004</v>
      </c>
      <c r="Y15" s="15">
        <f t="shared" si="21"/>
        <v>726.38119999999992</v>
      </c>
      <c r="Z15" s="15">
        <f t="shared" si="21"/>
        <v>925.04773399999999</v>
      </c>
      <c r="AA15" s="15">
        <f t="shared" si="21"/>
        <v>1210.0147352799997</v>
      </c>
      <c r="AB15" s="15">
        <f t="shared" si="21"/>
        <v>1664.940791642</v>
      </c>
      <c r="AC15" s="15">
        <f t="shared" si="21"/>
        <v>2299.4483248962997</v>
      </c>
    </row>
    <row r="16" spans="1:29" x14ac:dyDescent="0.25">
      <c r="B16" s="12" t="s">
        <v>20</v>
      </c>
      <c r="C16" s="7">
        <v>16.137</v>
      </c>
      <c r="D16" s="7">
        <v>18.077999999999999</v>
      </c>
      <c r="E16" s="7">
        <v>19.952000000000002</v>
      </c>
      <c r="F16" s="7">
        <v>21.49</v>
      </c>
      <c r="G16" s="7">
        <v>23.869</v>
      </c>
      <c r="H16" s="7">
        <v>26.302</v>
      </c>
      <c r="I16" s="7">
        <v>27.77</v>
      </c>
      <c r="J16" s="7">
        <v>31.492000000000001</v>
      </c>
      <c r="K16" s="7">
        <v>33.787999999999997</v>
      </c>
      <c r="L16" s="7">
        <v>36.253999999999998</v>
      </c>
      <c r="M16" s="7">
        <v>40.570999999999998</v>
      </c>
      <c r="N16" s="7">
        <f>J16*1.4</f>
        <v>44.088799999999999</v>
      </c>
      <c r="O16" s="7">
        <f t="shared" ref="O16:Q16" si="22">K16*1.4</f>
        <v>47.30319999999999</v>
      </c>
      <c r="P16" s="7">
        <f t="shared" si="22"/>
        <v>50.755599999999994</v>
      </c>
      <c r="Q16" s="7">
        <f t="shared" si="22"/>
        <v>56.799399999999991</v>
      </c>
      <c r="V16" s="7">
        <f>SUM(C16:E16)</f>
        <v>54.167000000000002</v>
      </c>
      <c r="W16" s="7">
        <f>SUM(F16:I16)</f>
        <v>99.430999999999997</v>
      </c>
      <c r="X16" s="7">
        <f>SUM(J16:M16)</f>
        <v>142.10499999999999</v>
      </c>
      <c r="Y16" s="7">
        <f>SUM(N16:Q16)</f>
        <v>198.94699999999997</v>
      </c>
      <c r="Z16" s="7">
        <f>Y16*1.35</f>
        <v>268.57844999999998</v>
      </c>
      <c r="AA16" s="7">
        <f>Z16*1.3</f>
        <v>349.15198499999997</v>
      </c>
      <c r="AB16" s="7">
        <f t="shared" ref="AB16:AC16" si="23">AA16*1.3</f>
        <v>453.89758049999995</v>
      </c>
      <c r="AC16" s="7">
        <f t="shared" si="23"/>
        <v>590.06685464999998</v>
      </c>
    </row>
    <row r="17" spans="1:218" s="15" customFormat="1" x14ac:dyDescent="0.25">
      <c r="A17" s="14"/>
      <c r="B17" s="14" t="s">
        <v>21</v>
      </c>
      <c r="C17" s="15">
        <f t="shared" ref="C17:G17" si="24">C15-C16</f>
        <v>42.665999999999997</v>
      </c>
      <c r="D17" s="15">
        <f t="shared" si="24"/>
        <v>45.516999999999996</v>
      </c>
      <c r="E17" s="15">
        <f t="shared" si="24"/>
        <v>53.061999999999998</v>
      </c>
      <c r="F17" s="15">
        <f t="shared" si="24"/>
        <v>59.730000000000004</v>
      </c>
      <c r="G17" s="15">
        <f t="shared" si="24"/>
        <v>64.51700000000001</v>
      </c>
      <c r="H17" s="15">
        <f>H15-H16</f>
        <v>69.763000000000005</v>
      </c>
      <c r="I17" s="15">
        <f>I15-I16</f>
        <v>76.054000000000002</v>
      </c>
      <c r="J17" s="15">
        <f t="shared" ref="J17:Q17" si="25">J15-J16</f>
        <v>84.168999999999997</v>
      </c>
      <c r="K17" s="15">
        <f t="shared" si="25"/>
        <v>93.051000000000002</v>
      </c>
      <c r="L17" s="15">
        <f t="shared" si="25"/>
        <v>101.37</v>
      </c>
      <c r="M17" s="15">
        <f t="shared" si="25"/>
        <v>110.41399999999999</v>
      </c>
      <c r="N17" s="15">
        <f t="shared" si="25"/>
        <v>113.72035</v>
      </c>
      <c r="O17" s="15">
        <f t="shared" si="25"/>
        <v>125.92545</v>
      </c>
      <c r="P17" s="15">
        <f t="shared" si="25"/>
        <v>137.82079999999999</v>
      </c>
      <c r="Q17" s="15">
        <f t="shared" si="25"/>
        <v>149.9676</v>
      </c>
      <c r="V17" s="15">
        <f>V15-V16</f>
        <v>141.24499999999998</v>
      </c>
      <c r="W17" s="15">
        <f t="shared" ref="W17:AC17" si="26">W15-W16</f>
        <v>270.06400000000002</v>
      </c>
      <c r="X17" s="15">
        <f t="shared" si="26"/>
        <v>389.00400000000002</v>
      </c>
      <c r="Y17" s="15">
        <f t="shared" si="26"/>
        <v>527.43419999999992</v>
      </c>
      <c r="Z17" s="15">
        <f t="shared" si="26"/>
        <v>656.46928400000002</v>
      </c>
      <c r="AA17" s="15">
        <f t="shared" si="26"/>
        <v>860.86275027999977</v>
      </c>
      <c r="AB17" s="15">
        <f t="shared" si="26"/>
        <v>1211.043211142</v>
      </c>
      <c r="AC17" s="15">
        <f t="shared" si="26"/>
        <v>1709.3814702462996</v>
      </c>
    </row>
    <row r="18" spans="1:218" x14ac:dyDescent="0.25">
      <c r="B18" s="12" t="s">
        <v>10</v>
      </c>
      <c r="C18" s="7">
        <v>21.94</v>
      </c>
      <c r="D18" s="7">
        <v>29.344999999999999</v>
      </c>
      <c r="E18" s="7">
        <v>30.018999999999998</v>
      </c>
      <c r="F18" s="7">
        <v>29.780999999999999</v>
      </c>
      <c r="G18" s="7">
        <v>34.216999999999999</v>
      </c>
      <c r="H18" s="7">
        <v>41.975999999999999</v>
      </c>
      <c r="I18" s="7">
        <v>44.47</v>
      </c>
      <c r="J18" s="7">
        <v>45.844000000000001</v>
      </c>
      <c r="K18" s="7">
        <v>47.947000000000003</v>
      </c>
      <c r="L18" s="7">
        <v>50.305</v>
      </c>
      <c r="M18" s="7">
        <v>50.256</v>
      </c>
      <c r="N18" s="7">
        <f>J18*1.15</f>
        <v>52.720599999999997</v>
      </c>
      <c r="O18" s="7">
        <f t="shared" ref="O18:O20" si="27">K18*1.15</f>
        <v>55.139049999999997</v>
      </c>
      <c r="P18" s="7">
        <f t="shared" ref="P18:P20" si="28">L18*1.15</f>
        <v>57.850749999999998</v>
      </c>
      <c r="Q18" s="7">
        <f t="shared" ref="Q18:Q20" si="29">M18*1.15</f>
        <v>57.794399999999996</v>
      </c>
      <c r="V18" s="7">
        <f>SUM(C18:E18)</f>
        <v>81.304000000000002</v>
      </c>
      <c r="W18" s="7">
        <f>SUM(F18:I18)</f>
        <v>150.44399999999999</v>
      </c>
      <c r="X18" s="7">
        <f t="shared" ref="X18:X20" si="30">SUM(J18:M18)</f>
        <v>194.352</v>
      </c>
      <c r="Y18" s="7">
        <f t="shared" ref="Y18:Y20" si="31">SUM(N18:Q18)</f>
        <v>223.50479999999999</v>
      </c>
      <c r="Z18" s="7">
        <f>Y18*1.15</f>
        <v>257.03051999999997</v>
      </c>
      <c r="AA18" s="7">
        <f t="shared" ref="AA18:AC20" si="32">Z18*1.15</f>
        <v>295.58509799999996</v>
      </c>
      <c r="AB18" s="7">
        <f t="shared" si="32"/>
        <v>339.92286269999994</v>
      </c>
      <c r="AC18" s="7">
        <f t="shared" si="32"/>
        <v>390.91129210499992</v>
      </c>
    </row>
    <row r="19" spans="1:218" x14ac:dyDescent="0.25">
      <c r="B19" s="12" t="s">
        <v>11</v>
      </c>
      <c r="C19" s="7">
        <v>9.6189999999999998</v>
      </c>
      <c r="D19" s="7">
        <v>15.266999999999999</v>
      </c>
      <c r="E19" s="7">
        <v>14.510999999999999</v>
      </c>
      <c r="F19" s="7">
        <v>14.94</v>
      </c>
      <c r="G19" s="7">
        <v>15.276999999999999</v>
      </c>
      <c r="H19" s="7">
        <v>17.721</v>
      </c>
      <c r="I19" s="7">
        <v>19.029</v>
      </c>
      <c r="J19" s="7">
        <v>16.600999999999999</v>
      </c>
      <c r="K19" s="7">
        <v>17.734000000000002</v>
      </c>
      <c r="L19" s="7">
        <v>22.335000000000001</v>
      </c>
      <c r="M19" s="7">
        <v>19.117999999999999</v>
      </c>
      <c r="N19" s="7">
        <f t="shared" ref="N19:N20" si="33">J19*1.15</f>
        <v>19.091149999999999</v>
      </c>
      <c r="O19" s="7">
        <f t="shared" si="27"/>
        <v>20.394100000000002</v>
      </c>
      <c r="P19" s="7">
        <f t="shared" si="28"/>
        <v>25.68525</v>
      </c>
      <c r="Q19" s="7">
        <f t="shared" si="29"/>
        <v>21.985699999999998</v>
      </c>
      <c r="V19" s="7">
        <f>SUM(C19:E19)</f>
        <v>39.396999999999998</v>
      </c>
      <c r="W19" s="7">
        <f>SUM(F19:I19)</f>
        <v>66.966999999999999</v>
      </c>
      <c r="X19" s="7">
        <f t="shared" si="30"/>
        <v>75.787999999999997</v>
      </c>
      <c r="Y19" s="7">
        <f t="shared" si="31"/>
        <v>87.156199999999998</v>
      </c>
      <c r="Z19" s="7">
        <f t="shared" ref="Z19" si="34">Y19*1.15</f>
        <v>100.22962999999999</v>
      </c>
      <c r="AA19" s="7">
        <f t="shared" si="32"/>
        <v>115.26407449999998</v>
      </c>
      <c r="AB19" s="7">
        <f t="shared" si="32"/>
        <v>132.55368567499997</v>
      </c>
      <c r="AC19" s="7">
        <f t="shared" si="32"/>
        <v>152.43673852624994</v>
      </c>
    </row>
    <row r="20" spans="1:218" x14ac:dyDescent="0.25">
      <c r="B20" s="12" t="s">
        <v>12</v>
      </c>
      <c r="C20" s="7">
        <v>11.585000000000001</v>
      </c>
      <c r="D20" s="7">
        <v>29.605</v>
      </c>
      <c r="E20" s="7">
        <v>25.946999999999999</v>
      </c>
      <c r="F20" s="7">
        <v>26.856000000000002</v>
      </c>
      <c r="G20" s="7">
        <v>30.056999999999999</v>
      </c>
      <c r="H20" s="7">
        <v>30.228000000000002</v>
      </c>
      <c r="I20" s="7">
        <v>30.707000000000001</v>
      </c>
      <c r="J20" s="7">
        <v>30.242999999999999</v>
      </c>
      <c r="K20" s="7">
        <v>32.234999999999999</v>
      </c>
      <c r="L20" s="7">
        <v>33.4</v>
      </c>
      <c r="M20" s="7">
        <v>36.244999999999997</v>
      </c>
      <c r="N20" s="7">
        <f t="shared" si="33"/>
        <v>34.779449999999997</v>
      </c>
      <c r="O20" s="7">
        <f t="shared" si="27"/>
        <v>37.070249999999994</v>
      </c>
      <c r="P20" s="7">
        <f t="shared" si="28"/>
        <v>38.409999999999997</v>
      </c>
      <c r="Q20" s="7">
        <f t="shared" si="29"/>
        <v>41.681749999999994</v>
      </c>
      <c r="V20" s="7">
        <f>SUM(C20:E20)</f>
        <v>67.137</v>
      </c>
      <c r="W20" s="7">
        <f>SUM(F20:I20)</f>
        <v>117.84799999999998</v>
      </c>
      <c r="X20" s="7">
        <f t="shared" si="30"/>
        <v>132.12299999999999</v>
      </c>
      <c r="Y20" s="7">
        <f t="shared" si="31"/>
        <v>151.94144999999997</v>
      </c>
      <c r="Z20" s="7">
        <f t="shared" ref="Z20" si="35">Y20*1.15</f>
        <v>174.73266749999996</v>
      </c>
      <c r="AA20" s="7">
        <f t="shared" si="32"/>
        <v>200.94256762499995</v>
      </c>
      <c r="AB20" s="7">
        <f t="shared" si="32"/>
        <v>231.08395276874992</v>
      </c>
      <c r="AC20" s="7">
        <f t="shared" si="32"/>
        <v>265.74654568406237</v>
      </c>
    </row>
    <row r="21" spans="1:218" s="15" customFormat="1" x14ac:dyDescent="0.25">
      <c r="A21" s="14"/>
      <c r="B21" s="14" t="s">
        <v>13</v>
      </c>
      <c r="C21" s="15">
        <f t="shared" ref="C21:G21" si="36">SUM(C18:C20)</f>
        <v>43.144000000000005</v>
      </c>
      <c r="D21" s="15">
        <f t="shared" si="36"/>
        <v>74.216999999999999</v>
      </c>
      <c r="E21" s="15">
        <f t="shared" si="36"/>
        <v>70.477000000000004</v>
      </c>
      <c r="F21" s="15">
        <f t="shared" si="36"/>
        <v>71.576999999999998</v>
      </c>
      <c r="G21" s="15">
        <f t="shared" si="36"/>
        <v>79.551000000000002</v>
      </c>
      <c r="H21" s="15">
        <f>SUM(H18:H20)</f>
        <v>89.925000000000011</v>
      </c>
      <c r="I21" s="15">
        <f>SUM(I18:I20)</f>
        <v>94.205999999999989</v>
      </c>
      <c r="J21" s="15">
        <f t="shared" ref="J21:Q21" si="37">SUM(J18:J20)</f>
        <v>92.688000000000002</v>
      </c>
      <c r="K21" s="15">
        <f t="shared" si="37"/>
        <v>97.916000000000011</v>
      </c>
      <c r="L21" s="15">
        <f t="shared" si="37"/>
        <v>106.03999999999999</v>
      </c>
      <c r="M21" s="15">
        <f t="shared" si="37"/>
        <v>105.619</v>
      </c>
      <c r="N21" s="15">
        <f t="shared" si="37"/>
        <v>106.59119999999999</v>
      </c>
      <c r="O21" s="15">
        <f t="shared" si="37"/>
        <v>112.60339999999999</v>
      </c>
      <c r="P21" s="15">
        <f t="shared" si="37"/>
        <v>121.946</v>
      </c>
      <c r="Q21" s="15">
        <f t="shared" si="37"/>
        <v>121.46184999999998</v>
      </c>
      <c r="V21" s="15">
        <f t="shared" ref="V21:AC21" si="38">SUM(V18:V20)</f>
        <v>187.83799999999999</v>
      </c>
      <c r="W21" s="15">
        <f t="shared" si="38"/>
        <v>335.25900000000001</v>
      </c>
      <c r="X21" s="15">
        <f t="shared" si="38"/>
        <v>402.26299999999998</v>
      </c>
      <c r="Y21" s="15">
        <f t="shared" si="38"/>
        <v>462.60244999999998</v>
      </c>
      <c r="Z21" s="15">
        <f t="shared" si="38"/>
        <v>531.99281749999989</v>
      </c>
      <c r="AA21" s="15">
        <f t="shared" si="38"/>
        <v>611.79174012499993</v>
      </c>
      <c r="AB21" s="15">
        <f t="shared" si="38"/>
        <v>703.56050114374978</v>
      </c>
      <c r="AC21" s="15">
        <f t="shared" si="38"/>
        <v>809.09457631531222</v>
      </c>
    </row>
    <row r="22" spans="1:218" s="15" customFormat="1" x14ac:dyDescent="0.25">
      <c r="A22" s="14"/>
      <c r="B22" s="14" t="s">
        <v>22</v>
      </c>
      <c r="C22" s="15">
        <f t="shared" ref="C22:G22" si="39">C17-C21</f>
        <v>-0.47800000000000864</v>
      </c>
      <c r="D22" s="15">
        <f t="shared" si="39"/>
        <v>-28.700000000000003</v>
      </c>
      <c r="E22" s="15">
        <f t="shared" si="39"/>
        <v>-17.415000000000006</v>
      </c>
      <c r="F22" s="15">
        <f t="shared" si="39"/>
        <v>-11.846999999999994</v>
      </c>
      <c r="G22" s="15">
        <f t="shared" si="39"/>
        <v>-15.033999999999992</v>
      </c>
      <c r="H22" s="15">
        <f>H17-H21</f>
        <v>-20.162000000000006</v>
      </c>
      <c r="I22" s="15">
        <f>I17-I21</f>
        <v>-18.151999999999987</v>
      </c>
      <c r="J22" s="15">
        <f t="shared" ref="J22:Q22" si="40">J17-J21</f>
        <v>-8.5190000000000055</v>
      </c>
      <c r="K22" s="15">
        <f t="shared" si="40"/>
        <v>-4.8650000000000091</v>
      </c>
      <c r="L22" s="15">
        <f t="shared" si="40"/>
        <v>-4.6699999999999875</v>
      </c>
      <c r="M22" s="15">
        <f t="shared" si="40"/>
        <v>4.7949999999999875</v>
      </c>
      <c r="N22" s="15">
        <f t="shared" si="40"/>
        <v>7.1291500000000099</v>
      </c>
      <c r="O22" s="15">
        <f t="shared" si="40"/>
        <v>13.322050000000004</v>
      </c>
      <c r="P22" s="15">
        <f t="shared" si="40"/>
        <v>15.874799999999993</v>
      </c>
      <c r="Q22" s="15">
        <f t="shared" si="40"/>
        <v>28.50575000000002</v>
      </c>
      <c r="V22" s="15">
        <f t="shared" ref="V22:AC22" si="41">V17-V21</f>
        <v>-46.593000000000018</v>
      </c>
      <c r="W22" s="15">
        <f t="shared" si="41"/>
        <v>-65.194999999999993</v>
      </c>
      <c r="X22" s="15">
        <f t="shared" si="41"/>
        <v>-13.258999999999958</v>
      </c>
      <c r="Y22" s="15">
        <f t="shared" si="41"/>
        <v>64.831749999999943</v>
      </c>
      <c r="Z22" s="15">
        <f t="shared" si="41"/>
        <v>124.47646650000013</v>
      </c>
      <c r="AA22" s="15">
        <f t="shared" si="41"/>
        <v>249.07101015499984</v>
      </c>
      <c r="AB22" s="15">
        <f t="shared" si="41"/>
        <v>507.48270999825024</v>
      </c>
      <c r="AC22" s="15">
        <f t="shared" si="41"/>
        <v>900.28689393098739</v>
      </c>
    </row>
    <row r="23" spans="1:218" x14ac:dyDescent="0.25">
      <c r="B23" s="12" t="s">
        <v>14</v>
      </c>
      <c r="C23" s="7">
        <v>0.30299999999999999</v>
      </c>
      <c r="D23" s="7">
        <v>-0.219</v>
      </c>
      <c r="E23" s="7">
        <v>6.0000000000000001E-3</v>
      </c>
      <c r="F23" s="7">
        <v>-0.312</v>
      </c>
      <c r="G23" s="7">
        <v>-0.53900000000000003</v>
      </c>
      <c r="H23" s="7">
        <v>-0.49</v>
      </c>
      <c r="I23" s="7">
        <v>0.66500000000000004</v>
      </c>
      <c r="J23" s="7">
        <v>0.182</v>
      </c>
      <c r="K23" s="7">
        <v>-0.26800000000000002</v>
      </c>
      <c r="L23" s="7">
        <v>-1.0229999999999999</v>
      </c>
      <c r="M23" s="7">
        <v>1.054</v>
      </c>
      <c r="N23" s="7">
        <f>I23</f>
        <v>0.66500000000000004</v>
      </c>
      <c r="O23" s="7">
        <f t="shared" ref="O23:O24" si="42">J23</f>
        <v>0.182</v>
      </c>
      <c r="P23" s="7">
        <f t="shared" ref="P23:P24" si="43">K23</f>
        <v>-0.26800000000000002</v>
      </c>
      <c r="Q23" s="7">
        <f t="shared" ref="Q23:Q24" si="44">L23</f>
        <v>-1.0229999999999999</v>
      </c>
      <c r="V23" s="7">
        <f>SUM(C23:E23)</f>
        <v>0.09</v>
      </c>
      <c r="W23" s="7">
        <f>SUM(F23:I23)</f>
        <v>-0.67599999999999993</v>
      </c>
      <c r="X23" s="7">
        <f t="shared" ref="X23:X24" si="45">SUM(J23:M23)</f>
        <v>-5.4999999999999938E-2</v>
      </c>
      <c r="Y23" s="7">
        <f t="shared" ref="Y23:Y24" si="46">SUM(N23:Q23)</f>
        <v>-0.44399999999999995</v>
      </c>
      <c r="Z23" s="7">
        <f>Y23*1.01</f>
        <v>-0.44843999999999995</v>
      </c>
      <c r="AA23" s="7">
        <f t="shared" ref="AA23:AC23" si="47">Z23*1.01</f>
        <v>-0.45292439999999995</v>
      </c>
      <c r="AB23" s="7">
        <f t="shared" si="47"/>
        <v>-0.45745364399999994</v>
      </c>
      <c r="AC23" s="7">
        <f t="shared" si="47"/>
        <v>-0.46202818043999994</v>
      </c>
    </row>
    <row r="24" spans="1:218" x14ac:dyDescent="0.25">
      <c r="B24" s="12" t="s">
        <v>63</v>
      </c>
      <c r="C24" s="7">
        <v>0</v>
      </c>
      <c r="D24" s="7">
        <v>0</v>
      </c>
      <c r="E24" s="7">
        <v>0</v>
      </c>
      <c r="F24" s="7">
        <v>3.3000000000000002E-2</v>
      </c>
      <c r="G24" s="7">
        <v>0.66900000000000004</v>
      </c>
      <c r="H24" s="7">
        <v>2.2599999999999998</v>
      </c>
      <c r="I24" s="7">
        <v>4.2729999999999997</v>
      </c>
      <c r="J24" s="7">
        <v>5.6390000000000002</v>
      </c>
      <c r="K24" s="7">
        <v>7.5430000000000001</v>
      </c>
      <c r="L24" s="7">
        <v>8.625</v>
      </c>
      <c r="M24" s="7">
        <v>9.2840000000000007</v>
      </c>
      <c r="N24" s="7">
        <f t="shared" ref="N24" si="48">I24</f>
        <v>4.2729999999999997</v>
      </c>
      <c r="O24" s="7">
        <f t="shared" si="42"/>
        <v>5.6390000000000002</v>
      </c>
      <c r="P24" s="7">
        <f t="shared" si="43"/>
        <v>7.5430000000000001</v>
      </c>
      <c r="Q24" s="7">
        <f t="shared" si="44"/>
        <v>8.625</v>
      </c>
      <c r="V24" s="7">
        <f>SUM(C24:E24)</f>
        <v>0</v>
      </c>
      <c r="W24" s="7">
        <f>SUM(F24:I24)</f>
        <v>7.2349999999999994</v>
      </c>
      <c r="X24" s="7">
        <f t="shared" si="45"/>
        <v>31.091000000000001</v>
      </c>
      <c r="Y24" s="7">
        <f t="shared" si="46"/>
        <v>26.08</v>
      </c>
      <c r="Z24" s="7">
        <f t="shared" ref="Z24:AC24" si="49">Y24*1.01</f>
        <v>26.340799999999998</v>
      </c>
      <c r="AA24" s="7">
        <f t="shared" si="49"/>
        <v>26.604208</v>
      </c>
      <c r="AB24" s="7">
        <f t="shared" si="49"/>
        <v>26.870250080000002</v>
      </c>
      <c r="AC24" s="7">
        <f t="shared" si="49"/>
        <v>27.138952580800002</v>
      </c>
    </row>
    <row r="25" spans="1:218" x14ac:dyDescent="0.25">
      <c r="B25" s="12" t="s">
        <v>15</v>
      </c>
      <c r="C25" s="7">
        <f t="shared" ref="C25:L25" si="50">C22+C23+C24</f>
        <v>-0.17500000000000865</v>
      </c>
      <c r="D25" s="7">
        <f t="shared" si="50"/>
        <v>-28.919000000000004</v>
      </c>
      <c r="E25" s="7">
        <f t="shared" si="50"/>
        <v>-17.409000000000006</v>
      </c>
      <c r="F25" s="7">
        <f t="shared" si="50"/>
        <v>-12.125999999999994</v>
      </c>
      <c r="G25" s="7">
        <f t="shared" si="50"/>
        <v>-14.903999999999991</v>
      </c>
      <c r="H25" s="7">
        <f t="shared" si="50"/>
        <v>-18.392000000000003</v>
      </c>
      <c r="I25" s="7">
        <f t="shared" si="50"/>
        <v>-13.213999999999988</v>
      </c>
      <c r="J25" s="7">
        <f t="shared" si="50"/>
        <v>-2.6980000000000048</v>
      </c>
      <c r="K25" s="7">
        <f t="shared" si="50"/>
        <v>2.4099999999999913</v>
      </c>
      <c r="L25" s="7">
        <f t="shared" si="50"/>
        <v>2.9320000000000128</v>
      </c>
      <c r="M25" s="7">
        <f>M22+M23+M24</f>
        <v>15.132999999999988</v>
      </c>
      <c r="N25" s="7">
        <f t="shared" ref="N25:Q25" si="51">N22+N23+N24</f>
        <v>12.067150000000009</v>
      </c>
      <c r="O25" s="7">
        <f t="shared" si="51"/>
        <v>19.143050000000006</v>
      </c>
      <c r="P25" s="7">
        <f t="shared" si="51"/>
        <v>23.149799999999992</v>
      </c>
      <c r="Q25" s="7">
        <f t="shared" si="51"/>
        <v>36.107750000000024</v>
      </c>
      <c r="V25" s="7">
        <f t="shared" ref="V25:AC25" si="52">V22+V23+V24</f>
        <v>-46.503000000000014</v>
      </c>
      <c r="W25" s="7">
        <f t="shared" si="52"/>
        <v>-58.635999999999996</v>
      </c>
      <c r="X25" s="7">
        <f t="shared" si="52"/>
        <v>17.777000000000044</v>
      </c>
      <c r="Y25" s="7">
        <f t="shared" si="52"/>
        <v>90.467749999999938</v>
      </c>
      <c r="Z25" s="7">
        <f t="shared" si="52"/>
        <v>150.36882650000013</v>
      </c>
      <c r="AA25" s="7">
        <f t="shared" si="52"/>
        <v>275.22229375499984</v>
      </c>
      <c r="AB25" s="7">
        <f t="shared" si="52"/>
        <v>533.89550643425025</v>
      </c>
      <c r="AC25" s="7">
        <f t="shared" si="52"/>
        <v>926.9638183313474</v>
      </c>
    </row>
    <row r="26" spans="1:218" x14ac:dyDescent="0.25">
      <c r="B26" s="12" t="s">
        <v>16</v>
      </c>
      <c r="C26" s="7">
        <v>1E-3</v>
      </c>
      <c r="D26" s="7">
        <v>5.0999999999999997E-2</v>
      </c>
      <c r="E26" s="7">
        <v>0.108</v>
      </c>
      <c r="F26" s="7">
        <v>2.8000000000000001E-2</v>
      </c>
      <c r="G26" s="7">
        <v>0.14099999999999999</v>
      </c>
      <c r="H26" s="7">
        <v>5.2999999999999999E-2</v>
      </c>
      <c r="I26" s="7">
        <v>0.71599999999999997</v>
      </c>
      <c r="J26" s="7">
        <v>-0.11600000000000001</v>
      </c>
      <c r="K26" s="7">
        <v>-1.3149999999999999</v>
      </c>
      <c r="L26" s="7">
        <v>0.125</v>
      </c>
      <c r="M26" s="7">
        <v>3.016</v>
      </c>
      <c r="N26" s="7">
        <f>0.21*N25</f>
        <v>2.5341015000000016</v>
      </c>
      <c r="O26" s="7">
        <f t="shared" ref="O26:Q26" si="53">0.21*O25</f>
        <v>4.0200405000000012</v>
      </c>
      <c r="P26" s="7">
        <f t="shared" si="53"/>
        <v>4.8614579999999981</v>
      </c>
      <c r="Q26" s="7">
        <f t="shared" si="53"/>
        <v>7.5826275000000045</v>
      </c>
      <c r="V26" s="7">
        <f>SUM(C26:E26)</f>
        <v>0.16</v>
      </c>
      <c r="W26" s="7">
        <f>SUM(F26:I26)</f>
        <v>0.93799999999999994</v>
      </c>
      <c r="X26" s="7">
        <f>SUM(J26:M26)</f>
        <v>1.71</v>
      </c>
      <c r="Y26" s="7">
        <f>SUM(N26:Q26)</f>
        <v>18.998227500000006</v>
      </c>
      <c r="Z26" s="7">
        <f>0.21*Z25</f>
        <v>31.577453565000024</v>
      </c>
      <c r="AA26" s="7">
        <f t="shared" ref="AA26:AC26" si="54">0.21*AA25</f>
        <v>57.796681688549967</v>
      </c>
      <c r="AB26" s="7">
        <f t="shared" si="54"/>
        <v>112.11805635119255</v>
      </c>
      <c r="AC26" s="7">
        <f t="shared" si="54"/>
        <v>194.66240184958295</v>
      </c>
    </row>
    <row r="27" spans="1:218" s="15" customFormat="1" x14ac:dyDescent="0.25">
      <c r="A27" s="14"/>
      <c r="B27" s="14" t="s">
        <v>17</v>
      </c>
      <c r="C27" s="15">
        <f t="shared" ref="C27:G27" si="55">C25-C26</f>
        <v>-0.17600000000000865</v>
      </c>
      <c r="D27" s="15">
        <f t="shared" si="55"/>
        <v>-28.970000000000002</v>
      </c>
      <c r="E27" s="15">
        <f t="shared" si="55"/>
        <v>-17.517000000000007</v>
      </c>
      <c r="F27" s="15">
        <f t="shared" si="55"/>
        <v>-12.153999999999995</v>
      </c>
      <c r="G27" s="15">
        <f t="shared" si="55"/>
        <v>-15.044999999999991</v>
      </c>
      <c r="H27" s="15">
        <f>H25-H26</f>
        <v>-18.445000000000004</v>
      </c>
      <c r="I27" s="15">
        <f>I25-I26</f>
        <v>-13.929999999999987</v>
      </c>
      <c r="J27" s="15">
        <f t="shared" ref="J27:Q27" si="56">J25-J26</f>
        <v>-2.5820000000000047</v>
      </c>
      <c r="K27" s="15">
        <f t="shared" si="56"/>
        <v>3.7249999999999912</v>
      </c>
      <c r="L27" s="15">
        <f t="shared" si="56"/>
        <v>2.8070000000000128</v>
      </c>
      <c r="M27" s="15">
        <f t="shared" si="56"/>
        <v>12.116999999999988</v>
      </c>
      <c r="N27" s="15">
        <f t="shared" si="56"/>
        <v>9.5330485000000067</v>
      </c>
      <c r="O27" s="15">
        <f t="shared" si="56"/>
        <v>15.123009500000006</v>
      </c>
      <c r="P27" s="15">
        <f t="shared" si="56"/>
        <v>18.288341999999993</v>
      </c>
      <c r="Q27" s="15">
        <f t="shared" si="56"/>
        <v>28.52512250000002</v>
      </c>
      <c r="V27" s="15">
        <f t="shared" ref="V27:AC27" si="57">V25-V26</f>
        <v>-46.663000000000011</v>
      </c>
      <c r="W27" s="15">
        <f t="shared" si="57"/>
        <v>-59.573999999999998</v>
      </c>
      <c r="X27" s="15">
        <f t="shared" si="57"/>
        <v>16.067000000000043</v>
      </c>
      <c r="Y27" s="15">
        <f t="shared" si="57"/>
        <v>71.469522499999925</v>
      </c>
      <c r="Z27" s="15">
        <f t="shared" si="57"/>
        <v>118.7913729350001</v>
      </c>
      <c r="AA27" s="15">
        <f t="shared" si="57"/>
        <v>217.42561206644987</v>
      </c>
      <c r="AB27" s="15">
        <f t="shared" si="57"/>
        <v>421.77745008305772</v>
      </c>
      <c r="AC27" s="15">
        <f t="shared" si="57"/>
        <v>732.30141648176448</v>
      </c>
      <c r="AD27" s="15">
        <f t="shared" ref="AD27:BI27" si="58">AC27*(1+$AJ$37)</f>
        <v>724.97840231694681</v>
      </c>
      <c r="AE27" s="15">
        <f t="shared" si="58"/>
        <v>717.72861829377734</v>
      </c>
      <c r="AF27" s="15">
        <f t="shared" si="58"/>
        <v>710.55133211083955</v>
      </c>
      <c r="AG27" s="15">
        <f t="shared" si="58"/>
        <v>703.44581878973111</v>
      </c>
      <c r="AH27" s="15">
        <f t="shared" si="58"/>
        <v>696.41136060183374</v>
      </c>
      <c r="AI27" s="15">
        <f t="shared" si="58"/>
        <v>689.44724699581536</v>
      </c>
      <c r="AJ27" s="15">
        <f t="shared" si="58"/>
        <v>682.55277452585722</v>
      </c>
      <c r="AK27" s="15">
        <f t="shared" si="58"/>
        <v>675.72724678059865</v>
      </c>
      <c r="AL27" s="15">
        <f t="shared" si="58"/>
        <v>668.9699743127926</v>
      </c>
      <c r="AM27" s="15">
        <f t="shared" si="58"/>
        <v>662.2802745696647</v>
      </c>
      <c r="AN27" s="15">
        <f t="shared" si="58"/>
        <v>655.65747182396808</v>
      </c>
      <c r="AO27" s="15">
        <f t="shared" si="58"/>
        <v>649.10089710572845</v>
      </c>
      <c r="AP27" s="15">
        <f t="shared" si="58"/>
        <v>642.60988813467111</v>
      </c>
      <c r="AQ27" s="15">
        <f t="shared" si="58"/>
        <v>636.18378925332445</v>
      </c>
      <c r="AR27" s="15">
        <f t="shared" si="58"/>
        <v>629.82195136079122</v>
      </c>
      <c r="AS27" s="15">
        <f t="shared" si="58"/>
        <v>623.52373184718329</v>
      </c>
      <c r="AT27" s="15">
        <f t="shared" si="58"/>
        <v>617.28849452871145</v>
      </c>
      <c r="AU27" s="15">
        <f t="shared" si="58"/>
        <v>611.11560958342432</v>
      </c>
      <c r="AV27" s="15">
        <f t="shared" si="58"/>
        <v>605.00445348759001</v>
      </c>
      <c r="AW27" s="15">
        <f t="shared" si="58"/>
        <v>598.95440895271406</v>
      </c>
      <c r="AX27" s="15">
        <f t="shared" si="58"/>
        <v>592.9648648631869</v>
      </c>
      <c r="AY27" s="15">
        <f t="shared" si="58"/>
        <v>587.03521621455502</v>
      </c>
      <c r="AZ27" s="15">
        <f t="shared" si="58"/>
        <v>581.16486405240948</v>
      </c>
      <c r="BA27" s="15">
        <f t="shared" si="58"/>
        <v>575.35321541188534</v>
      </c>
      <c r="BB27" s="15">
        <f t="shared" si="58"/>
        <v>569.59968325776651</v>
      </c>
      <c r="BC27" s="15">
        <f t="shared" si="58"/>
        <v>563.90368642518888</v>
      </c>
      <c r="BD27" s="15">
        <f t="shared" si="58"/>
        <v>558.26464956093696</v>
      </c>
      <c r="BE27" s="15">
        <f t="shared" si="58"/>
        <v>552.68200306532754</v>
      </c>
      <c r="BF27" s="15">
        <f t="shared" si="58"/>
        <v>547.15518303467422</v>
      </c>
      <c r="BG27" s="15">
        <f t="shared" si="58"/>
        <v>541.68363120432753</v>
      </c>
      <c r="BH27" s="15">
        <f t="shared" si="58"/>
        <v>536.26679489228422</v>
      </c>
      <c r="BI27" s="15">
        <f t="shared" si="58"/>
        <v>530.90412694336135</v>
      </c>
      <c r="BJ27" s="15">
        <f t="shared" ref="BJ27:CO27" si="59">BI27*(1+$AJ$37)</f>
        <v>525.59508567392777</v>
      </c>
      <c r="BK27" s="15">
        <f t="shared" si="59"/>
        <v>520.33913481718844</v>
      </c>
      <c r="BL27" s="15">
        <f t="shared" si="59"/>
        <v>515.13574346901657</v>
      </c>
      <c r="BM27" s="15">
        <f t="shared" si="59"/>
        <v>509.98438603432641</v>
      </c>
      <c r="BN27" s="15">
        <f t="shared" si="59"/>
        <v>504.88454217398316</v>
      </c>
      <c r="BO27" s="15">
        <f t="shared" si="59"/>
        <v>499.83569675224334</v>
      </c>
      <c r="BP27" s="15">
        <f t="shared" si="59"/>
        <v>494.83733978472088</v>
      </c>
      <c r="BQ27" s="15">
        <f t="shared" si="59"/>
        <v>489.88896638687368</v>
      </c>
      <c r="BR27" s="15">
        <f t="shared" si="59"/>
        <v>484.99007672300496</v>
      </c>
      <c r="BS27" s="15">
        <f t="shared" si="59"/>
        <v>480.14017595577491</v>
      </c>
      <c r="BT27" s="15">
        <f t="shared" si="59"/>
        <v>475.33877419621717</v>
      </c>
      <c r="BU27" s="15">
        <f t="shared" si="59"/>
        <v>470.585386454255</v>
      </c>
      <c r="BV27" s="15">
        <f t="shared" si="59"/>
        <v>465.87953258971243</v>
      </c>
      <c r="BW27" s="15">
        <f t="shared" si="59"/>
        <v>461.22073726381529</v>
      </c>
      <c r="BX27" s="15">
        <f t="shared" si="59"/>
        <v>456.60852989117711</v>
      </c>
      <c r="BY27" s="15">
        <f t="shared" si="59"/>
        <v>452.04244459226533</v>
      </c>
      <c r="BZ27" s="15">
        <f t="shared" si="59"/>
        <v>447.52202014634264</v>
      </c>
      <c r="CA27" s="15">
        <f t="shared" si="59"/>
        <v>443.04679994487918</v>
      </c>
      <c r="CB27" s="15">
        <f t="shared" si="59"/>
        <v>438.61633194543037</v>
      </c>
      <c r="CC27" s="15">
        <f t="shared" si="59"/>
        <v>434.23016862597609</v>
      </c>
      <c r="CD27" s="15">
        <f t="shared" si="59"/>
        <v>429.88786693971633</v>
      </c>
      <c r="CE27" s="15">
        <f t="shared" si="59"/>
        <v>425.58898827031919</v>
      </c>
      <c r="CF27" s="15">
        <f t="shared" si="59"/>
        <v>421.33309838761602</v>
      </c>
      <c r="CG27" s="15">
        <f t="shared" si="59"/>
        <v>417.11976740373984</v>
      </c>
      <c r="CH27" s="15">
        <f t="shared" si="59"/>
        <v>412.94856972970246</v>
      </c>
      <c r="CI27" s="15">
        <f t="shared" si="59"/>
        <v>408.81908403240544</v>
      </c>
      <c r="CJ27" s="15">
        <f t="shared" si="59"/>
        <v>404.7308931920814</v>
      </c>
      <c r="CK27" s="15">
        <f t="shared" si="59"/>
        <v>400.68358426016056</v>
      </c>
      <c r="CL27" s="15">
        <f t="shared" si="59"/>
        <v>396.67674841755894</v>
      </c>
      <c r="CM27" s="15">
        <f t="shared" si="59"/>
        <v>392.70998093338335</v>
      </c>
      <c r="CN27" s="15">
        <f t="shared" si="59"/>
        <v>388.78288112404954</v>
      </c>
      <c r="CO27" s="15">
        <f t="shared" si="59"/>
        <v>384.89505231280901</v>
      </c>
      <c r="CP27" s="15">
        <f t="shared" ref="CP27:DU27" si="60">CO27*(1+$AJ$37)</f>
        <v>381.0461017896809</v>
      </c>
      <c r="CQ27" s="15">
        <f t="shared" si="60"/>
        <v>377.23564077178412</v>
      </c>
      <c r="CR27" s="15">
        <f t="shared" si="60"/>
        <v>373.46328436406628</v>
      </c>
      <c r="CS27" s="15">
        <f t="shared" si="60"/>
        <v>369.72865152042561</v>
      </c>
      <c r="CT27" s="15">
        <f t="shared" si="60"/>
        <v>366.03136500522135</v>
      </c>
      <c r="CU27" s="15">
        <f t="shared" si="60"/>
        <v>362.37105135516913</v>
      </c>
      <c r="CV27" s="15">
        <f t="shared" si="60"/>
        <v>358.74734084161742</v>
      </c>
      <c r="CW27" s="15">
        <f t="shared" si="60"/>
        <v>355.15986743320121</v>
      </c>
      <c r="CX27" s="15">
        <f t="shared" si="60"/>
        <v>351.6082687588692</v>
      </c>
      <c r="CY27" s="15">
        <f t="shared" si="60"/>
        <v>348.09218607128048</v>
      </c>
      <c r="CZ27" s="15">
        <f t="shared" si="60"/>
        <v>344.6112642105677</v>
      </c>
      <c r="DA27" s="15">
        <f t="shared" si="60"/>
        <v>341.16515156846202</v>
      </c>
      <c r="DB27" s="15">
        <f t="shared" si="60"/>
        <v>337.75350005277738</v>
      </c>
      <c r="DC27" s="15">
        <f t="shared" si="60"/>
        <v>334.37596505224963</v>
      </c>
      <c r="DD27" s="15">
        <f t="shared" si="60"/>
        <v>331.03220540172714</v>
      </c>
      <c r="DE27" s="15">
        <f t="shared" si="60"/>
        <v>327.72188334770988</v>
      </c>
      <c r="DF27" s="15">
        <f t="shared" si="60"/>
        <v>324.44466451423278</v>
      </c>
      <c r="DG27" s="15">
        <f t="shared" si="60"/>
        <v>321.20021786909047</v>
      </c>
      <c r="DH27" s="15">
        <f t="shared" si="60"/>
        <v>317.98821569039956</v>
      </c>
      <c r="DI27" s="15">
        <f t="shared" si="60"/>
        <v>314.80833353349556</v>
      </c>
      <c r="DJ27" s="15">
        <f t="shared" si="60"/>
        <v>311.66025019816061</v>
      </c>
      <c r="DK27" s="15">
        <f t="shared" si="60"/>
        <v>308.54364769617899</v>
      </c>
      <c r="DL27" s="15">
        <f t="shared" si="60"/>
        <v>305.45821121921722</v>
      </c>
      <c r="DM27" s="15">
        <f t="shared" si="60"/>
        <v>302.40362910702504</v>
      </c>
      <c r="DN27" s="15">
        <f t="shared" si="60"/>
        <v>299.37959281595477</v>
      </c>
      <c r="DO27" s="15">
        <f t="shared" si="60"/>
        <v>296.38579688779521</v>
      </c>
      <c r="DP27" s="15">
        <f t="shared" si="60"/>
        <v>293.42193891891725</v>
      </c>
      <c r="DQ27" s="15">
        <f t="shared" si="60"/>
        <v>290.48771952972805</v>
      </c>
      <c r="DR27" s="15">
        <f t="shared" si="60"/>
        <v>287.58284233443078</v>
      </c>
      <c r="DS27" s="15">
        <f t="shared" si="60"/>
        <v>284.70701391108645</v>
      </c>
      <c r="DT27" s="15">
        <f t="shared" si="60"/>
        <v>281.85994377197557</v>
      </c>
      <c r="DU27" s="15">
        <f t="shared" si="60"/>
        <v>279.04134433425583</v>
      </c>
      <c r="DV27" s="15">
        <f t="shared" ref="DV27:FA27" si="61">DU27*(1+$AJ$37)</f>
        <v>276.25093089091325</v>
      </c>
      <c r="DW27" s="15">
        <f t="shared" si="61"/>
        <v>273.48842158200409</v>
      </c>
      <c r="DX27" s="15">
        <f t="shared" si="61"/>
        <v>270.75353736618405</v>
      </c>
      <c r="DY27" s="15">
        <f t="shared" si="61"/>
        <v>268.04600199252218</v>
      </c>
      <c r="DZ27" s="15">
        <f t="shared" si="61"/>
        <v>265.36554197259693</v>
      </c>
      <c r="EA27" s="15">
        <f t="shared" si="61"/>
        <v>262.71188655287096</v>
      </c>
      <c r="EB27" s="15">
        <f t="shared" si="61"/>
        <v>260.08476768734226</v>
      </c>
      <c r="EC27" s="15">
        <f t="shared" si="61"/>
        <v>257.48392001046886</v>
      </c>
      <c r="ED27" s="15">
        <f t="shared" si="61"/>
        <v>254.90908081036417</v>
      </c>
      <c r="EE27" s="15">
        <f t="shared" si="61"/>
        <v>252.35999000226053</v>
      </c>
      <c r="EF27" s="15">
        <f t="shared" si="61"/>
        <v>249.83639010223791</v>
      </c>
      <c r="EG27" s="15">
        <f t="shared" si="61"/>
        <v>247.33802620121554</v>
      </c>
      <c r="EH27" s="15">
        <f t="shared" si="61"/>
        <v>244.86464593920337</v>
      </c>
      <c r="EI27" s="15">
        <f t="shared" si="61"/>
        <v>242.41599947981135</v>
      </c>
      <c r="EJ27" s="15">
        <f t="shared" si="61"/>
        <v>239.99183948501323</v>
      </c>
      <c r="EK27" s="15">
        <f t="shared" si="61"/>
        <v>237.59192109016308</v>
      </c>
      <c r="EL27" s="15">
        <f t="shared" si="61"/>
        <v>235.21600187926146</v>
      </c>
      <c r="EM27" s="15">
        <f t="shared" si="61"/>
        <v>232.86384186046885</v>
      </c>
      <c r="EN27" s="15">
        <f t="shared" si="61"/>
        <v>230.53520344186416</v>
      </c>
      <c r="EO27" s="15">
        <f t="shared" si="61"/>
        <v>228.22985140744552</v>
      </c>
      <c r="EP27" s="15">
        <f t="shared" si="61"/>
        <v>225.94755289337107</v>
      </c>
      <c r="EQ27" s="15">
        <f t="shared" si="61"/>
        <v>223.68807736443736</v>
      </c>
      <c r="ER27" s="15">
        <f t="shared" si="61"/>
        <v>221.45119659079299</v>
      </c>
      <c r="ES27" s="15">
        <f t="shared" si="61"/>
        <v>219.23668462488504</v>
      </c>
      <c r="ET27" s="15">
        <f t="shared" si="61"/>
        <v>217.04431777863618</v>
      </c>
      <c r="EU27" s="15">
        <f t="shared" si="61"/>
        <v>214.87387460084983</v>
      </c>
      <c r="EV27" s="15">
        <f t="shared" si="61"/>
        <v>212.72513585484134</v>
      </c>
      <c r="EW27" s="15">
        <f t="shared" si="61"/>
        <v>210.59788449629292</v>
      </c>
      <c r="EX27" s="15">
        <f t="shared" si="61"/>
        <v>208.49190565133</v>
      </c>
      <c r="EY27" s="15">
        <f t="shared" si="61"/>
        <v>206.40698659481669</v>
      </c>
      <c r="EZ27" s="15">
        <f t="shared" si="61"/>
        <v>204.34291672886852</v>
      </c>
      <c r="FA27" s="15">
        <f t="shared" si="61"/>
        <v>202.29948756157984</v>
      </c>
      <c r="FB27" s="15">
        <f t="shared" ref="FB27:GG27" si="62">FA27*(1+$AJ$37)</f>
        <v>200.27649268596403</v>
      </c>
      <c r="FC27" s="15">
        <f t="shared" si="62"/>
        <v>198.27372775910439</v>
      </c>
      <c r="FD27" s="15">
        <f t="shared" si="62"/>
        <v>196.29099048151335</v>
      </c>
      <c r="FE27" s="15">
        <f t="shared" si="62"/>
        <v>194.3280805766982</v>
      </c>
      <c r="FF27" s="15">
        <f t="shared" si="62"/>
        <v>192.38479977093121</v>
      </c>
      <c r="FG27" s="15">
        <f t="shared" si="62"/>
        <v>190.46095177322189</v>
      </c>
      <c r="FH27" s="15">
        <f t="shared" si="62"/>
        <v>188.55634225548968</v>
      </c>
      <c r="FI27" s="15">
        <f t="shared" si="62"/>
        <v>186.67077883293479</v>
      </c>
      <c r="FJ27" s="15">
        <f t="shared" si="62"/>
        <v>184.80407104460545</v>
      </c>
      <c r="FK27" s="15">
        <f t="shared" si="62"/>
        <v>182.95603033415941</v>
      </c>
      <c r="FL27" s="15">
        <f t="shared" si="62"/>
        <v>181.12647003081781</v>
      </c>
      <c r="FM27" s="15">
        <f t="shared" si="62"/>
        <v>179.31520533050963</v>
      </c>
      <c r="FN27" s="15">
        <f t="shared" si="62"/>
        <v>177.52205327720452</v>
      </c>
      <c r="FO27" s="15">
        <f t="shared" si="62"/>
        <v>175.74683274443248</v>
      </c>
      <c r="FP27" s="15">
        <f t="shared" si="62"/>
        <v>173.98936441698817</v>
      </c>
      <c r="FQ27" s="15">
        <f t="shared" si="62"/>
        <v>172.24947077281828</v>
      </c>
      <c r="FR27" s="15">
        <f t="shared" si="62"/>
        <v>170.52697606509011</v>
      </c>
      <c r="FS27" s="15">
        <f t="shared" si="62"/>
        <v>168.8217063044392</v>
      </c>
      <c r="FT27" s="15">
        <f t="shared" si="62"/>
        <v>167.13348924139481</v>
      </c>
      <c r="FU27" s="15">
        <f t="shared" si="62"/>
        <v>165.46215434898087</v>
      </c>
      <c r="FV27" s="15">
        <f t="shared" si="62"/>
        <v>163.80753280549106</v>
      </c>
      <c r="FW27" s="15">
        <f t="shared" si="62"/>
        <v>162.16945747743614</v>
      </c>
      <c r="FX27" s="15">
        <f t="shared" si="62"/>
        <v>160.54776290266179</v>
      </c>
      <c r="FY27" s="15">
        <f t="shared" si="62"/>
        <v>158.94228527363518</v>
      </c>
      <c r="FZ27" s="15">
        <f t="shared" si="62"/>
        <v>157.35286242089882</v>
      </c>
      <c r="GA27" s="15">
        <f t="shared" si="62"/>
        <v>155.77933379668983</v>
      </c>
      <c r="GB27" s="15">
        <f t="shared" si="62"/>
        <v>154.22154045872293</v>
      </c>
      <c r="GC27" s="15">
        <f t="shared" si="62"/>
        <v>152.67932505413569</v>
      </c>
      <c r="GD27" s="15">
        <f t="shared" si="62"/>
        <v>151.15253180359434</v>
      </c>
      <c r="GE27" s="15">
        <f t="shared" si="62"/>
        <v>149.64100648555839</v>
      </c>
      <c r="GF27" s="15">
        <f t="shared" si="62"/>
        <v>148.14459642070281</v>
      </c>
      <c r="GG27" s="15">
        <f t="shared" si="62"/>
        <v>146.66315045649577</v>
      </c>
      <c r="GH27" s="15">
        <f t="shared" ref="GH27:HJ27" si="63">GG27*(1+$AJ$37)</f>
        <v>145.19651895193081</v>
      </c>
      <c r="GI27" s="15">
        <f t="shared" si="63"/>
        <v>143.7445537624115</v>
      </c>
      <c r="GJ27" s="15">
        <f t="shared" si="63"/>
        <v>142.30710822478738</v>
      </c>
      <c r="GK27" s="15">
        <f t="shared" si="63"/>
        <v>140.88403714253951</v>
      </c>
      <c r="GL27" s="15">
        <f t="shared" si="63"/>
        <v>139.47519677111413</v>
      </c>
      <c r="GM27" s="15">
        <f t="shared" si="63"/>
        <v>138.080444803403</v>
      </c>
      <c r="GN27" s="15">
        <f t="shared" si="63"/>
        <v>136.69964035536896</v>
      </c>
      <c r="GO27" s="15">
        <f t="shared" si="63"/>
        <v>135.33264395181527</v>
      </c>
      <c r="GP27" s="15">
        <f t="shared" si="63"/>
        <v>133.97931751229711</v>
      </c>
      <c r="GQ27" s="15">
        <f t="shared" si="63"/>
        <v>132.63952433717415</v>
      </c>
      <c r="GR27" s="15">
        <f t="shared" si="63"/>
        <v>131.31312909380242</v>
      </c>
      <c r="GS27" s="15">
        <f t="shared" si="63"/>
        <v>129.99999780286439</v>
      </c>
      <c r="GT27" s="15">
        <f t="shared" si="63"/>
        <v>128.69999782483575</v>
      </c>
      <c r="GU27" s="15">
        <f t="shared" si="63"/>
        <v>127.41299784658739</v>
      </c>
      <c r="GV27" s="15">
        <f t="shared" si="63"/>
        <v>126.13886786812151</v>
      </c>
      <c r="GW27" s="15">
        <f t="shared" si="63"/>
        <v>124.87747918944029</v>
      </c>
      <c r="GX27" s="15">
        <f t="shared" si="63"/>
        <v>123.62870439754589</v>
      </c>
      <c r="GY27" s="15">
        <f t="shared" si="63"/>
        <v>122.39241735357042</v>
      </c>
      <c r="GZ27" s="15">
        <f t="shared" si="63"/>
        <v>121.16849318003472</v>
      </c>
      <c r="HA27" s="15">
        <f t="shared" si="63"/>
        <v>119.95680824823437</v>
      </c>
      <c r="HB27" s="15">
        <f t="shared" si="63"/>
        <v>118.75724016575202</v>
      </c>
      <c r="HC27" s="15">
        <f t="shared" si="63"/>
        <v>117.5696677640945</v>
      </c>
      <c r="HD27" s="15">
        <f t="shared" si="63"/>
        <v>116.39397108645356</v>
      </c>
      <c r="HE27" s="15">
        <f t="shared" si="63"/>
        <v>115.23003137558902</v>
      </c>
      <c r="HF27" s="15">
        <f t="shared" si="63"/>
        <v>114.07773106183313</v>
      </c>
      <c r="HG27" s="15">
        <f t="shared" si="63"/>
        <v>112.9369537512148</v>
      </c>
      <c r="HH27" s="15">
        <f t="shared" si="63"/>
        <v>111.80758421370265</v>
      </c>
      <c r="HI27" s="15">
        <f t="shared" si="63"/>
        <v>110.68950837156562</v>
      </c>
      <c r="HJ27" s="15">
        <f t="shared" si="63"/>
        <v>109.58261328784997</v>
      </c>
    </row>
    <row r="28" spans="1:218" x14ac:dyDescent="0.25">
      <c r="B28" s="12" t="s">
        <v>18</v>
      </c>
      <c r="C28" s="7"/>
      <c r="D28" s="7"/>
      <c r="E28" s="7">
        <v>23.433</v>
      </c>
      <c r="F28" s="7"/>
      <c r="G28" s="7"/>
      <c r="H28" s="7">
        <v>39.753</v>
      </c>
      <c r="I28" s="7">
        <v>47.9</v>
      </c>
      <c r="J28" s="7">
        <v>48.3</v>
      </c>
      <c r="K28" s="7">
        <v>48.8</v>
      </c>
      <c r="L28" s="7">
        <v>48.8</v>
      </c>
      <c r="M28" s="7">
        <v>49</v>
      </c>
      <c r="N28" s="7">
        <f>J28*1.01</f>
        <v>48.782999999999994</v>
      </c>
      <c r="O28" s="7">
        <f t="shared" ref="O28:Q28" si="64">K28*1.01</f>
        <v>49.287999999999997</v>
      </c>
      <c r="P28" s="7">
        <f t="shared" si="64"/>
        <v>49.287999999999997</v>
      </c>
      <c r="Q28" s="7">
        <f t="shared" si="64"/>
        <v>49.49</v>
      </c>
      <c r="V28" s="7">
        <f>E28</f>
        <v>23.433</v>
      </c>
      <c r="W28" s="7">
        <f>I28</f>
        <v>47.9</v>
      </c>
      <c r="X28" s="7">
        <f>M28</f>
        <v>49</v>
      </c>
      <c r="Y28" s="7">
        <f>Q28</f>
        <v>49.49</v>
      </c>
      <c r="Z28" s="7">
        <f>Y28*1.01</f>
        <v>49.984900000000003</v>
      </c>
      <c r="AA28" s="7">
        <f t="shared" ref="AA28:AC28" si="65">Z28*1.01</f>
        <v>50.484749000000001</v>
      </c>
      <c r="AB28" s="7">
        <f t="shared" si="65"/>
        <v>50.989596490000004</v>
      </c>
      <c r="AC28" s="7">
        <f t="shared" si="65"/>
        <v>51.499492454900007</v>
      </c>
    </row>
    <row r="29" spans="1:218" x14ac:dyDescent="0.25">
      <c r="B29" s="12" t="s">
        <v>19</v>
      </c>
      <c r="C29" s="13" t="e">
        <f t="shared" ref="C29:G29" si="66">C27/C28</f>
        <v>#DIV/0!</v>
      </c>
      <c r="D29" s="13" t="e">
        <f t="shared" si="66"/>
        <v>#DIV/0!</v>
      </c>
      <c r="E29" s="13">
        <f t="shared" si="66"/>
        <v>-0.74753552682114999</v>
      </c>
      <c r="F29" s="13" t="e">
        <f t="shared" si="66"/>
        <v>#DIV/0!</v>
      </c>
      <c r="G29" s="13" t="e">
        <f t="shared" si="66"/>
        <v>#DIV/0!</v>
      </c>
      <c r="H29" s="13">
        <f>H27/H28</f>
        <v>-0.46399013910899817</v>
      </c>
      <c r="I29" s="13">
        <f>I27/I28</f>
        <v>-0.29081419624217092</v>
      </c>
      <c r="J29" s="13">
        <f t="shared" ref="J29:Q29" si="67">J27/J28</f>
        <v>-5.3457556935817906E-2</v>
      </c>
      <c r="K29" s="13">
        <f t="shared" si="67"/>
        <v>7.6331967213114582E-2</v>
      </c>
      <c r="L29" s="13">
        <f t="shared" si="67"/>
        <v>5.7520491803278957E-2</v>
      </c>
      <c r="M29" s="13">
        <f t="shared" si="67"/>
        <v>0.24728571428571405</v>
      </c>
      <c r="N29" s="13">
        <f t="shared" si="67"/>
        <v>0.19541743025234218</v>
      </c>
      <c r="O29" s="13">
        <f t="shared" si="67"/>
        <v>0.3068294412433048</v>
      </c>
      <c r="P29" s="13">
        <f t="shared" si="67"/>
        <v>0.37105060055185834</v>
      </c>
      <c r="Q29" s="13">
        <f t="shared" si="67"/>
        <v>0.57638154172560152</v>
      </c>
      <c r="V29" s="13">
        <f t="shared" ref="V29:AC29" si="68">V27/V28</f>
        <v>-1.9913370033713145</v>
      </c>
      <c r="W29" s="13">
        <f t="shared" si="68"/>
        <v>-1.2437160751565761</v>
      </c>
      <c r="X29" s="13">
        <f t="shared" si="68"/>
        <v>0.32789795918367437</v>
      </c>
      <c r="Y29" s="13">
        <f t="shared" si="68"/>
        <v>1.4441204788846216</v>
      </c>
      <c r="Z29" s="13">
        <f t="shared" si="68"/>
        <v>2.3765451753429554</v>
      </c>
      <c r="AA29" s="13">
        <f t="shared" si="68"/>
        <v>4.3067583056904946</v>
      </c>
      <c r="AB29" s="13">
        <f t="shared" si="68"/>
        <v>8.271833454610217</v>
      </c>
      <c r="AC29" s="13">
        <f t="shared" si="68"/>
        <v>14.219585117718736</v>
      </c>
    </row>
    <row r="32" spans="1:218" x14ac:dyDescent="0.25">
      <c r="B32" s="7"/>
    </row>
    <row r="33" spans="1:36" x14ac:dyDescent="0.25">
      <c r="B33" s="12" t="s">
        <v>79</v>
      </c>
      <c r="G33" s="24">
        <f t="shared" ref="G33:L33" si="69">G11/C11-1</f>
        <v>0.49864374051767735</v>
      </c>
      <c r="H33" s="24">
        <f t="shared" si="69"/>
        <v>0.56793395611557673</v>
      </c>
      <c r="I33" s="24">
        <f t="shared" si="69"/>
        <v>0.52865332315939817</v>
      </c>
      <c r="J33" s="24">
        <f t="shared" si="69"/>
        <v>0.48569212204792289</v>
      </c>
      <c r="K33" s="24">
        <f t="shared" si="69"/>
        <v>0.45961284780808054</v>
      </c>
      <c r="L33" s="24">
        <f t="shared" si="69"/>
        <v>0.46714792440281561</v>
      </c>
      <c r="M33" s="24">
        <f>M11/I11-1</f>
        <v>0.50329574688663903</v>
      </c>
      <c r="N33" s="24">
        <f t="shared" ref="N33:Q33" si="70">N11/J11-1</f>
        <v>0.39999999999999991</v>
      </c>
      <c r="O33" s="24">
        <f t="shared" si="70"/>
        <v>0.39999999999999969</v>
      </c>
      <c r="P33" s="24">
        <f t="shared" si="70"/>
        <v>0.39999999999999991</v>
      </c>
      <c r="Q33" s="24">
        <f t="shared" si="70"/>
        <v>0.40000000000000013</v>
      </c>
      <c r="W33" s="24">
        <f>W11/V11-1</f>
        <v>0.94468974637913017</v>
      </c>
      <c r="X33" s="24">
        <f t="shared" ref="X33:AC33" si="71">X11/W11-1</f>
        <v>0.47961112512659643</v>
      </c>
      <c r="Y33" s="24">
        <f t="shared" si="71"/>
        <v>0.39999999999999991</v>
      </c>
      <c r="Z33" s="24">
        <f t="shared" si="71"/>
        <v>0.29000000000000004</v>
      </c>
      <c r="AA33" s="24">
        <f t="shared" si="71"/>
        <v>0.32000000000000006</v>
      </c>
      <c r="AB33" s="24">
        <f t="shared" si="71"/>
        <v>0.39999999999999991</v>
      </c>
      <c r="AC33" s="24">
        <f t="shared" si="71"/>
        <v>0.39999999999999991</v>
      </c>
    </row>
    <row r="34" spans="1:36" x14ac:dyDescent="0.25">
      <c r="B34" s="12" t="s">
        <v>80</v>
      </c>
      <c r="G34" s="24">
        <f t="shared" ref="G34:Q34" si="72">G12/C12-1</f>
        <v>0.23873674911660792</v>
      </c>
      <c r="H34" s="24">
        <f t="shared" si="72"/>
        <v>0.17609923579576914</v>
      </c>
      <c r="I34" s="24">
        <f t="shared" si="72"/>
        <v>4.4879274750919684E-4</v>
      </c>
      <c r="J34" s="24">
        <f t="shared" si="72"/>
        <v>-9.6186584950629372E-3</v>
      </c>
      <c r="K34" s="24">
        <f t="shared" si="72"/>
        <v>0.16428953467641283</v>
      </c>
      <c r="L34" s="24">
        <f t="shared" si="72"/>
        <v>9.9726904604953592E-2</v>
      </c>
      <c r="M34" s="24">
        <f t="shared" si="72"/>
        <v>0.20976134936300017</v>
      </c>
      <c r="N34" s="24">
        <f>N12/J12-1</f>
        <v>0.14999999999999991</v>
      </c>
      <c r="O34" s="24">
        <f t="shared" si="72"/>
        <v>0.14999999999999991</v>
      </c>
      <c r="P34" s="24">
        <f t="shared" si="72"/>
        <v>0.14999999999999991</v>
      </c>
      <c r="Q34" s="24">
        <f t="shared" si="72"/>
        <v>0.14999999999999991</v>
      </c>
      <c r="W34" s="24">
        <f t="shared" ref="W34:AC34" si="73">W12/V12-1</f>
        <v>0.53052076917812907</v>
      </c>
      <c r="X34" s="24">
        <f t="shared" si="73"/>
        <v>0.11461849723905115</v>
      </c>
      <c r="Y34" s="24">
        <f t="shared" si="73"/>
        <v>0.15000000000000013</v>
      </c>
      <c r="Z34" s="24">
        <f t="shared" si="73"/>
        <v>0.10000000000000009</v>
      </c>
      <c r="AA34" s="24">
        <f t="shared" si="73"/>
        <v>0.10000000000000009</v>
      </c>
      <c r="AB34" s="24">
        <f t="shared" si="73"/>
        <v>0.10000000000000009</v>
      </c>
      <c r="AC34" s="24">
        <f t="shared" si="73"/>
        <v>0.10000000000000009</v>
      </c>
    </row>
    <row r="35" spans="1:36" x14ac:dyDescent="0.25">
      <c r="B35" s="12" t="s">
        <v>81</v>
      </c>
      <c r="G35" s="24">
        <f t="shared" ref="G35:Q35" si="74">G13/C13-1</f>
        <v>0.66273536105938335</v>
      </c>
      <c r="H35" s="24">
        <f t="shared" si="74"/>
        <v>0.22359970126960405</v>
      </c>
      <c r="I35" s="24">
        <f t="shared" si="74"/>
        <v>3.8912909203211887E-2</v>
      </c>
      <c r="J35" s="24">
        <f t="shared" si="74"/>
        <v>0.23415841584158414</v>
      </c>
      <c r="K35" s="24">
        <f t="shared" si="74"/>
        <v>0.22063215530114477</v>
      </c>
      <c r="L35" s="24">
        <f t="shared" si="74"/>
        <v>0.29541015625</v>
      </c>
      <c r="M35" s="24">
        <f t="shared" si="74"/>
        <v>0.28644470868014271</v>
      </c>
      <c r="N35" s="24">
        <f t="shared" si="74"/>
        <v>0.19999999999999996</v>
      </c>
      <c r="O35" s="24">
        <f t="shared" si="74"/>
        <v>0.19999999999999996</v>
      </c>
      <c r="P35" s="24">
        <f t="shared" si="74"/>
        <v>0.19999999999999996</v>
      </c>
      <c r="Q35" s="24">
        <f t="shared" si="74"/>
        <v>0.19999999999999996</v>
      </c>
      <c r="W35" s="24">
        <f t="shared" ref="W35:AC35" si="75">W13/V13-1</f>
        <v>0.66732915456352249</v>
      </c>
      <c r="X35" s="24">
        <f t="shared" si="75"/>
        <v>0.25961244574851761</v>
      </c>
      <c r="Y35" s="24">
        <f t="shared" si="75"/>
        <v>0.19999999999999973</v>
      </c>
      <c r="Z35" s="24">
        <f t="shared" si="75"/>
        <v>0.14999999999999991</v>
      </c>
      <c r="AA35" s="24">
        <f t="shared" si="75"/>
        <v>0.19999999999999996</v>
      </c>
      <c r="AB35" s="24">
        <f t="shared" si="75"/>
        <v>0.19999999999999996</v>
      </c>
      <c r="AC35" s="24">
        <f t="shared" si="75"/>
        <v>0.19999999999999996</v>
      </c>
    </row>
    <row r="36" spans="1:36" x14ac:dyDescent="0.25">
      <c r="B36" s="12" t="s">
        <v>82</v>
      </c>
      <c r="G36" s="24">
        <f t="shared" ref="G36:Q36" si="76">G14/C14-1</f>
        <v>1.7889518413597738</v>
      </c>
      <c r="H36" s="24">
        <f t="shared" si="76"/>
        <v>1.7604562737642584</v>
      </c>
      <c r="I36" s="24">
        <f t="shared" si="76"/>
        <v>1.3010873640794904</v>
      </c>
      <c r="J36" s="24">
        <f t="shared" si="76"/>
        <v>1.3267297457125959</v>
      </c>
      <c r="K36" s="24">
        <f t="shared" si="76"/>
        <v>1.2374301675977653</v>
      </c>
      <c r="L36" s="24">
        <f t="shared" si="76"/>
        <v>0.85891381345926798</v>
      </c>
      <c r="M36" s="24">
        <f t="shared" si="76"/>
        <v>0.50366628645918188</v>
      </c>
      <c r="N36" s="24">
        <f t="shared" si="76"/>
        <v>0.5</v>
      </c>
      <c r="O36" s="24">
        <f t="shared" si="76"/>
        <v>0.5</v>
      </c>
      <c r="P36" s="24">
        <f t="shared" si="76"/>
        <v>0.5</v>
      </c>
      <c r="Q36" s="24">
        <f t="shared" si="76"/>
        <v>0.5</v>
      </c>
      <c r="W36" s="24">
        <f t="shared" ref="W36:AC36" si="77">W14/V14-1</f>
        <v>2.1315878378378383</v>
      </c>
      <c r="X36" s="24">
        <f t="shared" si="77"/>
        <v>0.90706079076541313</v>
      </c>
      <c r="Y36" s="24">
        <f t="shared" si="77"/>
        <v>0.5</v>
      </c>
      <c r="Z36" s="24">
        <f t="shared" si="77"/>
        <v>0.39999999999999991</v>
      </c>
      <c r="AA36" s="24">
        <f t="shared" si="77"/>
        <v>0.44999999999999996</v>
      </c>
      <c r="AB36" s="24">
        <f t="shared" si="77"/>
        <v>0.44999999999999996</v>
      </c>
      <c r="AC36" s="24">
        <f t="shared" si="77"/>
        <v>0.44999999999999996</v>
      </c>
    </row>
    <row r="37" spans="1:36" s="15" customFormat="1" x14ac:dyDescent="0.25">
      <c r="A37" s="14"/>
      <c r="B37" s="14" t="s">
        <v>44</v>
      </c>
      <c r="C37" s="30"/>
      <c r="D37" s="30"/>
      <c r="E37" s="30"/>
      <c r="F37" s="30"/>
      <c r="G37" s="30">
        <f t="shared" ref="G37:Q38" si="78">G15/C15-1</f>
        <v>0.50308657721544847</v>
      </c>
      <c r="H37" s="30">
        <f t="shared" si="78"/>
        <v>0.51057473071782367</v>
      </c>
      <c r="I37" s="30">
        <f t="shared" si="78"/>
        <v>0.42197386802531023</v>
      </c>
      <c r="J37" s="30">
        <f t="shared" si="78"/>
        <v>0.42404580152671767</v>
      </c>
      <c r="K37" s="30">
        <f t="shared" si="78"/>
        <v>0.43505758830584007</v>
      </c>
      <c r="L37" s="30">
        <f t="shared" si="78"/>
        <v>0.43261333472128238</v>
      </c>
      <c r="M37" s="30">
        <f t="shared" si="78"/>
        <v>0.45423986746802258</v>
      </c>
      <c r="N37" s="30">
        <f t="shared" si="78"/>
        <v>0.36441108065813022</v>
      </c>
      <c r="O37" s="30">
        <f t="shared" si="78"/>
        <v>0.3657364848351059</v>
      </c>
      <c r="P37" s="30">
        <f t="shared" si="78"/>
        <v>0.37022902982038008</v>
      </c>
      <c r="Q37" s="30">
        <f t="shared" si="78"/>
        <v>0.36945391926350313</v>
      </c>
      <c r="V37" s="30"/>
      <c r="W37" s="30">
        <f t="shared" ref="W37:AC39" si="79">W15/V15-1</f>
        <v>0.89085112480298068</v>
      </c>
      <c r="X37" s="30">
        <f t="shared" si="79"/>
        <v>0.43739157498748304</v>
      </c>
      <c r="Y37" s="30">
        <f t="shared" si="79"/>
        <v>0.36766878362068778</v>
      </c>
      <c r="Z37" s="30">
        <f t="shared" si="79"/>
        <v>0.27350175637805618</v>
      </c>
      <c r="AA37" s="30">
        <f t="shared" si="79"/>
        <v>0.30805653676678246</v>
      </c>
      <c r="AB37" s="30">
        <f t="shared" si="79"/>
        <v>0.37596736890706506</v>
      </c>
      <c r="AC37" s="30">
        <f t="shared" si="79"/>
        <v>0.38109915766345948</v>
      </c>
      <c r="AI37" s="19" t="s">
        <v>65</v>
      </c>
      <c r="AJ37" s="29">
        <v>-0.01</v>
      </c>
    </row>
    <row r="38" spans="1:36" x14ac:dyDescent="0.25">
      <c r="B38" s="12" t="s">
        <v>73</v>
      </c>
      <c r="C38" s="24"/>
      <c r="D38" s="24"/>
      <c r="E38" s="24"/>
      <c r="F38" s="24"/>
      <c r="G38" s="24">
        <f t="shared" si="78"/>
        <v>0.47914730123319083</v>
      </c>
      <c r="H38" s="24">
        <f t="shared" si="78"/>
        <v>0.45491757937824984</v>
      </c>
      <c r="I38" s="24">
        <f t="shared" si="78"/>
        <v>0.39184041700080185</v>
      </c>
      <c r="J38" s="24">
        <f t="shared" si="78"/>
        <v>0.46542577943229424</v>
      </c>
      <c r="K38" s="24">
        <f t="shared" si="78"/>
        <v>0.41555993129163338</v>
      </c>
      <c r="L38" s="24">
        <f t="shared" si="78"/>
        <v>0.378374268116493</v>
      </c>
      <c r="M38" s="24">
        <f t="shared" si="78"/>
        <v>0.46096507021966149</v>
      </c>
      <c r="N38" s="24">
        <f t="shared" si="78"/>
        <v>0.39999999999999991</v>
      </c>
      <c r="O38" s="24">
        <f t="shared" si="78"/>
        <v>0.39999999999999991</v>
      </c>
      <c r="P38" s="24">
        <f t="shared" si="78"/>
        <v>0.39999999999999991</v>
      </c>
      <c r="Q38" s="24">
        <f t="shared" si="78"/>
        <v>0.39999999999999991</v>
      </c>
      <c r="V38" s="24"/>
      <c r="W38" s="24">
        <f t="shared" si="79"/>
        <v>0.83563793453578739</v>
      </c>
      <c r="X38" s="24">
        <f t="shared" si="79"/>
        <v>0.42918204584083419</v>
      </c>
      <c r="Y38" s="24">
        <f t="shared" si="79"/>
        <v>0.39999999999999991</v>
      </c>
      <c r="Z38" s="24">
        <f t="shared" si="79"/>
        <v>0.35000000000000009</v>
      </c>
      <c r="AA38" s="24">
        <f t="shared" si="79"/>
        <v>0.30000000000000004</v>
      </c>
      <c r="AB38" s="24">
        <f t="shared" si="79"/>
        <v>0.30000000000000004</v>
      </c>
      <c r="AC38" s="24">
        <f t="shared" si="79"/>
        <v>0.30000000000000004</v>
      </c>
      <c r="AI38" s="17" t="s">
        <v>66</v>
      </c>
      <c r="AJ38" s="26">
        <f>WACC!C18</f>
        <v>6.2941209427912495E-2</v>
      </c>
    </row>
    <row r="39" spans="1:36" x14ac:dyDescent="0.25">
      <c r="B39" s="12" t="s">
        <v>45</v>
      </c>
      <c r="C39" s="24"/>
      <c r="D39" s="24"/>
      <c r="E39" s="24"/>
      <c r="F39" s="24"/>
      <c r="G39" s="24">
        <f t="shared" ref="G39:Q39" si="80">(G17/C17)-1</f>
        <v>0.51214081470022998</v>
      </c>
      <c r="H39" s="24">
        <f t="shared" si="80"/>
        <v>0.53268009754597201</v>
      </c>
      <c r="I39" s="24">
        <f t="shared" si="80"/>
        <v>0.43330443631977689</v>
      </c>
      <c r="J39" s="24">
        <f t="shared" si="80"/>
        <v>0.40915787711367813</v>
      </c>
      <c r="K39" s="24">
        <f t="shared" si="80"/>
        <v>0.44227102934110363</v>
      </c>
      <c r="L39" s="24">
        <f t="shared" si="80"/>
        <v>0.45306251164657474</v>
      </c>
      <c r="M39" s="24">
        <f t="shared" si="80"/>
        <v>0.45178425855313309</v>
      </c>
      <c r="N39" s="24">
        <f t="shared" si="80"/>
        <v>0.35109541517660903</v>
      </c>
      <c r="O39" s="24">
        <f t="shared" si="80"/>
        <v>0.35329496727600995</v>
      </c>
      <c r="P39" s="24">
        <f t="shared" si="80"/>
        <v>0.35958173029495888</v>
      </c>
      <c r="Q39" s="24">
        <f t="shared" si="80"/>
        <v>0.35822993460974173</v>
      </c>
      <c r="V39" s="24"/>
      <c r="W39" s="24">
        <f t="shared" si="79"/>
        <v>0.91202520443201585</v>
      </c>
      <c r="X39" s="24">
        <f t="shared" si="79"/>
        <v>0.4404141240594821</v>
      </c>
      <c r="Y39" s="24">
        <f t="shared" si="79"/>
        <v>0.35585803744948619</v>
      </c>
      <c r="Z39" s="24">
        <f t="shared" si="79"/>
        <v>0.24464679006404988</v>
      </c>
      <c r="AA39" s="24">
        <f t="shared" si="79"/>
        <v>0.31135267294547142</v>
      </c>
      <c r="AB39" s="24">
        <f t="shared" si="79"/>
        <v>0.40677850301700524</v>
      </c>
      <c r="AC39" s="24">
        <f t="shared" si="79"/>
        <v>0.41149502719591013</v>
      </c>
      <c r="AI39" s="17" t="s">
        <v>67</v>
      </c>
      <c r="AJ39" s="7">
        <f>NPV(AJ38,X27:HJ27)</f>
        <v>8057.3990238816941</v>
      </c>
    </row>
    <row r="40" spans="1:36" x14ac:dyDescent="0.25">
      <c r="B40" s="12" t="s">
        <v>46</v>
      </c>
      <c r="C40" s="24"/>
      <c r="D40" s="24"/>
      <c r="E40" s="24"/>
      <c r="F40" s="24"/>
      <c r="G40" s="24">
        <f t="shared" ref="G40:Q41" si="81">G21/C21-1</f>
        <v>0.84384850732430916</v>
      </c>
      <c r="H40" s="24">
        <f t="shared" si="81"/>
        <v>0.21164962205424653</v>
      </c>
      <c r="I40" s="24">
        <f t="shared" si="81"/>
        <v>0.33669140286902088</v>
      </c>
      <c r="J40" s="24">
        <f t="shared" si="81"/>
        <v>0.2949411123684984</v>
      </c>
      <c r="K40" s="24">
        <f t="shared" si="81"/>
        <v>0.23085819160035714</v>
      </c>
      <c r="L40" s="24">
        <f t="shared" si="81"/>
        <v>0.17920489296636055</v>
      </c>
      <c r="M40" s="24">
        <f t="shared" si="81"/>
        <v>0.12114939600450092</v>
      </c>
      <c r="N40" s="24">
        <f t="shared" si="81"/>
        <v>0.14999999999999991</v>
      </c>
      <c r="O40" s="24">
        <f t="shared" si="81"/>
        <v>0.14999999999999991</v>
      </c>
      <c r="P40" s="24">
        <f t="shared" si="81"/>
        <v>0.15000000000000013</v>
      </c>
      <c r="Q40" s="24">
        <f t="shared" si="81"/>
        <v>0.14999999999999991</v>
      </c>
      <c r="V40" s="24"/>
      <c r="W40" s="24">
        <f t="shared" ref="W40:AC41" si="82">W21/V21-1</f>
        <v>0.78483054547003284</v>
      </c>
      <c r="X40" s="24">
        <f t="shared" si="82"/>
        <v>0.19985742366349579</v>
      </c>
      <c r="Y40" s="24">
        <f t="shared" si="82"/>
        <v>0.14999999999999991</v>
      </c>
      <c r="Z40" s="24">
        <f t="shared" si="82"/>
        <v>0.14999999999999991</v>
      </c>
      <c r="AA40" s="24">
        <f t="shared" si="82"/>
        <v>0.15000000000000013</v>
      </c>
      <c r="AB40" s="24">
        <f t="shared" si="82"/>
        <v>0.14999999999999969</v>
      </c>
      <c r="AC40" s="24">
        <f t="shared" si="82"/>
        <v>0.14999999999999991</v>
      </c>
      <c r="AI40" s="17" t="s">
        <v>68</v>
      </c>
      <c r="AJ40" s="18">
        <f>Main!C8-Main!C9</f>
        <v>747.61</v>
      </c>
    </row>
    <row r="41" spans="1:36" x14ac:dyDescent="0.25">
      <c r="B41" s="12" t="s">
        <v>47</v>
      </c>
      <c r="C41" s="24"/>
      <c r="D41" s="24"/>
      <c r="E41" s="24"/>
      <c r="F41" s="24"/>
      <c r="G41" s="24">
        <f t="shared" si="81"/>
        <v>30.451882845187701</v>
      </c>
      <c r="H41" s="24">
        <f t="shared" si="81"/>
        <v>-0.29749128919860612</v>
      </c>
      <c r="I41" s="24">
        <f t="shared" si="81"/>
        <v>4.2319839219062905E-2</v>
      </c>
      <c r="J41" s="24">
        <f t="shared" si="81"/>
        <v>-0.28091499957795141</v>
      </c>
      <c r="K41" s="24">
        <f t="shared" si="81"/>
        <v>-0.67640015963815281</v>
      </c>
      <c r="L41" s="24">
        <f t="shared" si="81"/>
        <v>-0.76837615315940955</v>
      </c>
      <c r="M41" s="24">
        <f t="shared" si="81"/>
        <v>-1.2641582194799466</v>
      </c>
      <c r="N41" s="24">
        <f t="shared" si="81"/>
        <v>-1.8368529170090393</v>
      </c>
      <c r="O41" s="24">
        <f t="shared" si="81"/>
        <v>-3.7383453237410031</v>
      </c>
      <c r="P41" s="24">
        <f t="shared" si="81"/>
        <v>-4.3993147751606072</v>
      </c>
      <c r="Q41" s="24">
        <f t="shared" si="81"/>
        <v>4.944890510948925</v>
      </c>
      <c r="V41" s="24"/>
      <c r="W41" s="24">
        <f t="shared" si="82"/>
        <v>0.39924452170926905</v>
      </c>
      <c r="X41" s="24">
        <f t="shared" si="82"/>
        <v>-0.79662550809111188</v>
      </c>
      <c r="Y41" s="24">
        <f t="shared" si="82"/>
        <v>-5.8896409985670219</v>
      </c>
      <c r="Z41" s="24">
        <f t="shared" si="82"/>
        <v>0.91999238798891336</v>
      </c>
      <c r="AA41" s="24">
        <f t="shared" si="82"/>
        <v>1.0009485901899344</v>
      </c>
      <c r="AB41" s="24">
        <f t="shared" si="82"/>
        <v>1.0375021150893384</v>
      </c>
      <c r="AC41" s="24">
        <f t="shared" si="82"/>
        <v>0.7740247622112908</v>
      </c>
      <c r="AI41" s="18" t="s">
        <v>69</v>
      </c>
      <c r="AJ41" s="18">
        <f>AJ39+AJ40</f>
        <v>8805.0090238816938</v>
      </c>
    </row>
    <row r="42" spans="1:36" x14ac:dyDescent="0.25">
      <c r="B42" s="12" t="s">
        <v>48</v>
      </c>
      <c r="C42" s="24"/>
      <c r="D42" s="24"/>
      <c r="E42" s="24"/>
      <c r="F42" s="24"/>
      <c r="G42" s="24">
        <f t="shared" ref="G42:Q43" si="83">G27/C27-1</f>
        <v>84.482954545450298</v>
      </c>
      <c r="H42" s="24">
        <f t="shared" si="83"/>
        <v>-0.36330686917500854</v>
      </c>
      <c r="I42" s="24">
        <f t="shared" si="83"/>
        <v>-0.20477250670777059</v>
      </c>
      <c r="J42" s="24">
        <f t="shared" si="83"/>
        <v>-0.78755965114365589</v>
      </c>
      <c r="K42" s="24">
        <f t="shared" si="83"/>
        <v>-1.2475905616483878</v>
      </c>
      <c r="L42" s="24">
        <f t="shared" si="83"/>
        <v>-1.1521821631878564</v>
      </c>
      <c r="M42" s="24">
        <f t="shared" si="83"/>
        <v>-1.8698492462311558</v>
      </c>
      <c r="N42" s="24">
        <f t="shared" si="83"/>
        <v>-4.6921179318357815</v>
      </c>
      <c r="O42" s="24">
        <f t="shared" si="83"/>
        <v>3.0598683221476621</v>
      </c>
      <c r="P42" s="24">
        <f t="shared" si="83"/>
        <v>5.5152625578909547</v>
      </c>
      <c r="Q42" s="24">
        <f t="shared" si="83"/>
        <v>1.3541406701328751</v>
      </c>
      <c r="V42" s="24"/>
      <c r="W42" s="24">
        <f t="shared" ref="W42:AC43" si="84">W27/V27-1</f>
        <v>0.27668602533056141</v>
      </c>
      <c r="X42" s="24">
        <f t="shared" si="84"/>
        <v>-1.2696981904857831</v>
      </c>
      <c r="Y42" s="24">
        <f t="shared" si="84"/>
        <v>3.4482182423601007</v>
      </c>
      <c r="Z42" s="24">
        <f t="shared" si="84"/>
        <v>0.66212629915080545</v>
      </c>
      <c r="AA42" s="24">
        <f t="shared" si="84"/>
        <v>0.83031483427184694</v>
      </c>
      <c r="AB42" s="24">
        <f t="shared" si="84"/>
        <v>0.93987012879675635</v>
      </c>
      <c r="AC42" s="24">
        <f t="shared" si="84"/>
        <v>0.73622704660374194</v>
      </c>
      <c r="AI42" s="18" t="s">
        <v>70</v>
      </c>
      <c r="AJ42" s="27">
        <f>AJ41/Main!C6</f>
        <v>179.69406171187131</v>
      </c>
    </row>
    <row r="43" spans="1:36" x14ac:dyDescent="0.25">
      <c r="B43" s="12" t="s">
        <v>49</v>
      </c>
      <c r="C43" s="24"/>
      <c r="D43" s="24"/>
      <c r="E43" s="24"/>
      <c r="F43" s="24"/>
      <c r="G43" s="24" t="e">
        <f t="shared" si="83"/>
        <v>#DIV/0!</v>
      </c>
      <c r="H43" s="24" t="e">
        <f t="shared" si="83"/>
        <v>#DIV/0!</v>
      </c>
      <c r="I43" s="24">
        <f t="shared" si="83"/>
        <v>1.0441258054879872</v>
      </c>
      <c r="J43" s="24" t="e">
        <f t="shared" si="83"/>
        <v>#DIV/0!</v>
      </c>
      <c r="K43" s="24" t="e">
        <f t="shared" si="83"/>
        <v>#DIV/0!</v>
      </c>
      <c r="L43" s="24">
        <f t="shared" si="83"/>
        <v>0.22758030840439702</v>
      </c>
      <c r="M43" s="24">
        <f t="shared" si="83"/>
        <v>2.2964509394572064E-2</v>
      </c>
      <c r="N43" s="24">
        <f t="shared" si="83"/>
        <v>1.0000000000000009E-2</v>
      </c>
      <c r="O43" s="24">
        <f t="shared" si="83"/>
        <v>1.0000000000000009E-2</v>
      </c>
      <c r="P43" s="24">
        <f t="shared" si="83"/>
        <v>1.0000000000000009E-2</v>
      </c>
      <c r="Q43" s="24">
        <f t="shared" si="83"/>
        <v>1.0000000000000009E-2</v>
      </c>
      <c r="V43" s="24"/>
      <c r="W43" s="24">
        <f t="shared" si="84"/>
        <v>1.0441258054879872</v>
      </c>
      <c r="X43" s="24">
        <f t="shared" si="84"/>
        <v>2.2964509394572064E-2</v>
      </c>
      <c r="Y43" s="24">
        <f t="shared" si="84"/>
        <v>1.0000000000000009E-2</v>
      </c>
      <c r="Z43" s="24">
        <f t="shared" si="84"/>
        <v>1.0000000000000009E-2</v>
      </c>
      <c r="AA43" s="24">
        <f t="shared" si="84"/>
        <v>1.0000000000000009E-2</v>
      </c>
      <c r="AB43" s="24">
        <f t="shared" si="84"/>
        <v>1.0000000000000009E-2</v>
      </c>
      <c r="AC43" s="24">
        <f t="shared" si="84"/>
        <v>1.0000000000000009E-2</v>
      </c>
      <c r="AI43" s="18" t="s">
        <v>71</v>
      </c>
      <c r="AJ43" s="27">
        <f>Main!C5</f>
        <v>222.64</v>
      </c>
    </row>
    <row r="44" spans="1:36" x14ac:dyDescent="0.25">
      <c r="B44" s="12" t="s">
        <v>50</v>
      </c>
      <c r="C44" s="24">
        <f t="shared" ref="C44:Q44" si="85">C17/C15</f>
        <v>0.72557522575378808</v>
      </c>
      <c r="D44" s="24">
        <f t="shared" si="85"/>
        <v>0.71573236889692582</v>
      </c>
      <c r="E44" s="24">
        <f t="shared" si="85"/>
        <v>0.7267373380447586</v>
      </c>
      <c r="F44" s="24">
        <f t="shared" si="85"/>
        <v>0.73540999753755243</v>
      </c>
      <c r="G44" s="24">
        <f t="shared" si="85"/>
        <v>0.72994591903695161</v>
      </c>
      <c r="H44" s="24">
        <f t="shared" si="85"/>
        <v>0.72620621454223711</v>
      </c>
      <c r="I44" s="24">
        <f t="shared" si="85"/>
        <v>0.73252812451841587</v>
      </c>
      <c r="J44" s="24">
        <f t="shared" si="85"/>
        <v>0.72772153102601567</v>
      </c>
      <c r="K44" s="24">
        <f t="shared" si="85"/>
        <v>0.7336150553063332</v>
      </c>
      <c r="L44" s="24">
        <f t="shared" si="85"/>
        <v>0.73657210951578223</v>
      </c>
      <c r="M44" s="24">
        <f t="shared" si="85"/>
        <v>0.73129118786634428</v>
      </c>
      <c r="N44" s="24">
        <f t="shared" si="85"/>
        <v>0.72061949513066892</v>
      </c>
      <c r="O44" s="24">
        <f t="shared" si="85"/>
        <v>0.72693200576232631</v>
      </c>
      <c r="P44" s="24">
        <f t="shared" si="85"/>
        <v>0.73084861096086262</v>
      </c>
      <c r="Q44" s="24">
        <f t="shared" si="85"/>
        <v>0.72529755715370448</v>
      </c>
      <c r="V44" s="24">
        <f t="shared" ref="V44:AC44" si="86">V17/V15</f>
        <v>0.72280617362290955</v>
      </c>
      <c r="W44" s="24">
        <f t="shared" si="86"/>
        <v>0.73090028281844144</v>
      </c>
      <c r="X44" s="24">
        <f t="shared" si="86"/>
        <v>0.7324372209847696</v>
      </c>
      <c r="Y44" s="24">
        <f t="shared" si="86"/>
        <v>0.72611212955401372</v>
      </c>
      <c r="Z44" s="24">
        <f t="shared" si="86"/>
        <v>0.70965990172351479</v>
      </c>
      <c r="AA44" s="24">
        <f t="shared" si="86"/>
        <v>0.71144815445639553</v>
      </c>
      <c r="AB44" s="24">
        <f t="shared" si="86"/>
        <v>0.72737914598611253</v>
      </c>
      <c r="AC44" s="24">
        <f t="shared" si="86"/>
        <v>0.74338764291360582</v>
      </c>
      <c r="AI44" s="28" t="s">
        <v>72</v>
      </c>
      <c r="AJ44" s="29">
        <f>AJ42/AJ43-1</f>
        <v>-0.19289408142350284</v>
      </c>
    </row>
    <row r="45" spans="1:36" x14ac:dyDescent="0.25">
      <c r="B45" s="12" t="s">
        <v>51</v>
      </c>
      <c r="C45" s="24">
        <f t="shared" ref="C45:Q45" si="87">C22/C15</f>
        <v>-8.1288369641006192E-3</v>
      </c>
      <c r="D45" s="24">
        <f t="shared" si="87"/>
        <v>-0.4512933406714365</v>
      </c>
      <c r="E45" s="24">
        <f t="shared" si="87"/>
        <v>-0.23851590106007078</v>
      </c>
      <c r="F45" s="24">
        <f t="shared" si="87"/>
        <v>-0.14586308790938185</v>
      </c>
      <c r="G45" s="24">
        <f t="shared" si="87"/>
        <v>-0.17009481139546975</v>
      </c>
      <c r="H45" s="24">
        <f t="shared" si="87"/>
        <v>-0.2098787279446209</v>
      </c>
      <c r="I45" s="24">
        <f t="shared" si="87"/>
        <v>-0.17483433502850967</v>
      </c>
      <c r="J45" s="24">
        <f t="shared" si="87"/>
        <v>-7.3654905283544195E-2</v>
      </c>
      <c r="K45" s="24">
        <f t="shared" si="87"/>
        <v>-3.8355710782961148E-2</v>
      </c>
      <c r="L45" s="24">
        <f t="shared" si="87"/>
        <v>-3.393303493576693E-2</v>
      </c>
      <c r="M45" s="24">
        <f t="shared" si="87"/>
        <v>3.1758121667715258E-2</v>
      </c>
      <c r="N45" s="24">
        <f t="shared" si="87"/>
        <v>4.5175770859928022E-2</v>
      </c>
      <c r="O45" s="24">
        <f t="shared" si="87"/>
        <v>7.6904426606107051E-2</v>
      </c>
      <c r="P45" s="24">
        <f t="shared" si="87"/>
        <v>8.4182326102311827E-2</v>
      </c>
      <c r="Q45" s="24">
        <f t="shared" si="87"/>
        <v>0.13786411758162578</v>
      </c>
      <c r="V45" s="24">
        <f t="shared" ref="V45:AC45" si="88">V22/V15</f>
        <v>-0.23843469183059393</v>
      </c>
      <c r="W45" s="24">
        <f t="shared" si="88"/>
        <v>-0.17644352426961121</v>
      </c>
      <c r="X45" s="24">
        <f t="shared" si="88"/>
        <v>-2.4964743583708725E-2</v>
      </c>
      <c r="Y45" s="24">
        <f t="shared" si="88"/>
        <v>8.9253067122331844E-2</v>
      </c>
      <c r="Z45" s="24">
        <f t="shared" si="88"/>
        <v>0.13456220898109905</v>
      </c>
      <c r="AA45" s="24">
        <f t="shared" si="88"/>
        <v>0.2058413033270742</v>
      </c>
      <c r="AB45" s="24">
        <f t="shared" si="88"/>
        <v>0.30480525946977371</v>
      </c>
      <c r="AC45" s="24">
        <f t="shared" si="88"/>
        <v>0.39152299453025907</v>
      </c>
    </row>
    <row r="46" spans="1:36" x14ac:dyDescent="0.25">
      <c r="B46" s="12" t="s">
        <v>52</v>
      </c>
      <c r="C46" s="24">
        <f t="shared" ref="C46:Q46" si="89">C26/C25</f>
        <v>-5.7142857142854324E-3</v>
      </c>
      <c r="D46" s="24">
        <f t="shared" si="89"/>
        <v>-1.763546457346381E-3</v>
      </c>
      <c r="E46" s="24">
        <f t="shared" si="89"/>
        <v>-6.2036877477166961E-3</v>
      </c>
      <c r="F46" s="24">
        <f t="shared" si="89"/>
        <v>-2.3090879102754423E-3</v>
      </c>
      <c r="G46" s="24">
        <f t="shared" si="89"/>
        <v>-9.4605475040257705E-3</v>
      </c>
      <c r="H46" s="24">
        <f t="shared" si="89"/>
        <v>-2.88168769030013E-3</v>
      </c>
      <c r="I46" s="24">
        <f t="shared" si="89"/>
        <v>-5.4184955350385998E-2</v>
      </c>
      <c r="J46" s="24">
        <f t="shared" si="89"/>
        <v>4.299481097108962E-2</v>
      </c>
      <c r="K46" s="24">
        <f t="shared" si="89"/>
        <v>-0.5456431535269729</v>
      </c>
      <c r="L46" s="24">
        <f t="shared" si="89"/>
        <v>4.2633015006821096E-2</v>
      </c>
      <c r="M46" s="24">
        <f t="shared" si="89"/>
        <v>0.19929954404282049</v>
      </c>
      <c r="N46" s="24">
        <f t="shared" si="89"/>
        <v>0.20999999999999996</v>
      </c>
      <c r="O46" s="24">
        <f t="shared" si="89"/>
        <v>0.21</v>
      </c>
      <c r="P46" s="24">
        <f t="shared" si="89"/>
        <v>0.21</v>
      </c>
      <c r="Q46" s="24">
        <f t="shared" si="89"/>
        <v>0.21</v>
      </c>
      <c r="V46" s="24">
        <f t="shared" ref="V46:AC46" si="90">V26/V25</f>
        <v>-3.4406382383932212E-3</v>
      </c>
      <c r="W46" s="24">
        <f t="shared" si="90"/>
        <v>-1.599699843099802E-2</v>
      </c>
      <c r="X46" s="24">
        <f t="shared" si="90"/>
        <v>9.6191708387241698E-2</v>
      </c>
      <c r="Y46" s="24">
        <f t="shared" si="90"/>
        <v>0.21000000000000021</v>
      </c>
      <c r="Z46" s="24">
        <f t="shared" si="90"/>
        <v>0.21</v>
      </c>
      <c r="AA46" s="24">
        <f t="shared" si="90"/>
        <v>0.21</v>
      </c>
      <c r="AB46" s="24">
        <f t="shared" si="90"/>
        <v>0.21</v>
      </c>
      <c r="AC46" s="24">
        <f t="shared" si="90"/>
        <v>0.21</v>
      </c>
    </row>
  </sheetData>
  <phoneticPr fontId="4" type="noConversion"/>
  <conditionalFormatting sqref="AJ44">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C16" sqref="C16"/>
    </sheetView>
  </sheetViews>
  <sheetFormatPr defaultRowHeight="14.4" x14ac:dyDescent="0.3"/>
  <cols>
    <col min="2" max="2" width="15.6640625" bestFit="1" customWidth="1"/>
    <col min="4" max="4" width="9.33203125" bestFit="1" customWidth="1"/>
  </cols>
  <sheetData>
    <row r="3" spans="2:4" x14ac:dyDescent="0.3">
      <c r="B3" s="17" t="s">
        <v>7</v>
      </c>
      <c r="C3" s="18">
        <f>Main!C9</f>
        <v>0</v>
      </c>
      <c r="D3" s="17"/>
    </row>
    <row r="4" spans="2:4" x14ac:dyDescent="0.3">
      <c r="B4" s="17" t="s">
        <v>30</v>
      </c>
      <c r="C4" s="18">
        <f>Main!C7</f>
        <v>10909.359999999999</v>
      </c>
      <c r="D4" s="17"/>
    </row>
    <row r="5" spans="2:4" x14ac:dyDescent="0.3">
      <c r="B5" s="17" t="s">
        <v>31</v>
      </c>
      <c r="C5" s="18">
        <f>C3+C4</f>
        <v>10909.359999999999</v>
      </c>
      <c r="D5" s="17"/>
    </row>
    <row r="6" spans="2:4" x14ac:dyDescent="0.3">
      <c r="B6" s="19" t="s">
        <v>32</v>
      </c>
      <c r="C6" s="20">
        <f>C3/C5</f>
        <v>0</v>
      </c>
      <c r="D6" s="17"/>
    </row>
    <row r="7" spans="2:4" x14ac:dyDescent="0.3">
      <c r="B7" s="19" t="s">
        <v>33</v>
      </c>
      <c r="C7" s="20">
        <f>C4/C5</f>
        <v>1</v>
      </c>
      <c r="D7" s="17"/>
    </row>
    <row r="8" spans="2:4" x14ac:dyDescent="0.3">
      <c r="B8" s="17"/>
      <c r="C8" s="17"/>
      <c r="D8" s="17"/>
    </row>
    <row r="9" spans="2:4" x14ac:dyDescent="0.3">
      <c r="B9" s="17" t="s">
        <v>34</v>
      </c>
      <c r="C9" s="21">
        <f>Model!X46</f>
        <v>9.6191708387241698E-2</v>
      </c>
      <c r="D9" s="17">
        <v>2023</v>
      </c>
    </row>
    <row r="10" spans="2:4" x14ac:dyDescent="0.3">
      <c r="B10" s="17" t="s">
        <v>35</v>
      </c>
      <c r="C10" s="17">
        <v>0</v>
      </c>
      <c r="D10" s="17"/>
    </row>
    <row r="11" spans="2:4" x14ac:dyDescent="0.3">
      <c r="B11" s="19" t="s">
        <v>36</v>
      </c>
      <c r="C11" s="22" t="e">
        <f>C10/C3</f>
        <v>#DIV/0!</v>
      </c>
      <c r="D11" s="23">
        <v>0</v>
      </c>
    </row>
    <row r="12" spans="2:4" x14ac:dyDescent="0.3">
      <c r="B12" s="17"/>
      <c r="C12" s="17"/>
      <c r="D12" s="17"/>
    </row>
    <row r="13" spans="2:4" x14ac:dyDescent="0.3">
      <c r="B13" s="17" t="s">
        <v>37</v>
      </c>
      <c r="C13" s="21">
        <f>'[1]T-Bond Yields'!$C$12</f>
        <v>4.2999999999999997E-2</v>
      </c>
      <c r="D13" s="17" t="s">
        <v>64</v>
      </c>
    </row>
    <row r="14" spans="2:4" x14ac:dyDescent="0.3">
      <c r="B14" s="17" t="s">
        <v>38</v>
      </c>
      <c r="C14" s="17">
        <v>0.72</v>
      </c>
      <c r="D14" s="25">
        <v>45352</v>
      </c>
    </row>
    <row r="15" spans="2:4" x14ac:dyDescent="0.3">
      <c r="B15" s="17" t="s">
        <v>39</v>
      </c>
      <c r="C15" s="23">
        <v>0.08</v>
      </c>
      <c r="D15" s="17"/>
    </row>
    <row r="16" spans="2:4" x14ac:dyDescent="0.3">
      <c r="B16" s="19" t="s">
        <v>40</v>
      </c>
      <c r="C16" s="20">
        <f>C13+C14*(C15-C13)</f>
        <v>6.9640000000000007E-2</v>
      </c>
      <c r="D16" s="17"/>
    </row>
    <row r="17" spans="2:4" x14ac:dyDescent="0.3">
      <c r="B17" s="17"/>
      <c r="C17" s="17"/>
      <c r="D17" s="17"/>
    </row>
    <row r="18" spans="2:4" x14ac:dyDescent="0.3">
      <c r="B18" s="19" t="s">
        <v>41</v>
      </c>
      <c r="C18" s="20">
        <f>(C6*D11)+(C7*C16)*(1-C9)</f>
        <v>6.2941209427912495E-2</v>
      </c>
      <c r="D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2024-03-12T03:58:42Z</dcterms:modified>
</cp:coreProperties>
</file>