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DA23C686-ABC9-4DD6-A5E2-CBB3F1A4B8EE}" xr6:coauthVersionLast="47" xr6:coauthVersionMax="47" xr10:uidLastSave="{00000000-0000-0000-0000-000000000000}"/>
  <bookViews>
    <workbookView xWindow="-108" yWindow="-108" windowWidth="23256" windowHeight="12456" activeTab="2" xr2:uid="{DF16231B-6788-4618-9F32-6D0FBFB4998E}"/>
  </bookViews>
  <sheets>
    <sheet name="Main" sheetId="1" r:id="rId1"/>
    <sheet name="WACC" sheetId="2" r:id="rId2"/>
    <sheet name="Model"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H3" i="3" l="1"/>
  <c r="AH25" i="3" s="1"/>
  <c r="AG3" i="3"/>
  <c r="AG25" i="3" s="1"/>
  <c r="AF3" i="3"/>
  <c r="AF27" i="3" s="1"/>
  <c r="AE3" i="3"/>
  <c r="AH4" i="3"/>
  <c r="AG4" i="3"/>
  <c r="AF4" i="3"/>
  <c r="AH26" i="3"/>
  <c r="AF26" i="3"/>
  <c r="AE4" i="3"/>
  <c r="AH12" i="3"/>
  <c r="AG12" i="3"/>
  <c r="AF12" i="3"/>
  <c r="AE12" i="3"/>
  <c r="AH11" i="3"/>
  <c r="AG11" i="3"/>
  <c r="AF11" i="3"/>
  <c r="AE11" i="3"/>
  <c r="AH10" i="3"/>
  <c r="AG10" i="3"/>
  <c r="AF10" i="3"/>
  <c r="AE10" i="3"/>
  <c r="AH9" i="3"/>
  <c r="AG9" i="3"/>
  <c r="AF9" i="3"/>
  <c r="AE9" i="3"/>
  <c r="AH8" i="3"/>
  <c r="AG8" i="3"/>
  <c r="AF8" i="3"/>
  <c r="AE8" i="3"/>
  <c r="AH6" i="3"/>
  <c r="AH28" i="3" s="1"/>
  <c r="AG6" i="3"/>
  <c r="AG28" i="3" s="1"/>
  <c r="AF6" i="3"/>
  <c r="AF28" i="3" s="1"/>
  <c r="AE6" i="3"/>
  <c r="AF17" i="3"/>
  <c r="AF16" i="3"/>
  <c r="AF15" i="3"/>
  <c r="AV17" i="3"/>
  <c r="AE16" i="3"/>
  <c r="AV16" i="3" s="1"/>
  <c r="AE15" i="3"/>
  <c r="AV21" i="3"/>
  <c r="AH21" i="3"/>
  <c r="AH33" i="3" s="1"/>
  <c r="AG21" i="3"/>
  <c r="AG33" i="3" s="1"/>
  <c r="AF21" i="3"/>
  <c r="AF33" i="3" s="1"/>
  <c r="AE21" i="3"/>
  <c r="AE33" i="3" s="1"/>
  <c r="AH17" i="3"/>
  <c r="AG17" i="3"/>
  <c r="AH16" i="3"/>
  <c r="AG16" i="3"/>
  <c r="AH15" i="3"/>
  <c r="AG15" i="3"/>
  <c r="AD33" i="3"/>
  <c r="AC33" i="3"/>
  <c r="AB33" i="3"/>
  <c r="AA33" i="3"/>
  <c r="Z33" i="3"/>
  <c r="Y33" i="3"/>
  <c r="X33" i="3"/>
  <c r="W33" i="3"/>
  <c r="V33" i="3"/>
  <c r="U33" i="3"/>
  <c r="T33" i="3"/>
  <c r="S33" i="3"/>
  <c r="R33" i="3"/>
  <c r="Q33" i="3"/>
  <c r="P33" i="3"/>
  <c r="O33" i="3"/>
  <c r="N33" i="3"/>
  <c r="M33" i="3"/>
  <c r="L33" i="3"/>
  <c r="K33" i="3"/>
  <c r="J33" i="3"/>
  <c r="I33" i="3"/>
  <c r="H33" i="3"/>
  <c r="G33" i="3"/>
  <c r="AO17" i="3"/>
  <c r="AO16" i="3"/>
  <c r="AP17" i="3"/>
  <c r="AP16" i="3"/>
  <c r="AQ17" i="3"/>
  <c r="AQ16" i="3"/>
  <c r="AR17" i="3"/>
  <c r="AR16" i="3"/>
  <c r="AS17" i="3"/>
  <c r="AS16" i="3"/>
  <c r="AT17" i="3"/>
  <c r="AT16" i="3"/>
  <c r="AT15" i="3"/>
  <c r="AT12" i="3"/>
  <c r="AT11" i="3"/>
  <c r="AT10" i="3"/>
  <c r="AT9" i="3"/>
  <c r="AT8" i="3"/>
  <c r="AT6" i="3"/>
  <c r="AT4" i="3"/>
  <c r="AT3" i="3"/>
  <c r="AU21" i="3"/>
  <c r="AU17" i="3"/>
  <c r="AU16" i="3"/>
  <c r="AU15" i="3"/>
  <c r="AU12" i="3"/>
  <c r="AU11" i="3"/>
  <c r="AU10" i="3"/>
  <c r="AU9" i="3"/>
  <c r="AU8" i="3"/>
  <c r="AU6" i="3"/>
  <c r="AU4" i="3"/>
  <c r="AU3" i="3"/>
  <c r="V19" i="3"/>
  <c r="W19" i="3"/>
  <c r="X19" i="3"/>
  <c r="Y19" i="3"/>
  <c r="Z19" i="3"/>
  <c r="AA19" i="3"/>
  <c r="AB19" i="3"/>
  <c r="AC19" i="3"/>
  <c r="AD19" i="3"/>
  <c r="C15" i="3"/>
  <c r="D15" i="3"/>
  <c r="E15" i="3"/>
  <c r="F15" i="3"/>
  <c r="G15" i="3"/>
  <c r="H15" i="3"/>
  <c r="I15" i="3"/>
  <c r="J15" i="3"/>
  <c r="K15" i="3"/>
  <c r="L15" i="3"/>
  <c r="M15" i="3"/>
  <c r="N15" i="3"/>
  <c r="O15" i="3"/>
  <c r="P15" i="3"/>
  <c r="Q15" i="3"/>
  <c r="R15" i="3"/>
  <c r="S15" i="3"/>
  <c r="T15" i="3"/>
  <c r="U15" i="3"/>
  <c r="U19" i="3"/>
  <c r="T19" i="3"/>
  <c r="V15" i="3"/>
  <c r="AD28" i="3"/>
  <c r="AC28" i="3"/>
  <c r="AB28" i="3"/>
  <c r="AA28" i="3"/>
  <c r="Z28" i="3"/>
  <c r="Y28" i="3"/>
  <c r="X28" i="3"/>
  <c r="W28" i="3"/>
  <c r="V28" i="3"/>
  <c r="AD27" i="3"/>
  <c r="AC27" i="3"/>
  <c r="AB27" i="3"/>
  <c r="AA27" i="3"/>
  <c r="Z27" i="3"/>
  <c r="Y27" i="3"/>
  <c r="X27" i="3"/>
  <c r="W27" i="3"/>
  <c r="V27" i="3"/>
  <c r="AD26" i="3"/>
  <c r="AC26" i="3"/>
  <c r="AB26" i="3"/>
  <c r="AA26" i="3"/>
  <c r="Z26" i="3"/>
  <c r="Y26" i="3"/>
  <c r="X26" i="3"/>
  <c r="W26" i="3"/>
  <c r="V26" i="3"/>
  <c r="AD25" i="3"/>
  <c r="AC25" i="3"/>
  <c r="AB25" i="3"/>
  <c r="AA25" i="3"/>
  <c r="Z25" i="3"/>
  <c r="Y25" i="3"/>
  <c r="X25" i="3"/>
  <c r="W25" i="3"/>
  <c r="V25" i="3"/>
  <c r="X5" i="3"/>
  <c r="X7" i="3" s="1"/>
  <c r="X34" i="3" s="1"/>
  <c r="Y5" i="3"/>
  <c r="X13" i="3"/>
  <c r="AD13" i="3"/>
  <c r="AC13" i="3"/>
  <c r="AB13" i="3"/>
  <c r="AA13" i="3"/>
  <c r="AA5" i="3"/>
  <c r="AA7" i="3" s="1"/>
  <c r="AA34" i="3" s="1"/>
  <c r="AB5" i="3"/>
  <c r="AB7" i="3" s="1"/>
  <c r="AB34" i="3" s="1"/>
  <c r="AC5" i="3"/>
  <c r="AC7" i="3" s="1"/>
  <c r="AC34" i="3" s="1"/>
  <c r="AD5" i="3"/>
  <c r="AD7" i="3" s="1"/>
  <c r="AD34" i="3" s="1"/>
  <c r="C13" i="2"/>
  <c r="AT21" i="3"/>
  <c r="U26" i="3"/>
  <c r="T26" i="3"/>
  <c r="S26" i="3"/>
  <c r="R26" i="3"/>
  <c r="Q26" i="3"/>
  <c r="P26" i="3"/>
  <c r="O26" i="3"/>
  <c r="N26" i="3"/>
  <c r="M26" i="3"/>
  <c r="L26" i="3"/>
  <c r="K26" i="3"/>
  <c r="J26" i="3"/>
  <c r="I26" i="3"/>
  <c r="H26" i="3"/>
  <c r="G26" i="3"/>
  <c r="U25" i="3"/>
  <c r="T25" i="3"/>
  <c r="S25" i="3"/>
  <c r="R25" i="3"/>
  <c r="Q25" i="3"/>
  <c r="P25" i="3"/>
  <c r="O25" i="3"/>
  <c r="N25" i="3"/>
  <c r="M25" i="3"/>
  <c r="L25" i="3"/>
  <c r="K25" i="3"/>
  <c r="J25" i="3"/>
  <c r="I25" i="3"/>
  <c r="H25" i="3"/>
  <c r="G25" i="3"/>
  <c r="AS21" i="3"/>
  <c r="AS12" i="3"/>
  <c r="AS11" i="3"/>
  <c r="AS10" i="3"/>
  <c r="AS9" i="3"/>
  <c r="AS8" i="3"/>
  <c r="AS6" i="3"/>
  <c r="AS4" i="3"/>
  <c r="AS3" i="3"/>
  <c r="AV15" i="3" l="1"/>
  <c r="AF25" i="3"/>
  <c r="AT33" i="3"/>
  <c r="AF13" i="3"/>
  <c r="AV9" i="3"/>
  <c r="AW9" i="3" s="1"/>
  <c r="AX9" i="3" s="1"/>
  <c r="AY9" i="3" s="1"/>
  <c r="AZ9" i="3" s="1"/>
  <c r="AG27" i="3"/>
  <c r="AH27" i="3"/>
  <c r="AV3" i="3"/>
  <c r="AW3" i="3" s="1"/>
  <c r="AG5" i="3"/>
  <c r="AG7" i="3" s="1"/>
  <c r="AG34" i="3" s="1"/>
  <c r="AE25" i="3"/>
  <c r="AF5" i="3"/>
  <c r="AF7" i="3" s="1"/>
  <c r="AF14" i="3" s="1"/>
  <c r="AV4" i="3"/>
  <c r="AW4" i="3" s="1"/>
  <c r="AE5" i="3"/>
  <c r="AE7" i="3" s="1"/>
  <c r="AG26" i="3"/>
  <c r="AH5" i="3"/>
  <c r="AH7" i="3" s="1"/>
  <c r="AH34" i="3" s="1"/>
  <c r="AE26" i="3"/>
  <c r="AV11" i="3"/>
  <c r="AW11" i="3" s="1"/>
  <c r="AX11" i="3" s="1"/>
  <c r="AY11" i="3" s="1"/>
  <c r="AZ11" i="3" s="1"/>
  <c r="AV10" i="3"/>
  <c r="AW10" i="3" s="1"/>
  <c r="AX10" i="3" s="1"/>
  <c r="AY10" i="3" s="1"/>
  <c r="AZ10" i="3" s="1"/>
  <c r="AH13" i="3"/>
  <c r="AV8" i="3"/>
  <c r="AW8" i="3" s="1"/>
  <c r="AX8" i="3" s="1"/>
  <c r="AY8" i="3" s="1"/>
  <c r="AZ8" i="3" s="1"/>
  <c r="AG13" i="3"/>
  <c r="AG29" i="3" s="1"/>
  <c r="AV12" i="3"/>
  <c r="AW12" i="3" s="1"/>
  <c r="AX12" i="3" s="1"/>
  <c r="AY12" i="3" s="1"/>
  <c r="AZ12" i="3" s="1"/>
  <c r="AV6" i="3"/>
  <c r="AW6" i="3" s="1"/>
  <c r="AX6" i="3" s="1"/>
  <c r="AY6" i="3" s="1"/>
  <c r="AZ6" i="3" s="1"/>
  <c r="AE28" i="3"/>
  <c r="AF29" i="3"/>
  <c r="AW17" i="3"/>
  <c r="AX17" i="3" s="1"/>
  <c r="AY17" i="3" s="1"/>
  <c r="AZ17" i="3" s="1"/>
  <c r="AW16" i="3"/>
  <c r="AX16" i="3" s="1"/>
  <c r="AY16" i="3" s="1"/>
  <c r="AZ16" i="3" s="1"/>
  <c r="AE13" i="3"/>
  <c r="AE29" i="3" s="1"/>
  <c r="AE27" i="3"/>
  <c r="AB29" i="3"/>
  <c r="AU33" i="3"/>
  <c r="C10" i="2"/>
  <c r="AU19" i="3"/>
  <c r="X14" i="3"/>
  <c r="AA14" i="3"/>
  <c r="AC14" i="3"/>
  <c r="AB14" i="3"/>
  <c r="AD14" i="3"/>
  <c r="AS5" i="3"/>
  <c r="AS7" i="3" s="1"/>
  <c r="AS13" i="3"/>
  <c r="S19" i="3"/>
  <c r="AS19" i="3" s="1"/>
  <c r="AS15" i="3"/>
  <c r="U28" i="3"/>
  <c r="T28" i="3"/>
  <c r="S28" i="3"/>
  <c r="U27" i="3"/>
  <c r="T27" i="3"/>
  <c r="S27" i="3"/>
  <c r="Z13" i="3"/>
  <c r="Y13" i="3"/>
  <c r="W13" i="3"/>
  <c r="V13" i="3"/>
  <c r="U13" i="3"/>
  <c r="T13" i="3"/>
  <c r="X29" i="3" s="1"/>
  <c r="S13" i="3"/>
  <c r="Z5" i="3"/>
  <c r="Y7" i="3"/>
  <c r="Y34" i="3" s="1"/>
  <c r="W5" i="3"/>
  <c r="W7" i="3" s="1"/>
  <c r="W34" i="3" s="1"/>
  <c r="V5" i="3"/>
  <c r="U5" i="3"/>
  <c r="T5" i="3"/>
  <c r="T7" i="3" s="1"/>
  <c r="T34" i="3" s="1"/>
  <c r="S5" i="3"/>
  <c r="R5" i="3"/>
  <c r="AR12" i="3"/>
  <c r="AR11" i="3"/>
  <c r="AR21" i="3"/>
  <c r="AR10" i="3"/>
  <c r="AR9" i="3"/>
  <c r="AR8" i="3"/>
  <c r="AR6" i="3"/>
  <c r="AR4" i="3"/>
  <c r="AR3" i="3"/>
  <c r="R19" i="3"/>
  <c r="R13" i="3"/>
  <c r="AV5" i="3" l="1"/>
  <c r="AX4" i="3"/>
  <c r="AY4" i="3" s="1"/>
  <c r="AZ4" i="3" s="1"/>
  <c r="AH29" i="3"/>
  <c r="AH14" i="3"/>
  <c r="AH30" i="3" s="1"/>
  <c r="AG14" i="3"/>
  <c r="AG35" i="3" s="1"/>
  <c r="AF34" i="3"/>
  <c r="AF18" i="3"/>
  <c r="AF19" i="3" s="1"/>
  <c r="AE14" i="3"/>
  <c r="AE34" i="3"/>
  <c r="AB30" i="3"/>
  <c r="AS33" i="3"/>
  <c r="X35" i="3"/>
  <c r="V29" i="3"/>
  <c r="W29" i="3"/>
  <c r="AA29" i="3"/>
  <c r="AC29" i="3"/>
  <c r="Y29" i="3"/>
  <c r="Z29" i="3"/>
  <c r="AD29" i="3"/>
  <c r="AW25" i="3"/>
  <c r="AX3" i="3"/>
  <c r="AY3" i="3" s="1"/>
  <c r="AZ3" i="3" s="1"/>
  <c r="AD18" i="3"/>
  <c r="AD20" i="3" s="1"/>
  <c r="AD35" i="3"/>
  <c r="AB18" i="3"/>
  <c r="AB20" i="3" s="1"/>
  <c r="AB35" i="3"/>
  <c r="AC18" i="3"/>
  <c r="AC20" i="3" s="1"/>
  <c r="AC35" i="3"/>
  <c r="AA18" i="3"/>
  <c r="AA20" i="3" s="1"/>
  <c r="AA35" i="3"/>
  <c r="Z7" i="3"/>
  <c r="AT25" i="3"/>
  <c r="AT5" i="3"/>
  <c r="AT7" i="3" s="1"/>
  <c r="AU25" i="3"/>
  <c r="AV25" i="3"/>
  <c r="AS25" i="3"/>
  <c r="AT26" i="3"/>
  <c r="AS26" i="3"/>
  <c r="AS14" i="3"/>
  <c r="AS18" i="3" s="1"/>
  <c r="AS20" i="3" s="1"/>
  <c r="Y14" i="3"/>
  <c r="AR5" i="3"/>
  <c r="AR7" i="3" s="1"/>
  <c r="U7" i="3"/>
  <c r="U34" i="3" s="1"/>
  <c r="S7" i="3"/>
  <c r="S14" i="3" s="1"/>
  <c r="T14" i="3"/>
  <c r="V7" i="3"/>
  <c r="V34" i="3" s="1"/>
  <c r="W14" i="3"/>
  <c r="AR13" i="3"/>
  <c r="BF28" i="3"/>
  <c r="AQ8" i="3"/>
  <c r="AP8" i="3"/>
  <c r="AH18" i="3" l="1"/>
  <c r="AH19" i="3" s="1"/>
  <c r="AH36" i="3" s="1"/>
  <c r="AH35" i="3"/>
  <c r="AG18" i="3"/>
  <c r="AG19" i="3" s="1"/>
  <c r="AG36" i="3" s="1"/>
  <c r="AG30" i="3"/>
  <c r="AF35" i="3"/>
  <c r="AF30" i="3"/>
  <c r="AF20" i="3"/>
  <c r="AF36" i="3"/>
  <c r="AE35" i="3"/>
  <c r="AE18" i="3"/>
  <c r="AE19" i="3" s="1"/>
  <c r="AE30" i="3"/>
  <c r="W30" i="3"/>
  <c r="T18" i="3"/>
  <c r="T20" i="3" s="1"/>
  <c r="S18" i="3"/>
  <c r="S20" i="3" s="1"/>
  <c r="X30" i="3"/>
  <c r="AB31" i="3"/>
  <c r="AA30" i="3"/>
  <c r="AC30" i="3"/>
  <c r="AS29" i="3"/>
  <c r="AX25" i="3"/>
  <c r="Z14" i="3"/>
  <c r="Z34" i="3"/>
  <c r="W18" i="3"/>
  <c r="W20" i="3" s="1"/>
  <c r="W35" i="3"/>
  <c r="AB36" i="3"/>
  <c r="AA36" i="3"/>
  <c r="AC36" i="3"/>
  <c r="Y18" i="3"/>
  <c r="Y35" i="3"/>
  <c r="AD36" i="3"/>
  <c r="X18" i="3"/>
  <c r="X20" i="3" s="1"/>
  <c r="AC22" i="3"/>
  <c r="AB22" i="3"/>
  <c r="AA22" i="3"/>
  <c r="AD22" i="3"/>
  <c r="S34" i="3"/>
  <c r="U14" i="3"/>
  <c r="AU26" i="3"/>
  <c r="AU5" i="3"/>
  <c r="AU7" i="3" s="1"/>
  <c r="AR14" i="3"/>
  <c r="T35" i="3"/>
  <c r="V14" i="3"/>
  <c r="S35" i="3"/>
  <c r="AQ21" i="3"/>
  <c r="AP21" i="3"/>
  <c r="AO21" i="3"/>
  <c r="Q19" i="3"/>
  <c r="Q13" i="3"/>
  <c r="AH20" i="3" l="1"/>
  <c r="AH31" i="3" s="1"/>
  <c r="AV19" i="3"/>
  <c r="AG20" i="3"/>
  <c r="AG22" i="3" s="1"/>
  <c r="AG32" i="3" s="1"/>
  <c r="AF31" i="3"/>
  <c r="AF22" i="3"/>
  <c r="AF32" i="3" s="1"/>
  <c r="AE20" i="3"/>
  <c r="AE36" i="3"/>
  <c r="W31" i="3"/>
  <c r="X31" i="3"/>
  <c r="Z30" i="3"/>
  <c r="AD30" i="3"/>
  <c r="AS30" i="3"/>
  <c r="Y30" i="3"/>
  <c r="U29" i="3"/>
  <c r="AP33" i="3"/>
  <c r="AA31" i="3"/>
  <c r="AQ33" i="3"/>
  <c r="AR33" i="3"/>
  <c r="Y36" i="3"/>
  <c r="Y20" i="3"/>
  <c r="AY25" i="3"/>
  <c r="V18" i="3"/>
  <c r="V20" i="3" s="1"/>
  <c r="V22" i="3" s="1"/>
  <c r="V35" i="3"/>
  <c r="X36" i="3"/>
  <c r="W22" i="3"/>
  <c r="W36" i="3"/>
  <c r="Z18" i="3"/>
  <c r="Z20" i="3" s="1"/>
  <c r="Z35" i="3"/>
  <c r="U35" i="3"/>
  <c r="U18" i="3"/>
  <c r="U20" i="3" s="1"/>
  <c r="AT19" i="3"/>
  <c r="AV7" i="3"/>
  <c r="AV26" i="3"/>
  <c r="X22" i="3"/>
  <c r="T36" i="3"/>
  <c r="T22" i="3"/>
  <c r="S36" i="3"/>
  <c r="S22" i="3"/>
  <c r="BF26" i="3"/>
  <c r="P28" i="3"/>
  <c r="O28" i="3"/>
  <c r="N28" i="3"/>
  <c r="M28" i="3"/>
  <c r="L28" i="3"/>
  <c r="K28" i="3"/>
  <c r="J28" i="3"/>
  <c r="I28" i="3"/>
  <c r="H28" i="3"/>
  <c r="G28" i="3"/>
  <c r="AQ6" i="3"/>
  <c r="R27" i="3"/>
  <c r="Q27" i="3"/>
  <c r="C3" i="2"/>
  <c r="C11" i="2" s="1"/>
  <c r="P27" i="3"/>
  <c r="H27" i="3"/>
  <c r="I27" i="3"/>
  <c r="J27" i="3"/>
  <c r="K27" i="3"/>
  <c r="L27" i="3"/>
  <c r="M27" i="3"/>
  <c r="N27" i="3"/>
  <c r="O27" i="3"/>
  <c r="G27" i="3"/>
  <c r="AP12" i="3"/>
  <c r="AP11" i="3"/>
  <c r="AP9" i="3"/>
  <c r="AP10" i="3"/>
  <c r="AP6" i="3"/>
  <c r="AP4" i="3"/>
  <c r="AP3" i="3"/>
  <c r="AQ12" i="3"/>
  <c r="AQ11" i="3"/>
  <c r="AQ9" i="3"/>
  <c r="AQ10" i="3"/>
  <c r="AQ4" i="3"/>
  <c r="AQ3" i="3"/>
  <c r="AO12" i="3"/>
  <c r="AO11" i="3"/>
  <c r="AO9" i="3"/>
  <c r="AO10" i="3"/>
  <c r="AO8" i="3"/>
  <c r="AO6" i="3"/>
  <c r="AO4" i="3"/>
  <c r="AO3" i="3"/>
  <c r="N19" i="3"/>
  <c r="M19" i="3"/>
  <c r="P19" i="3"/>
  <c r="L19" i="3"/>
  <c r="O19" i="3"/>
  <c r="AR19" i="3" s="1"/>
  <c r="AR15" i="3"/>
  <c r="K19" i="3"/>
  <c r="P13" i="3"/>
  <c r="P5" i="3"/>
  <c r="P7" i="3" s="1"/>
  <c r="P34" i="3" s="1"/>
  <c r="O13" i="3"/>
  <c r="O5" i="3"/>
  <c r="O7" i="3" s="1"/>
  <c r="O34" i="3" s="1"/>
  <c r="N13" i="3"/>
  <c r="N5" i="3"/>
  <c r="N7" i="3" s="1"/>
  <c r="N34" i="3" s="1"/>
  <c r="M13" i="3"/>
  <c r="Q29" i="3" s="1"/>
  <c r="M5" i="3"/>
  <c r="M7" i="3" s="1"/>
  <c r="M34" i="3" s="1"/>
  <c r="L13" i="3"/>
  <c r="L29" i="3" s="1"/>
  <c r="L5" i="3"/>
  <c r="L7" i="3" s="1"/>
  <c r="L34" i="3" s="1"/>
  <c r="K13" i="3"/>
  <c r="K29" i="3" s="1"/>
  <c r="K5" i="3"/>
  <c r="K7" i="3" s="1"/>
  <c r="K34" i="3" s="1"/>
  <c r="J19" i="3"/>
  <c r="F13" i="3"/>
  <c r="F5" i="3"/>
  <c r="F7" i="3" s="1"/>
  <c r="F34" i="3" s="1"/>
  <c r="J13" i="3"/>
  <c r="J5" i="3"/>
  <c r="J7" i="3" s="1"/>
  <c r="J34" i="3" s="1"/>
  <c r="I19" i="3"/>
  <c r="E19" i="3"/>
  <c r="I13" i="3"/>
  <c r="I5" i="3"/>
  <c r="I7" i="3" s="1"/>
  <c r="I34" i="3" s="1"/>
  <c r="E13" i="3"/>
  <c r="E5" i="3"/>
  <c r="E7" i="3" s="1"/>
  <c r="E34" i="3" s="1"/>
  <c r="H19" i="3"/>
  <c r="D19" i="3"/>
  <c r="H13" i="3"/>
  <c r="H5" i="3"/>
  <c r="H7" i="3" s="1"/>
  <c r="H34" i="3" s="1"/>
  <c r="D13" i="3"/>
  <c r="D5" i="3"/>
  <c r="D7" i="3" s="1"/>
  <c r="D34" i="3" s="1"/>
  <c r="G13" i="3"/>
  <c r="C13" i="3"/>
  <c r="G5" i="3"/>
  <c r="G7" i="3" s="1"/>
  <c r="C5" i="3"/>
  <c r="C7" i="3" s="1"/>
  <c r="C34" i="3" s="1"/>
  <c r="C16" i="2"/>
  <c r="C4" i="1" a="1"/>
  <c r="C4" i="1" s="1"/>
  <c r="C6" i="1" s="1"/>
  <c r="C9" i="1" s="1"/>
  <c r="W32" i="3" l="1"/>
  <c r="AH22" i="3"/>
  <c r="AH32" i="3" s="1"/>
  <c r="AG31" i="3"/>
  <c r="AE31" i="3"/>
  <c r="AE22" i="3"/>
  <c r="AE32" i="3" s="1"/>
  <c r="AP26" i="3"/>
  <c r="J29" i="3"/>
  <c r="V36" i="3"/>
  <c r="P29" i="3"/>
  <c r="T29" i="3"/>
  <c r="AW21" i="3"/>
  <c r="AV33" i="3"/>
  <c r="Z31" i="3"/>
  <c r="AD31" i="3"/>
  <c r="AA32" i="3"/>
  <c r="G29" i="3"/>
  <c r="O29" i="3"/>
  <c r="S29" i="3"/>
  <c r="X32" i="3"/>
  <c r="I29" i="3"/>
  <c r="AB32" i="3"/>
  <c r="M29" i="3"/>
  <c r="H29" i="3"/>
  <c r="N29" i="3"/>
  <c r="R29" i="3"/>
  <c r="Y22" i="3"/>
  <c r="Y31" i="3"/>
  <c r="AC31" i="3"/>
  <c r="AP25" i="3"/>
  <c r="AR18" i="3"/>
  <c r="AR20" i="3" s="1"/>
  <c r="AX28" i="3"/>
  <c r="AX26" i="3"/>
  <c r="AX5" i="3"/>
  <c r="AX7" i="3" s="1"/>
  <c r="AZ25" i="3"/>
  <c r="Z22" i="3"/>
  <c r="Z36" i="3"/>
  <c r="U36" i="3"/>
  <c r="U22" i="3"/>
  <c r="AQ5" i="3"/>
  <c r="AQ7" i="3" s="1"/>
  <c r="AQ34" i="3" s="1"/>
  <c r="AQ25" i="3"/>
  <c r="AR25" i="3"/>
  <c r="AQ26" i="3"/>
  <c r="AR26" i="3"/>
  <c r="AW26" i="3"/>
  <c r="AW5" i="3"/>
  <c r="AO15" i="3"/>
  <c r="AO13" i="3"/>
  <c r="G14" i="3"/>
  <c r="BF31" i="3"/>
  <c r="C4" i="2"/>
  <c r="AP5" i="3"/>
  <c r="AP7" i="3" s="1"/>
  <c r="AP34" i="3" s="1"/>
  <c r="AP28" i="3"/>
  <c r="AP15" i="3"/>
  <c r="AQ28" i="3"/>
  <c r="AO5" i="3"/>
  <c r="AO7" i="3" s="1"/>
  <c r="AO34" i="3" s="1"/>
  <c r="AQ13" i="3"/>
  <c r="AW15" i="3"/>
  <c r="AX15" i="3" s="1"/>
  <c r="AY15" i="3" s="1"/>
  <c r="AZ15" i="3" s="1"/>
  <c r="AO19" i="3"/>
  <c r="AQ19" i="3"/>
  <c r="AQ15" i="3"/>
  <c r="E14" i="3"/>
  <c r="C14" i="3"/>
  <c r="C18" i="3" s="1"/>
  <c r="C20" i="3" s="1"/>
  <c r="L14" i="3"/>
  <c r="AP19" i="3"/>
  <c r="G34" i="3"/>
  <c r="Q5" i="3"/>
  <c r="Q7" i="3" s="1"/>
  <c r="Q14" i="3" s="1"/>
  <c r="R7" i="3"/>
  <c r="R14" i="3" s="1"/>
  <c r="AP13" i="3"/>
  <c r="AP29" i="3" s="1"/>
  <c r="N14" i="3"/>
  <c r="M14" i="3"/>
  <c r="P14" i="3"/>
  <c r="O14" i="3"/>
  <c r="K14" i="3"/>
  <c r="J14" i="3"/>
  <c r="F14" i="3"/>
  <c r="F18" i="3" s="1"/>
  <c r="F20" i="3" s="1"/>
  <c r="I14" i="3"/>
  <c r="H14" i="3"/>
  <c r="D14" i="3"/>
  <c r="D18" i="3" s="1"/>
  <c r="D20" i="3" s="1"/>
  <c r="Q18" i="3" l="1"/>
  <c r="Q20" i="3" s="1"/>
  <c r="Q30" i="3"/>
  <c r="U30" i="3"/>
  <c r="AR22" i="3"/>
  <c r="AS31" i="3"/>
  <c r="H18" i="3"/>
  <c r="H20" i="3" s="1"/>
  <c r="H31" i="3" s="1"/>
  <c r="H30" i="3"/>
  <c r="AQ29" i="3"/>
  <c r="AR29" i="3"/>
  <c r="J18" i="3"/>
  <c r="J20" i="3" s="1"/>
  <c r="J31" i="3" s="1"/>
  <c r="J30" i="3"/>
  <c r="O18" i="3"/>
  <c r="O20" i="3" s="1"/>
  <c r="O30" i="3"/>
  <c r="S30" i="3"/>
  <c r="R18" i="3"/>
  <c r="R20" i="3" s="1"/>
  <c r="R30" i="3"/>
  <c r="V30" i="3"/>
  <c r="Z32" i="3"/>
  <c r="AD32" i="3"/>
  <c r="L18" i="3"/>
  <c r="L20" i="3" s="1"/>
  <c r="L30" i="3"/>
  <c r="G30" i="3"/>
  <c r="I18" i="3"/>
  <c r="I20" i="3" s="1"/>
  <c r="I30" i="3"/>
  <c r="K18" i="3"/>
  <c r="K20" i="3" s="1"/>
  <c r="K30" i="3"/>
  <c r="Y32" i="3"/>
  <c r="AC32" i="3"/>
  <c r="AX21" i="3"/>
  <c r="AW33" i="3"/>
  <c r="P18" i="3"/>
  <c r="P20" i="3" s="1"/>
  <c r="P30" i="3"/>
  <c r="T30" i="3"/>
  <c r="M18" i="3"/>
  <c r="M20" i="3" s="1"/>
  <c r="M31" i="3" s="1"/>
  <c r="M30" i="3"/>
  <c r="N18" i="3"/>
  <c r="N20" i="3" s="1"/>
  <c r="N31" i="3" s="1"/>
  <c r="N30" i="3"/>
  <c r="AQ27" i="3"/>
  <c r="AY28" i="3"/>
  <c r="AY26" i="3"/>
  <c r="AY5" i="3"/>
  <c r="AX34" i="3"/>
  <c r="AW7" i="3"/>
  <c r="AX27" i="3"/>
  <c r="G35" i="3"/>
  <c r="G18" i="3"/>
  <c r="G20" i="3" s="1"/>
  <c r="G31" i="3" s="1"/>
  <c r="AP18" i="3"/>
  <c r="AP20" i="3" s="1"/>
  <c r="E35" i="3"/>
  <c r="E18" i="3"/>
  <c r="E20" i="3" s="1"/>
  <c r="G22" i="3"/>
  <c r="AP27" i="3"/>
  <c r="AO14" i="3"/>
  <c r="AO18" i="3" s="1"/>
  <c r="AO20" i="3" s="1"/>
  <c r="AT13" i="3"/>
  <c r="AU13" i="3"/>
  <c r="C5" i="2"/>
  <c r="C6" i="2" s="1"/>
  <c r="AQ14" i="3"/>
  <c r="I35" i="3"/>
  <c r="F35" i="3"/>
  <c r="D35" i="3"/>
  <c r="H35" i="3"/>
  <c r="M35" i="3"/>
  <c r="AP14" i="3"/>
  <c r="L35" i="3"/>
  <c r="O35" i="3"/>
  <c r="P35" i="3"/>
  <c r="J35" i="3"/>
  <c r="K35" i="3"/>
  <c r="N35" i="3"/>
  <c r="C35" i="3"/>
  <c r="Q28" i="3"/>
  <c r="Q35" i="3"/>
  <c r="Q34" i="3"/>
  <c r="R31" i="3" l="1"/>
  <c r="V31" i="3"/>
  <c r="AT14" i="3"/>
  <c r="AT29" i="3"/>
  <c r="P31" i="3"/>
  <c r="T31" i="3"/>
  <c r="AQ35" i="3"/>
  <c r="AQ30" i="3"/>
  <c r="AR30" i="3"/>
  <c r="AU14" i="3"/>
  <c r="AU29" i="3"/>
  <c r="O31" i="3"/>
  <c r="S31" i="3"/>
  <c r="AY21" i="3"/>
  <c r="AX33" i="3"/>
  <c r="AP31" i="3"/>
  <c r="K31" i="3"/>
  <c r="AP30" i="3"/>
  <c r="M36" i="3"/>
  <c r="I31" i="3"/>
  <c r="L31" i="3"/>
  <c r="Q31" i="3"/>
  <c r="U31" i="3"/>
  <c r="AZ28" i="3"/>
  <c r="AZ26" i="3"/>
  <c r="AZ5" i="3"/>
  <c r="AY7" i="3"/>
  <c r="AY27" i="3"/>
  <c r="AQ18" i="3"/>
  <c r="AQ20" i="3" s="1"/>
  <c r="G36" i="3"/>
  <c r="AO35" i="3"/>
  <c r="AV13" i="3"/>
  <c r="AR27" i="3"/>
  <c r="C7" i="2"/>
  <c r="M22" i="3"/>
  <c r="E22" i="3"/>
  <c r="E36" i="3"/>
  <c r="P22" i="3"/>
  <c r="P36" i="3"/>
  <c r="L22" i="3"/>
  <c r="L36" i="3"/>
  <c r="F22" i="3"/>
  <c r="F36" i="3"/>
  <c r="N22" i="3"/>
  <c r="N36" i="3"/>
  <c r="D22" i="3"/>
  <c r="D36" i="3"/>
  <c r="J22" i="3"/>
  <c r="J36" i="3"/>
  <c r="AP35" i="3"/>
  <c r="C36" i="3"/>
  <c r="C22" i="3"/>
  <c r="G32" i="3" s="1"/>
  <c r="O22" i="3"/>
  <c r="O36" i="3"/>
  <c r="K22" i="3"/>
  <c r="K32" i="3" s="1"/>
  <c r="K36" i="3"/>
  <c r="H22" i="3"/>
  <c r="H36" i="3"/>
  <c r="I22" i="3"/>
  <c r="I36" i="3"/>
  <c r="AO22" i="3"/>
  <c r="AO36" i="3"/>
  <c r="R34" i="3"/>
  <c r="M32" i="3" l="1"/>
  <c r="J32" i="3"/>
  <c r="L32" i="3"/>
  <c r="O32" i="3"/>
  <c r="S32" i="3"/>
  <c r="AZ21" i="3"/>
  <c r="AZ33" i="3" s="1"/>
  <c r="AY33" i="3"/>
  <c r="AU18" i="3"/>
  <c r="AU30" i="3"/>
  <c r="H32" i="3"/>
  <c r="AQ31" i="3"/>
  <c r="AR31" i="3"/>
  <c r="N32" i="3"/>
  <c r="I32" i="3"/>
  <c r="AT18" i="3"/>
  <c r="AT20" i="3" s="1"/>
  <c r="AT31" i="3" s="1"/>
  <c r="AT30" i="3"/>
  <c r="P32" i="3"/>
  <c r="T32" i="3"/>
  <c r="AV14" i="3"/>
  <c r="AV18" i="3" s="1"/>
  <c r="AV29" i="3"/>
  <c r="AW13" i="3"/>
  <c r="AZ7" i="3"/>
  <c r="AZ27" i="3"/>
  <c r="AY34" i="3"/>
  <c r="AQ36" i="3"/>
  <c r="AQ22" i="3"/>
  <c r="AS35" i="3"/>
  <c r="AS27" i="3"/>
  <c r="AS34" i="3"/>
  <c r="AP22" i="3"/>
  <c r="AP32" i="3" s="1"/>
  <c r="AP36" i="3"/>
  <c r="R28" i="3"/>
  <c r="AR28" i="3"/>
  <c r="AT27" i="3"/>
  <c r="Q22" i="3"/>
  <c r="Q36" i="3"/>
  <c r="R35" i="3"/>
  <c r="Q32" i="3" l="1"/>
  <c r="U32" i="3"/>
  <c r="AQ32" i="3"/>
  <c r="AR32" i="3"/>
  <c r="AV30" i="3"/>
  <c r="AW14" i="3"/>
  <c r="AW30" i="3" s="1"/>
  <c r="AW29" i="3"/>
  <c r="AX13" i="3"/>
  <c r="AX29" i="3" s="1"/>
  <c r="AZ34" i="3"/>
  <c r="AT35" i="3"/>
  <c r="AT34" i="3"/>
  <c r="AT28" i="3"/>
  <c r="AS28" i="3"/>
  <c r="AU34" i="3"/>
  <c r="AU27" i="3"/>
  <c r="R22" i="3"/>
  <c r="R32" i="3" l="1"/>
  <c r="V32" i="3"/>
  <c r="AW18" i="3"/>
  <c r="AX14" i="3"/>
  <c r="AX30" i="3" s="1"/>
  <c r="AY13" i="3"/>
  <c r="AY29" i="3" s="1"/>
  <c r="AS36" i="3"/>
  <c r="AS22" i="3"/>
  <c r="AS32" i="3" s="1"/>
  <c r="AR34" i="3"/>
  <c r="AV27" i="3"/>
  <c r="AU28" i="3"/>
  <c r="R36" i="3"/>
  <c r="AY14" i="3" l="1"/>
  <c r="AY30" i="3" s="1"/>
  <c r="AX18" i="3"/>
  <c r="AX35" i="3"/>
  <c r="AZ13" i="3"/>
  <c r="AZ29" i="3" s="1"/>
  <c r="AT36" i="3"/>
  <c r="AT22" i="3"/>
  <c r="AT32" i="3" s="1"/>
  <c r="AV35" i="3"/>
  <c r="AV34" i="3"/>
  <c r="AU20" i="3"/>
  <c r="AU31" i="3" s="1"/>
  <c r="AU35" i="3"/>
  <c r="AW27" i="3"/>
  <c r="AV28" i="3"/>
  <c r="AR35" i="3"/>
  <c r="AR36" i="3"/>
  <c r="AZ14" i="3" l="1"/>
  <c r="AY35" i="3"/>
  <c r="AY18" i="3"/>
  <c r="AU36" i="3"/>
  <c r="AU22" i="3"/>
  <c r="AU32" i="3" s="1"/>
  <c r="AW34" i="3"/>
  <c r="AW28" i="3"/>
  <c r="AY19" i="3" l="1"/>
  <c r="AX19" i="3"/>
  <c r="AV20" i="3"/>
  <c r="AV22" i="3" s="1"/>
  <c r="AV32" i="3" s="1"/>
  <c r="AW19" i="3"/>
  <c r="C9" i="2"/>
  <c r="C18" i="2" s="1"/>
  <c r="BF25" i="3" s="1"/>
  <c r="AZ30" i="3"/>
  <c r="AZ18" i="3"/>
  <c r="AZ19" i="3" s="1"/>
  <c r="AZ35" i="3"/>
  <c r="AV36" i="3"/>
  <c r="AW35" i="3"/>
  <c r="AV31" i="3" l="1"/>
  <c r="AW20" i="3"/>
  <c r="AW36" i="3"/>
  <c r="AW31" i="3" l="1"/>
  <c r="AW22" i="3"/>
  <c r="AW32" i="3" s="1"/>
  <c r="AX20" i="3" l="1"/>
  <c r="AX36" i="3"/>
  <c r="AX31" i="3" l="1"/>
  <c r="AX22" i="3"/>
  <c r="AX32" i="3" s="1"/>
  <c r="AY20" i="3" l="1"/>
  <c r="AY36" i="3"/>
  <c r="AY31" i="3" l="1"/>
  <c r="AY22" i="3"/>
  <c r="AY32" i="3" s="1"/>
  <c r="AZ20" i="3" l="1"/>
  <c r="AZ36" i="3"/>
  <c r="AZ31" i="3" l="1"/>
  <c r="BA20" i="3"/>
  <c r="AZ22" i="3"/>
  <c r="AZ32" i="3" s="1"/>
  <c r="BB20" i="3" l="1"/>
  <c r="BC20" i="3" s="1"/>
  <c r="BD20" i="3" s="1"/>
  <c r="BE20" i="3" s="1"/>
  <c r="BF20" i="3" s="1"/>
  <c r="BG20" i="3" s="1"/>
  <c r="BH20" i="3" s="1"/>
  <c r="BI20" i="3" s="1"/>
  <c r="BJ20" i="3" s="1"/>
  <c r="BK20" i="3" s="1"/>
  <c r="BL20" i="3" s="1"/>
  <c r="BM20" i="3" s="1"/>
  <c r="BN20" i="3" s="1"/>
  <c r="BO20" i="3" s="1"/>
  <c r="BP20" i="3" s="1"/>
  <c r="BQ20" i="3" s="1"/>
  <c r="BR20" i="3" s="1"/>
  <c r="BS20" i="3" s="1"/>
  <c r="BT20" i="3" s="1"/>
  <c r="BU20" i="3" s="1"/>
  <c r="BV20" i="3" s="1"/>
  <c r="BW20" i="3" s="1"/>
  <c r="BX20" i="3" s="1"/>
  <c r="BY20" i="3" s="1"/>
  <c r="BZ20" i="3" s="1"/>
  <c r="CA20" i="3" s="1"/>
  <c r="CB20" i="3" s="1"/>
  <c r="CC20" i="3" s="1"/>
  <c r="CD20" i="3" s="1"/>
  <c r="CE20" i="3" s="1"/>
  <c r="CF20" i="3" s="1"/>
  <c r="CG20" i="3" s="1"/>
  <c r="CH20" i="3" s="1"/>
  <c r="CI20" i="3" s="1"/>
  <c r="CJ20" i="3" s="1"/>
  <c r="CK20" i="3" s="1"/>
  <c r="CL20" i="3" s="1"/>
  <c r="CM20" i="3" s="1"/>
  <c r="CN20" i="3" s="1"/>
  <c r="CO20" i="3" s="1"/>
  <c r="CP20" i="3" s="1"/>
  <c r="CQ20" i="3" s="1"/>
  <c r="CR20" i="3" s="1"/>
  <c r="CS20" i="3" s="1"/>
  <c r="CT20" i="3" s="1"/>
  <c r="CU20" i="3" s="1"/>
  <c r="CV20" i="3" s="1"/>
  <c r="CW20" i="3" s="1"/>
  <c r="CX20" i="3" s="1"/>
  <c r="CY20" i="3" s="1"/>
  <c r="CZ20" i="3" s="1"/>
  <c r="DA20" i="3" s="1"/>
  <c r="DB20" i="3" s="1"/>
  <c r="DC20" i="3" s="1"/>
  <c r="DD20" i="3" s="1"/>
  <c r="DE20" i="3" s="1"/>
  <c r="DF20" i="3" s="1"/>
  <c r="DG20" i="3" s="1"/>
  <c r="DH20" i="3" s="1"/>
  <c r="DI20" i="3" s="1"/>
  <c r="DJ20" i="3" s="1"/>
  <c r="DK20" i="3" s="1"/>
  <c r="DL20" i="3" s="1"/>
  <c r="DM20" i="3" s="1"/>
  <c r="DN20" i="3" s="1"/>
  <c r="DO20" i="3" s="1"/>
  <c r="DP20" i="3" s="1"/>
  <c r="DQ20" i="3" s="1"/>
  <c r="DR20" i="3" s="1"/>
  <c r="DS20" i="3" s="1"/>
  <c r="DT20" i="3" s="1"/>
  <c r="DU20" i="3" s="1"/>
  <c r="DV20" i="3" s="1"/>
  <c r="DW20" i="3" s="1"/>
  <c r="DX20" i="3" s="1"/>
  <c r="DY20" i="3" s="1"/>
  <c r="DZ20" i="3" s="1"/>
  <c r="EA20" i="3" s="1"/>
  <c r="EB20" i="3" s="1"/>
  <c r="EC20" i="3" s="1"/>
  <c r="ED20" i="3" s="1"/>
  <c r="EE20" i="3" s="1"/>
  <c r="EF20" i="3" s="1"/>
  <c r="EG20" i="3" s="1"/>
  <c r="EH20" i="3" s="1"/>
  <c r="EI20" i="3" s="1"/>
  <c r="EJ20" i="3" s="1"/>
  <c r="EK20" i="3" s="1"/>
  <c r="EL20" i="3" s="1"/>
  <c r="EM20" i="3" s="1"/>
  <c r="EN20" i="3" s="1"/>
  <c r="EO20" i="3" s="1"/>
  <c r="EP20" i="3" s="1"/>
  <c r="EQ20" i="3" s="1"/>
  <c r="ER20" i="3" s="1"/>
  <c r="ES20" i="3" s="1"/>
  <c r="ET20" i="3" s="1"/>
  <c r="EU20" i="3" s="1"/>
  <c r="EV20" i="3" s="1"/>
  <c r="EW20" i="3" s="1"/>
  <c r="EX20" i="3" s="1"/>
  <c r="EY20" i="3" s="1"/>
  <c r="EZ20" i="3" s="1"/>
  <c r="FA20" i="3" s="1"/>
  <c r="FB20" i="3" s="1"/>
  <c r="FC20" i="3" s="1"/>
  <c r="FD20" i="3" s="1"/>
  <c r="FE20" i="3" s="1"/>
  <c r="FF20" i="3" s="1"/>
  <c r="FG20" i="3" s="1"/>
  <c r="FH20" i="3" s="1"/>
  <c r="FI20" i="3" s="1"/>
  <c r="FJ20" i="3" s="1"/>
  <c r="FK20" i="3" s="1"/>
  <c r="FL20" i="3" s="1"/>
  <c r="FM20" i="3" s="1"/>
  <c r="FN20" i="3" s="1"/>
  <c r="FO20" i="3" s="1"/>
  <c r="FP20" i="3" s="1"/>
  <c r="FQ20" i="3" s="1"/>
  <c r="FR20" i="3" s="1"/>
  <c r="FS20" i="3" s="1"/>
  <c r="FT20" i="3" s="1"/>
  <c r="FU20" i="3" s="1"/>
  <c r="FV20" i="3" s="1"/>
  <c r="FW20" i="3" s="1"/>
  <c r="FX20" i="3" s="1"/>
  <c r="FY20" i="3" s="1"/>
  <c r="FZ20" i="3" s="1"/>
  <c r="GA20" i="3" s="1"/>
  <c r="GB20" i="3" s="1"/>
  <c r="GC20" i="3" s="1"/>
  <c r="GD20" i="3" s="1"/>
  <c r="GE20" i="3" s="1"/>
  <c r="GF20" i="3" s="1"/>
  <c r="GG20" i="3" s="1"/>
  <c r="GH20" i="3" s="1"/>
  <c r="GI20" i="3" s="1"/>
  <c r="GJ20" i="3" s="1"/>
  <c r="GK20" i="3" s="1"/>
  <c r="GL20" i="3" s="1"/>
  <c r="GM20" i="3" s="1"/>
  <c r="GN20" i="3" s="1"/>
  <c r="GO20" i="3" s="1"/>
  <c r="GP20" i="3" s="1"/>
  <c r="GQ20" i="3" s="1"/>
  <c r="GR20" i="3" s="1"/>
  <c r="GS20" i="3" s="1"/>
  <c r="GT20" i="3" s="1"/>
  <c r="GU20" i="3" s="1"/>
  <c r="GV20" i="3" s="1"/>
  <c r="GW20" i="3" s="1"/>
  <c r="GX20" i="3" s="1"/>
  <c r="GY20" i="3" s="1"/>
  <c r="GZ20" i="3" s="1"/>
  <c r="HA20" i="3" s="1"/>
  <c r="HB20" i="3" s="1"/>
  <c r="HC20" i="3" s="1"/>
  <c r="HD20" i="3" s="1"/>
  <c r="HE20" i="3" s="1"/>
  <c r="HF20" i="3" s="1"/>
  <c r="HG20" i="3" s="1"/>
  <c r="HH20" i="3" s="1"/>
  <c r="HI20" i="3" s="1"/>
  <c r="HJ20" i="3" s="1"/>
  <c r="HK20" i="3" s="1"/>
  <c r="HL20" i="3" s="1"/>
  <c r="HM20" i="3" s="1"/>
  <c r="HN20" i="3" s="1"/>
  <c r="HO20" i="3" s="1"/>
  <c r="HP20" i="3" s="1"/>
  <c r="HQ20" i="3" s="1"/>
  <c r="HR20" i="3" s="1"/>
  <c r="HS20" i="3" s="1"/>
  <c r="HT20" i="3" s="1"/>
  <c r="HU20" i="3" s="1"/>
  <c r="HV20" i="3" s="1"/>
  <c r="HW20" i="3" s="1"/>
  <c r="HX20" i="3" s="1"/>
  <c r="HY20" i="3" s="1"/>
  <c r="HZ20" i="3" s="1"/>
  <c r="IA20" i="3" s="1"/>
  <c r="IB20" i="3" s="1"/>
  <c r="IC20" i="3" s="1"/>
  <c r="ID20" i="3" s="1"/>
  <c r="IE20" i="3" s="1"/>
  <c r="IF20" i="3" s="1"/>
  <c r="IG20" i="3" s="1"/>
  <c r="IH20" i="3" s="1"/>
  <c r="II20" i="3" s="1"/>
  <c r="IJ20" i="3" s="1"/>
  <c r="IK20" i="3" s="1"/>
  <c r="IL20" i="3" s="1"/>
  <c r="IM20" i="3" s="1"/>
  <c r="IN20" i="3" s="1"/>
  <c r="IO20" i="3" s="1"/>
  <c r="IP20" i="3" s="1"/>
  <c r="IQ20" i="3" s="1"/>
  <c r="IR20" i="3" s="1"/>
  <c r="IS20" i="3" s="1"/>
  <c r="IT20" i="3" s="1"/>
  <c r="IU20" i="3" s="1"/>
  <c r="IV20" i="3" s="1"/>
  <c r="IW20" i="3" s="1"/>
  <c r="IX20" i="3" s="1"/>
  <c r="IY20" i="3" s="1"/>
  <c r="IZ20" i="3" s="1"/>
  <c r="JA20" i="3" s="1"/>
  <c r="JB20" i="3" s="1"/>
  <c r="JC20" i="3" s="1"/>
  <c r="JD20" i="3" s="1"/>
  <c r="JE20" i="3" s="1"/>
  <c r="JF20" i="3" s="1"/>
  <c r="JG20" i="3" s="1"/>
  <c r="JH20" i="3" s="1"/>
  <c r="JI20" i="3" s="1"/>
  <c r="JJ20" i="3" s="1"/>
  <c r="JK20" i="3" s="1"/>
  <c r="JL20" i="3" s="1"/>
  <c r="JM20" i="3" s="1"/>
  <c r="JN20" i="3" s="1"/>
  <c r="JO20" i="3" s="1"/>
  <c r="JP20" i="3" s="1"/>
  <c r="BF27" i="3" s="1"/>
  <c r="BF29" i="3" l="1"/>
  <c r="BF30" i="3" s="1"/>
  <c r="BF3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<sst xmlns="http://schemas.openxmlformats.org/spreadsheetml/2006/main" count="99" uniqueCount="90">
  <si>
    <t>Company</t>
  </si>
  <si>
    <t>Source</t>
  </si>
  <si>
    <t>Price</t>
  </si>
  <si>
    <t>Shares</t>
  </si>
  <si>
    <t>Market Cap</t>
  </si>
  <si>
    <t>Cash</t>
  </si>
  <si>
    <t>Debt</t>
  </si>
  <si>
    <t>EV</t>
  </si>
  <si>
    <t>Equity</t>
  </si>
  <si>
    <t>D+E</t>
  </si>
  <si>
    <t>Wdebt</t>
  </si>
  <si>
    <t>Wequity</t>
  </si>
  <si>
    <t>Tax rate</t>
  </si>
  <si>
    <t>Interest expense</t>
  </si>
  <si>
    <t>Cost of debt</t>
  </si>
  <si>
    <t>Risk-free rate</t>
  </si>
  <si>
    <t>Beta</t>
  </si>
  <si>
    <t>Market return</t>
  </si>
  <si>
    <t>Cost of equity</t>
  </si>
  <si>
    <t>WACC</t>
  </si>
  <si>
    <t>1Q17</t>
  </si>
  <si>
    <t>1Q18</t>
  </si>
  <si>
    <t>2Q17</t>
  </si>
  <si>
    <t>3Q17</t>
  </si>
  <si>
    <t>4Q17</t>
  </si>
  <si>
    <t>2Q18</t>
  </si>
  <si>
    <t>3Q18</t>
  </si>
  <si>
    <t>4Q18</t>
  </si>
  <si>
    <t>1Q19</t>
  </si>
  <si>
    <t>2Q19</t>
  </si>
  <si>
    <t>3Q19</t>
  </si>
  <si>
    <t>4Q19</t>
  </si>
  <si>
    <t>1Q20</t>
  </si>
  <si>
    <t>2Q20</t>
  </si>
  <si>
    <t>3Q20</t>
  </si>
  <si>
    <t>4Q20</t>
  </si>
  <si>
    <t>Product Sales</t>
  </si>
  <si>
    <t>Service Sales</t>
  </si>
  <si>
    <t>Total Revenue</t>
  </si>
  <si>
    <t>Cost of Sales</t>
  </si>
  <si>
    <t>Fulfillment</t>
  </si>
  <si>
    <t>Marketing</t>
  </si>
  <si>
    <t>Tech &amp; Content</t>
  </si>
  <si>
    <t>G&amp;A</t>
  </si>
  <si>
    <t>Other</t>
  </si>
  <si>
    <t>Gross Margin</t>
  </si>
  <si>
    <t>Operating Expenses</t>
  </si>
  <si>
    <t>Operating Income</t>
  </si>
  <si>
    <t>Pretax Income</t>
  </si>
  <si>
    <t>Taxes</t>
  </si>
  <si>
    <t>Net Income</t>
  </si>
  <si>
    <t>EPS</t>
  </si>
  <si>
    <t>Operating Margin</t>
  </si>
  <si>
    <t>COGS Y/Y</t>
  </si>
  <si>
    <t>OpEx Y/Y</t>
  </si>
  <si>
    <t>Maturity</t>
  </si>
  <si>
    <t>NPV</t>
  </si>
  <si>
    <t>Model Price</t>
  </si>
  <si>
    <t>Market Price</t>
  </si>
  <si>
    <t>Difference</t>
  </si>
  <si>
    <t>Value</t>
  </si>
  <si>
    <t>Net Cash</t>
  </si>
  <si>
    <t>1Q22</t>
  </si>
  <si>
    <t>1Q21</t>
  </si>
  <si>
    <t>2Q21</t>
  </si>
  <si>
    <t>3Q21</t>
  </si>
  <si>
    <t>4Q21</t>
  </si>
  <si>
    <t>2Q22</t>
  </si>
  <si>
    <t>3Q22</t>
  </si>
  <si>
    <t>4Q22</t>
  </si>
  <si>
    <t>Total Revenue Y/Y</t>
  </si>
  <si>
    <t>Product Revenue Y/Y</t>
  </si>
  <si>
    <t>Service Revenue Y/Y</t>
  </si>
  <si>
    <t>4Q23</t>
  </si>
  <si>
    <t>koyfin 2/27/2024</t>
  </si>
  <si>
    <t>5yr t-bond</t>
  </si>
  <si>
    <t>1Q23</t>
  </si>
  <si>
    <t>2Q23</t>
  </si>
  <si>
    <t>3Q23</t>
  </si>
  <si>
    <t>Interest Income</t>
  </si>
  <si>
    <t>Interest Expense</t>
  </si>
  <si>
    <t>Other Income/(Expense)</t>
  </si>
  <si>
    <t>OI Y/Y</t>
  </si>
  <si>
    <t>NI Y/Y</t>
  </si>
  <si>
    <t>EPS Y/Y</t>
  </si>
  <si>
    <t>Shares Y/Y</t>
  </si>
  <si>
    <t>1Q24</t>
  </si>
  <si>
    <t>2Q24</t>
  </si>
  <si>
    <t>3Q24</t>
  </si>
  <si>
    <t>4Q24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</si>
</sst>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Calibri"/>
      <family val="2"/>
      <scheme val="minor"/>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37">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0" xfId="0" applyFont="1"/>
    <xf numFmtId="0" fontId="2" fillId="0" borderId="4" xfId="0" applyFont="1" applyBorder="1"/>
    <xf numFmtId="164" fontId="2" fillId="0" borderId="0" xfId="0" applyNumberFormat="1" applyFont="1" applyAlignment="1">
      <alignment horizontal="right"/>
    </xf>
    <xf numFmtId="0" fontId="2" fillId="0" borderId="1" xfId="0" applyFont="1" applyBorder="1" applyAlignment="1">
      <alignment horizontal="right"/>
    </xf>
    <xf numFmtId="3" fontId="2" fillId="0" borderId="0" xfId="0" applyNumberFormat="1" applyFont="1" applyAlignment="1">
      <alignment horizontal="right"/>
    </xf>
    <xf numFmtId="0" fontId="2" fillId="0" borderId="4" xfId="0" applyFont="1" applyBorder="1" applyAlignment="1">
      <alignment horizontal="right"/>
    </xf>
    <xf numFmtId="0" fontId="2" fillId="0" borderId="5" xfId="0" applyFont="1" applyBorder="1"/>
    <xf numFmtId="3" fontId="2" fillId="0" borderId="6" xfId="0" applyNumberFormat="1" applyFont="1" applyBorder="1" applyAlignment="1">
      <alignment horizontal="right"/>
    </xf>
    <xf numFmtId="0" fontId="2" fillId="0" borderId="5" xfId="0" applyFont="1" applyBorder="1" applyAlignment="1">
      <alignment horizontal="right"/>
    </xf>
    <xf numFmtId="3" fontId="2" fillId="0" borderId="0" xfId="0" applyNumberFormat="1" applyFont="1"/>
    <xf numFmtId="0" fontId="4" fillId="0" borderId="0" xfId="0" applyFont="1"/>
    <xf numFmtId="10" fontId="4" fillId="0" borderId="0" xfId="0" applyNumberFormat="1" applyFont="1"/>
    <xf numFmtId="10" fontId="2" fillId="0" borderId="0" xfId="0" applyNumberFormat="1" applyFont="1"/>
    <xf numFmtId="10" fontId="4" fillId="0" borderId="0" xfId="1" applyNumberFormat="1" applyFont="1"/>
    <xf numFmtId="9" fontId="2" fillId="0" borderId="0" xfId="0" applyNumberFormat="1" applyFont="1"/>
    <xf numFmtId="0" fontId="2" fillId="0" borderId="0" xfId="0" applyFont="1" applyAlignment="1">
      <alignment horizontal="right" vertical="center"/>
    </xf>
    <xf numFmtId="3" fontId="2" fillId="0" borderId="0" xfId="0" applyNumberFormat="1" applyFont="1" applyAlignment="1">
      <alignment horizontal="right" vertical="center"/>
    </xf>
    <xf numFmtId="3" fontId="4" fillId="0" borderId="0" xfId="0" applyNumberFormat="1" applyFont="1" applyAlignment="1">
      <alignment horizontal="right" vertical="center"/>
    </xf>
    <xf numFmtId="0" fontId="4" fillId="0" borderId="0" xfId="0" applyFont="1" applyAlignment="1">
      <alignment horizontal="right" vertical="center"/>
    </xf>
    <xf numFmtId="3" fontId="4" fillId="0" borderId="0" xfId="0" applyNumberFormat="1" applyFont="1"/>
    <xf numFmtId="4" fontId="2" fillId="0" borderId="0" xfId="0" applyNumberFormat="1" applyFont="1"/>
    <xf numFmtId="9" fontId="2" fillId="0" borderId="0" xfId="1" applyFont="1" applyAlignment="1">
      <alignment horizontal="right" vertical="center"/>
    </xf>
    <xf numFmtId="9" fontId="2" fillId="0" borderId="0" xfId="1" applyFont="1"/>
    <xf numFmtId="4" fontId="2" fillId="0" borderId="0" xfId="0" applyNumberFormat="1" applyFont="1" applyAlignment="1">
      <alignment horizontal="right" vertical="center"/>
    </xf>
    <xf numFmtId="0" fontId="1" fillId="0" borderId="4" xfId="0" applyFont="1" applyBorder="1" applyAlignment="1">
      <alignment horizontal="right"/>
    </xf>
    <xf numFmtId="0" fontId="1" fillId="0" borderId="0" xfId="0" applyFont="1"/>
    <xf numFmtId="9" fontId="1" fillId="0" borderId="0" xfId="0" applyNumberFormat="1" applyFont="1"/>
    <xf numFmtId="14" fontId="2" fillId="0" borderId="0" xfId="0" applyNumberFormat="1" applyFont="1"/>
    <xf numFmtId="14" fontId="1" fillId="0" borderId="0" xfId="0" applyNumberFormat="1" applyFont="1"/>
    <xf numFmtId="3" fontId="1" fillId="0" borderId="0" xfId="0" applyNumberFormat="1" applyFont="1" applyAlignment="1">
      <alignment horizontal="right" vertical="center"/>
    </xf>
    <xf numFmtId="9" fontId="2" fillId="0" borderId="0" xfId="0" applyNumberFormat="1" applyFont="1" applyAlignment="1">
      <alignment horizontal="right" vertical="center"/>
    </xf>
    <xf numFmtId="0" fontId="1" fillId="0" borderId="0" xfId="0" applyFont="1" applyAlignment="1">
      <alignment horizontal="right" vertical="center"/>
    </xf>
    <xf numFmtId="9" fontId="4" fillId="0" borderId="0" xfId="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30</xdr:col>
      <xdr:colOff>49530</xdr:colOff>
      <xdr:row>0</xdr:row>
      <xdr:rowOff>40005</xdr:rowOff>
    </xdr:from>
    <xdr:to>
      <xdr:col>30</xdr:col>
      <xdr:colOff>49530</xdr:colOff>
      <xdr:row>44</xdr:row>
      <xdr:rowOff>120015</xdr:rowOff>
    </xdr:to>
    <xdr:cxnSp macro="">
      <xdr:nvCxnSpPr>
        <xdr:cNvPr id="3" name="Straight Connector 2">
          <a:extLst>
            <a:ext uri="{FF2B5EF4-FFF2-40B4-BE49-F238E27FC236}">
              <a16:creationId xmlns:a16="http://schemas.microsoft.com/office/drawing/2014/main" id="{23D5DB84-734A-49D2-BBA3-C6E18C5BD402}"/>
            </a:ext>
          </a:extLst>
        </xdr:cNvPr>
        <xdr:cNvCxnSpPr/>
      </xdr:nvCxnSpPr>
      <xdr:spPr>
        <a:xfrm>
          <a:off x="20646390" y="40005"/>
          <a:ext cx="0" cy="79667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11430</xdr:colOff>
      <xdr:row>0</xdr:row>
      <xdr:rowOff>104775</xdr:rowOff>
    </xdr:from>
    <xdr:to>
      <xdr:col>47</xdr:col>
      <xdr:colOff>11430</xdr:colOff>
      <xdr:row>45</xdr:row>
      <xdr:rowOff>20955</xdr:rowOff>
    </xdr:to>
    <xdr:cxnSp macro="">
      <xdr:nvCxnSpPr>
        <xdr:cNvPr id="4" name="Straight Connector 3">
          <a:extLst>
            <a:ext uri="{FF2B5EF4-FFF2-40B4-BE49-F238E27FC236}">
              <a16:creationId xmlns:a16="http://schemas.microsoft.com/office/drawing/2014/main" id="{56D311F3-BF59-476F-83ED-164D70E0463C}"/>
            </a:ext>
          </a:extLst>
        </xdr:cNvPr>
        <xdr:cNvCxnSpPr/>
      </xdr:nvCxnSpPr>
      <xdr:spPr>
        <a:xfrm>
          <a:off x="27614880" y="104775"/>
          <a:ext cx="0" cy="78028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All"/>
      <sheetName val="Communication"/>
      <sheetName val="Discretionary"/>
      <sheetName val="Staples"/>
      <sheetName val="Energy"/>
      <sheetName val="Financials"/>
      <sheetName val="Health Care"/>
      <sheetName val="Industrials"/>
      <sheetName val="Materials"/>
      <sheetName val="Real Estate"/>
      <sheetName val="Tech"/>
      <sheetName val="Utilities"/>
      <sheetName val="Screens"/>
    </sheetNames>
    <sheetDataSet>
      <sheetData sheetId="0">
        <row r="12">
          <cell r="C12">
            <v>4.2999999999999997E-2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en-US</v>
    <v>a1nhlh</v>
    <v>268435456</v>
    <v>1</v>
    <v>Powered by Refinitiv</v>
    <v>0</v>
    <v>AMAZON.COM, INC. (XNAS:AMZN)</v>
    <v>2</v>
    <v>3</v>
    <v>Finance</v>
    <v>4</v>
    <v>178.72499999999999</v>
    <v>88.12</v>
    <v>1.1680999999999999</v>
    <v>1.46</v>
    <v>-1.2620000000000001E-3</v>
    <v>8.26E-3</v>
    <v>-0.22500000000000001</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178.72499999999999</v>
    <v>Diversified Retail</v>
    <v>Stock</v>
    <v>45352.980340253904</v>
    <v>0</v>
    <v>176.07</v>
    <v>1851239000000</v>
    <v>AMAZON.COM, INC.</v>
    <v>AMAZON.COM, INC.</v>
    <v>176.75</v>
    <v>61.176000000000002</v>
    <v>176.76</v>
    <v>178.22</v>
    <v>177.995</v>
    <v>10387380000</v>
    <v>AMZN</v>
    <v>AMAZON.COM, INC. (XNAS:AMZN)</v>
    <v>31981152</v>
    <v>51224238</v>
    <v>1996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969CB-68C0-426C-A10D-B75B03C2AF88}">
  <dimension ref="B3:D9"/>
  <sheetViews>
    <sheetView workbookViewId="0">
      <selection activeCell="C6" sqref="C6"/>
    </sheetView>
  </sheetViews>
  <sheetFormatPr defaultColWidth="9.109375" defaultRowHeight="13.8" x14ac:dyDescent="0.25"/>
  <cols>
    <col min="1" max="1" width="9.109375" style="4"/>
    <col min="2" max="2" width="11.5546875" style="4" bestFit="1" customWidth="1"/>
    <col min="3" max="3" width="36.5546875" style="4" bestFit="1" customWidth="1"/>
    <col min="4" max="4" width="7.6640625" style="4" bestFit="1" customWidth="1"/>
    <col min="5" max="16384" width="9.109375" style="4"/>
  </cols>
  <sheetData>
    <row r="3" spans="2:4" x14ac:dyDescent="0.25">
      <c r="B3" s="1" t="s">
        <v>0</v>
      </c>
      <c r="C3" s="2" t="e" vm="1">
        <v>#VALUE!</v>
      </c>
      <c r="D3" s="3" t="s">
        <v>1</v>
      </c>
    </row>
    <row r="4" spans="2:4" x14ac:dyDescent="0.25">
      <c r="B4" s="5" t="s">
        <v>2</v>
      </c>
      <c r="C4" s="6" cm="1">
        <f t="array" ref="C4">_FV(C3,"Price")</f>
        <v>178.22</v>
      </c>
      <c r="D4" s="7"/>
    </row>
    <row r="5" spans="2:4" x14ac:dyDescent="0.25">
      <c r="B5" s="5" t="s">
        <v>3</v>
      </c>
      <c r="C5" s="8">
        <v>10308</v>
      </c>
      <c r="D5" s="28" t="s">
        <v>73</v>
      </c>
    </row>
    <row r="6" spans="2:4" x14ac:dyDescent="0.25">
      <c r="B6" s="5" t="s">
        <v>4</v>
      </c>
      <c r="C6" s="8">
        <f>C4*C5</f>
        <v>1837091.76</v>
      </c>
      <c r="D6" s="9"/>
    </row>
    <row r="7" spans="2:4" x14ac:dyDescent="0.25">
      <c r="B7" s="5" t="s">
        <v>5</v>
      </c>
      <c r="C7" s="8">
        <v>53888</v>
      </c>
      <c r="D7" s="28" t="s">
        <v>73</v>
      </c>
    </row>
    <row r="8" spans="2:4" x14ac:dyDescent="0.25">
      <c r="B8" s="5" t="s">
        <v>6</v>
      </c>
      <c r="C8" s="8">
        <v>16138</v>
      </c>
      <c r="D8" s="28" t="s">
        <v>73</v>
      </c>
    </row>
    <row r="9" spans="2:4" x14ac:dyDescent="0.25">
      <c r="B9" s="10" t="s">
        <v>7</v>
      </c>
      <c r="C9" s="11">
        <f>C6-C7+C8</f>
        <v>1799341.76</v>
      </c>
      <c r="D9"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0994-B7BE-4FB6-BB6F-24C7AF7A183E}">
  <dimension ref="B3:D18"/>
  <sheetViews>
    <sheetView workbookViewId="0">
      <selection activeCell="C13" sqref="C13"/>
    </sheetView>
  </sheetViews>
  <sheetFormatPr defaultColWidth="9.109375" defaultRowHeight="13.8" x14ac:dyDescent="0.25"/>
  <cols>
    <col min="1" max="1" width="9.109375" style="4"/>
    <col min="2" max="2" width="16.44140625" style="4" bestFit="1" customWidth="1"/>
    <col min="3" max="3" width="10.109375" style="4" bestFit="1" customWidth="1"/>
    <col min="4" max="4" width="16.6640625" style="4" bestFit="1" customWidth="1"/>
    <col min="5" max="16384" width="9.109375" style="4"/>
  </cols>
  <sheetData>
    <row r="3" spans="2:4" x14ac:dyDescent="0.25">
      <c r="B3" s="4" t="s">
        <v>6</v>
      </c>
      <c r="C3" s="13">
        <f>Main!C8</f>
        <v>16138</v>
      </c>
    </row>
    <row r="4" spans="2:4" x14ac:dyDescent="0.25">
      <c r="B4" s="4" t="s">
        <v>8</v>
      </c>
      <c r="C4" s="13">
        <f>Main!C6</f>
        <v>1837091.76</v>
      </c>
    </row>
    <row r="5" spans="2:4" x14ac:dyDescent="0.25">
      <c r="B5" s="4" t="s">
        <v>9</v>
      </c>
      <c r="C5" s="13">
        <f>C3+C4</f>
        <v>1853229.76</v>
      </c>
    </row>
    <row r="6" spans="2:4" x14ac:dyDescent="0.25">
      <c r="B6" s="14" t="s">
        <v>10</v>
      </c>
      <c r="C6" s="15">
        <f>C3/C5</f>
        <v>8.708040604744012E-3</v>
      </c>
    </row>
    <row r="7" spans="2:4" x14ac:dyDescent="0.25">
      <c r="B7" s="14" t="s">
        <v>11</v>
      </c>
      <c r="C7" s="15">
        <f>C4/C5</f>
        <v>0.99129195939525594</v>
      </c>
    </row>
    <row r="9" spans="2:4" x14ac:dyDescent="0.25">
      <c r="B9" s="4" t="s">
        <v>12</v>
      </c>
      <c r="C9" s="16">
        <f>AVERAGE(Model!AO36:AU36)</f>
        <v>0.1927247680587835</v>
      </c>
    </row>
    <row r="10" spans="2:4" x14ac:dyDescent="0.25">
      <c r="B10" s="4" t="s">
        <v>13</v>
      </c>
      <c r="C10" s="13">
        <f>Model!AU16</f>
        <v>3182</v>
      </c>
      <c r="D10" s="29"/>
    </row>
    <row r="11" spans="2:4" x14ac:dyDescent="0.25">
      <c r="B11" s="14" t="s">
        <v>14</v>
      </c>
      <c r="C11" s="17">
        <f>C10/C3</f>
        <v>0.19717437104969637</v>
      </c>
    </row>
    <row r="13" spans="2:4" x14ac:dyDescent="0.25">
      <c r="B13" s="4" t="s">
        <v>15</v>
      </c>
      <c r="C13" s="16">
        <f>'[1]T-Bond Yields'!$C$12</f>
        <v>4.2999999999999997E-2</v>
      </c>
      <c r="D13" s="29" t="s">
        <v>75</v>
      </c>
    </row>
    <row r="14" spans="2:4" x14ac:dyDescent="0.25">
      <c r="B14" s="4" t="s">
        <v>16</v>
      </c>
      <c r="C14" s="4">
        <v>1.1399999999999999</v>
      </c>
      <c r="D14" s="29" t="s">
        <v>74</v>
      </c>
    </row>
    <row r="15" spans="2:4" x14ac:dyDescent="0.25">
      <c r="B15" s="4" t="s">
        <v>17</v>
      </c>
      <c r="C15" s="18">
        <v>0.08</v>
      </c>
    </row>
    <row r="16" spans="2:4" x14ac:dyDescent="0.25">
      <c r="B16" s="14" t="s">
        <v>18</v>
      </c>
      <c r="C16" s="15">
        <f>C13+C14*(C15-C13)</f>
        <v>8.5180000000000006E-2</v>
      </c>
    </row>
    <row r="18" spans="2:3" x14ac:dyDescent="0.25">
      <c r="B18" s="14" t="s">
        <v>19</v>
      </c>
      <c r="C18" s="15">
        <f>(C6*C11)+(C7*C16)*(1-C9)</f>
        <v>6.9881909557268029E-2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98D96-6C9D-4375-81A8-3F48BE431B81}">
  <dimension ref="B1:CLV49"/>
  <sheetViews>
    <sheetView tabSelected="1" workbookViewId="0">
      <pane xSplit="2" ySplit="2" topLeftCell="AQ18" activePane="bottomRight" state="frozen"/>
      <selection pane="topRight" activeCell="C1" sqref="C1"/>
      <selection pane="bottomLeft" activeCell="A3" sqref="A3"/>
      <selection pane="bottomRight" activeCell="BF30" sqref="BF30"/>
    </sheetView>
  </sheetViews>
  <sheetFormatPr defaultColWidth="9.109375" defaultRowHeight="13.8" x14ac:dyDescent="0.25"/>
  <cols>
    <col min="1" max="1" width="9.109375" style="4"/>
    <col min="2" max="2" width="31.88671875" style="4" bestFit="1" customWidth="1"/>
    <col min="3" max="24" width="9.109375" style="4" customWidth="1"/>
    <col min="25" max="26" width="9.109375" style="4"/>
    <col min="27" max="29" width="9.88671875" style="4" bestFit="1" customWidth="1"/>
    <col min="30" max="30" width="11" style="4" bestFit="1" customWidth="1"/>
    <col min="31" max="33" width="11" style="4" customWidth="1"/>
    <col min="34" max="40" width="9.109375" style="4"/>
    <col min="41" max="49" width="9.109375" style="4" customWidth="1"/>
    <col min="50" max="52" width="8.44140625" style="4" bestFit="1" customWidth="1"/>
    <col min="53" max="53" width="10.88671875" style="4" bestFit="1" customWidth="1"/>
    <col min="54" max="56" width="8.44140625" style="4" bestFit="1" customWidth="1"/>
    <col min="57" max="57" width="12.21875" style="4" bestFit="1" customWidth="1"/>
    <col min="58" max="58" width="10.5546875" style="4" customWidth="1"/>
    <col min="59" max="77" width="8.44140625" style="4" bestFit="1" customWidth="1"/>
    <col min="78" max="149" width="7.33203125" style="4" bestFit="1" customWidth="1"/>
    <col min="150" max="16384" width="9.109375" style="4"/>
  </cols>
  <sheetData>
    <row r="1" spans="2:149" x14ac:dyDescent="0.25">
      <c r="AA1" s="31">
        <v>45016</v>
      </c>
      <c r="AB1" s="31">
        <v>45107</v>
      </c>
      <c r="AC1" s="32">
        <v>45199</v>
      </c>
      <c r="AD1" s="31">
        <v>45291</v>
      </c>
      <c r="AE1" s="31"/>
      <c r="AF1" s="31"/>
      <c r="AG1" s="31"/>
    </row>
    <row r="2" spans="2:149" x14ac:dyDescent="0.25">
      <c r="C2" s="19" t="s">
        <v>20</v>
      </c>
      <c r="D2" s="19" t="s">
        <v>22</v>
      </c>
      <c r="E2" s="19" t="s">
        <v>23</v>
      </c>
      <c r="F2" s="19" t="s">
        <v>24</v>
      </c>
      <c r="G2" s="19" t="s">
        <v>21</v>
      </c>
      <c r="H2" s="19" t="s">
        <v>25</v>
      </c>
      <c r="I2" s="19" t="s">
        <v>26</v>
      </c>
      <c r="J2" s="19" t="s">
        <v>27</v>
      </c>
      <c r="K2" s="19" t="s">
        <v>28</v>
      </c>
      <c r="L2" s="19" t="s">
        <v>29</v>
      </c>
      <c r="M2" s="19" t="s">
        <v>30</v>
      </c>
      <c r="N2" s="19" t="s">
        <v>31</v>
      </c>
      <c r="O2" s="19" t="s">
        <v>32</v>
      </c>
      <c r="P2" s="19" t="s">
        <v>33</v>
      </c>
      <c r="Q2" s="19" t="s">
        <v>34</v>
      </c>
      <c r="R2" s="19" t="s">
        <v>35</v>
      </c>
      <c r="S2" s="19" t="s">
        <v>63</v>
      </c>
      <c r="T2" s="19" t="s">
        <v>64</v>
      </c>
      <c r="U2" s="19" t="s">
        <v>65</v>
      </c>
      <c r="V2" s="19" t="s">
        <v>66</v>
      </c>
      <c r="W2" s="19" t="s">
        <v>62</v>
      </c>
      <c r="X2" s="19" t="s">
        <v>67</v>
      </c>
      <c r="Y2" s="19" t="s">
        <v>68</v>
      </c>
      <c r="Z2" s="19" t="s">
        <v>69</v>
      </c>
      <c r="AA2" s="19" t="s">
        <v>76</v>
      </c>
      <c r="AB2" s="19" t="s">
        <v>77</v>
      </c>
      <c r="AC2" s="19" t="s">
        <v>78</v>
      </c>
      <c r="AD2" s="19" t="s">
        <v>73</v>
      </c>
      <c r="AE2" s="35" t="s">
        <v>86</v>
      </c>
      <c r="AF2" s="35" t="s">
        <v>87</v>
      </c>
      <c r="AG2" s="35" t="s">
        <v>88</v>
      </c>
      <c r="AH2" s="35" t="s">
        <v>89</v>
      </c>
      <c r="AI2" s="35"/>
      <c r="AJ2" s="35"/>
      <c r="AK2" s="35"/>
      <c r="AL2" s="19"/>
      <c r="AM2" s="19"/>
      <c r="AN2" s="19"/>
      <c r="AO2" s="19">
        <v>2017</v>
      </c>
      <c r="AP2" s="19">
        <v>2018</v>
      </c>
      <c r="AQ2" s="19">
        <v>2019</v>
      </c>
      <c r="AR2" s="19">
        <v>2020</v>
      </c>
      <c r="AS2" s="19">
        <v>2021</v>
      </c>
      <c r="AT2" s="19">
        <v>2022</v>
      </c>
      <c r="AU2" s="19">
        <v>2023</v>
      </c>
      <c r="AV2" s="19">
        <v>2024</v>
      </c>
      <c r="AW2" s="19">
        <v>2025</v>
      </c>
      <c r="AX2" s="19">
        <v>2026</v>
      </c>
      <c r="AY2" s="19">
        <v>2027</v>
      </c>
      <c r="AZ2" s="19">
        <v>2028</v>
      </c>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row>
    <row r="3" spans="2:149" x14ac:dyDescent="0.25">
      <c r="B3" s="4" t="s">
        <v>36</v>
      </c>
      <c r="C3" s="20">
        <v>23734</v>
      </c>
      <c r="D3" s="20">
        <v>24745</v>
      </c>
      <c r="E3" s="20">
        <v>28768</v>
      </c>
      <c r="F3" s="20">
        <v>41325</v>
      </c>
      <c r="G3" s="20">
        <v>31605</v>
      </c>
      <c r="H3" s="20">
        <v>31864</v>
      </c>
      <c r="I3" s="20">
        <v>33746</v>
      </c>
      <c r="J3" s="20">
        <v>44700</v>
      </c>
      <c r="K3" s="20">
        <v>34283</v>
      </c>
      <c r="L3" s="20">
        <v>35856</v>
      </c>
      <c r="M3" s="20">
        <v>39726</v>
      </c>
      <c r="N3" s="20">
        <v>50542</v>
      </c>
      <c r="O3" s="20">
        <v>41841</v>
      </c>
      <c r="P3" s="20">
        <v>50244</v>
      </c>
      <c r="Q3" s="20">
        <v>52774</v>
      </c>
      <c r="R3" s="20">
        <v>71056</v>
      </c>
      <c r="S3" s="20">
        <v>57491</v>
      </c>
      <c r="T3" s="20">
        <v>58004</v>
      </c>
      <c r="U3" s="20">
        <v>54876</v>
      </c>
      <c r="V3" s="20">
        <v>71416</v>
      </c>
      <c r="W3" s="20">
        <v>56455</v>
      </c>
      <c r="X3" s="20">
        <v>56575</v>
      </c>
      <c r="Y3" s="4">
        <v>59340</v>
      </c>
      <c r="Z3" s="20">
        <v>70531</v>
      </c>
      <c r="AA3" s="20">
        <v>56981</v>
      </c>
      <c r="AB3" s="20">
        <v>59032</v>
      </c>
      <c r="AC3" s="20">
        <v>63171</v>
      </c>
      <c r="AD3" s="20">
        <v>76703</v>
      </c>
      <c r="AE3" s="20">
        <f>AA3*1.1</f>
        <v>62679.100000000006</v>
      </c>
      <c r="AF3" s="20">
        <f t="shared" ref="AF3:AH3" si="0">AB3*1.1</f>
        <v>64935.200000000004</v>
      </c>
      <c r="AG3" s="20">
        <f t="shared" si="0"/>
        <v>69488.100000000006</v>
      </c>
      <c r="AH3" s="20">
        <f t="shared" si="0"/>
        <v>84373.3</v>
      </c>
      <c r="AI3" s="20"/>
      <c r="AJ3" s="20"/>
      <c r="AK3" s="20"/>
      <c r="AL3" s="20"/>
      <c r="AM3" s="20"/>
      <c r="AN3" s="20"/>
      <c r="AO3" s="20">
        <f>SUM(C3:F3)</f>
        <v>118572</v>
      </c>
      <c r="AP3" s="20">
        <f>SUM(G3:J3)</f>
        <v>141915</v>
      </c>
      <c r="AQ3" s="20">
        <f>SUM(E3:H3)</f>
        <v>133562</v>
      </c>
      <c r="AR3" s="20">
        <f>SUM(O3:R3)</f>
        <v>215915</v>
      </c>
      <c r="AS3" s="20">
        <f>SUM(S3:V3)</f>
        <v>241787</v>
      </c>
      <c r="AT3" s="20">
        <f>SUM(W3:Z3)</f>
        <v>242901</v>
      </c>
      <c r="AU3" s="20">
        <f>SUM(AA3:AD3)</f>
        <v>255887</v>
      </c>
      <c r="AV3" s="20">
        <f>SUM(AE3:AH3)</f>
        <v>281475.7</v>
      </c>
      <c r="AW3" s="20">
        <f>AV3*1.08</f>
        <v>303993.75600000005</v>
      </c>
      <c r="AX3" s="20">
        <f t="shared" ref="AX3" si="1">AW3*1.05</f>
        <v>319193.44380000007</v>
      </c>
      <c r="AY3" s="20">
        <f>AX3*1.04</f>
        <v>331961.18155200005</v>
      </c>
      <c r="AZ3" s="20">
        <f t="shared" ref="AZ3" si="2">AY3*1.04</f>
        <v>345239.62881408009</v>
      </c>
      <c r="BA3" s="20"/>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row>
    <row r="4" spans="2:149" x14ac:dyDescent="0.25">
      <c r="B4" s="4" t="s">
        <v>37</v>
      </c>
      <c r="C4" s="20">
        <v>11980</v>
      </c>
      <c r="D4" s="20">
        <v>13210</v>
      </c>
      <c r="E4" s="20">
        <v>14976</v>
      </c>
      <c r="F4" s="20">
        <v>19128</v>
      </c>
      <c r="G4" s="20">
        <v>19437</v>
      </c>
      <c r="H4" s="20">
        <v>21022</v>
      </c>
      <c r="I4" s="20">
        <v>22830</v>
      </c>
      <c r="J4" s="20">
        <v>27683</v>
      </c>
      <c r="K4" s="20">
        <v>25417</v>
      </c>
      <c r="L4" s="20">
        <v>27548</v>
      </c>
      <c r="M4" s="20">
        <v>30255</v>
      </c>
      <c r="N4" s="20">
        <v>36895</v>
      </c>
      <c r="O4" s="20">
        <v>33611</v>
      </c>
      <c r="P4" s="20">
        <v>38668</v>
      </c>
      <c r="Q4" s="20">
        <v>43371</v>
      </c>
      <c r="R4" s="20">
        <v>54499</v>
      </c>
      <c r="S4" s="20">
        <v>51027</v>
      </c>
      <c r="T4" s="20">
        <v>55076</v>
      </c>
      <c r="U4" s="20">
        <v>55936</v>
      </c>
      <c r="V4" s="20">
        <v>65996</v>
      </c>
      <c r="W4" s="20">
        <v>59989</v>
      </c>
      <c r="X4" s="20">
        <v>64659</v>
      </c>
      <c r="Y4" s="4">
        <v>67761</v>
      </c>
      <c r="Z4" s="20">
        <v>78673</v>
      </c>
      <c r="AA4" s="20">
        <v>70377</v>
      </c>
      <c r="AB4" s="20">
        <v>75351</v>
      </c>
      <c r="AC4" s="20">
        <v>79912</v>
      </c>
      <c r="AD4" s="20">
        <v>93258</v>
      </c>
      <c r="AE4" s="20">
        <f>AA4*1.11</f>
        <v>78118.47</v>
      </c>
      <c r="AF4" s="20">
        <f t="shared" ref="AF4:AH4" si="3">AB4*1.11</f>
        <v>83639.61</v>
      </c>
      <c r="AG4" s="20">
        <f t="shared" si="3"/>
        <v>88702.32</v>
      </c>
      <c r="AH4" s="20">
        <f t="shared" si="3"/>
        <v>103516.38</v>
      </c>
      <c r="AI4" s="20"/>
      <c r="AJ4" s="20"/>
      <c r="AK4" s="20"/>
      <c r="AL4" s="20"/>
      <c r="AM4" s="20"/>
      <c r="AN4" s="20"/>
      <c r="AO4" s="20">
        <f>SUM(C4:F4)</f>
        <v>59294</v>
      </c>
      <c r="AP4" s="20">
        <f>SUM(G4:J4)</f>
        <v>90972</v>
      </c>
      <c r="AQ4" s="20">
        <f>SUM(E4:H4)</f>
        <v>74563</v>
      </c>
      <c r="AR4" s="20">
        <f>SUM(O4:R4)</f>
        <v>170149</v>
      </c>
      <c r="AS4" s="20">
        <f>SUM(S4:V4)</f>
        <v>228035</v>
      </c>
      <c r="AT4" s="20">
        <f>SUM(W4:Z4)</f>
        <v>271082</v>
      </c>
      <c r="AU4" s="20">
        <f>SUM(AA4:AD4)</f>
        <v>318898</v>
      </c>
      <c r="AV4" s="20">
        <f>SUM(AE4:AH4)</f>
        <v>353976.78</v>
      </c>
      <c r="AW4" s="33">
        <f>AV4*1.14</f>
        <v>403533.52919999999</v>
      </c>
      <c r="AX4" s="33">
        <f t="shared" ref="AX4" si="4">AW4*1.15</f>
        <v>464063.55857999995</v>
      </c>
      <c r="AY4" s="33">
        <f>AX4*1.14</f>
        <v>529032.4567811999</v>
      </c>
      <c r="AZ4" s="33">
        <f t="shared" ref="AZ4" si="5">AY4*1.14</f>
        <v>603097.00073056784</v>
      </c>
      <c r="BA4" s="20"/>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row>
    <row r="5" spans="2:149" s="14" customFormat="1" x14ac:dyDescent="0.25">
      <c r="B5" s="14" t="s">
        <v>38</v>
      </c>
      <c r="C5" s="21">
        <f t="shared" ref="C5:P5" si="6">+C3+C4</f>
        <v>35714</v>
      </c>
      <c r="D5" s="21">
        <f t="shared" si="6"/>
        <v>37955</v>
      </c>
      <c r="E5" s="21">
        <f t="shared" si="6"/>
        <v>43744</v>
      </c>
      <c r="F5" s="21">
        <f t="shared" si="6"/>
        <v>60453</v>
      </c>
      <c r="G5" s="21">
        <f t="shared" si="6"/>
        <v>51042</v>
      </c>
      <c r="H5" s="21">
        <f t="shared" si="6"/>
        <v>52886</v>
      </c>
      <c r="I5" s="21">
        <f t="shared" si="6"/>
        <v>56576</v>
      </c>
      <c r="J5" s="21">
        <f t="shared" si="6"/>
        <v>72383</v>
      </c>
      <c r="K5" s="21">
        <f t="shared" si="6"/>
        <v>59700</v>
      </c>
      <c r="L5" s="21">
        <f t="shared" si="6"/>
        <v>63404</v>
      </c>
      <c r="M5" s="21">
        <f t="shared" si="6"/>
        <v>69981</v>
      </c>
      <c r="N5" s="21">
        <f t="shared" si="6"/>
        <v>87437</v>
      </c>
      <c r="O5" s="21">
        <f t="shared" si="6"/>
        <v>75452</v>
      </c>
      <c r="P5" s="21">
        <f t="shared" si="6"/>
        <v>88912</v>
      </c>
      <c r="Q5" s="21">
        <f t="shared" ref="Q5" si="7">+Q3+Q4</f>
        <v>96145</v>
      </c>
      <c r="R5" s="21">
        <f>+R3+R4</f>
        <v>125555</v>
      </c>
      <c r="S5" s="21">
        <f t="shared" ref="S5:AH5" si="8">+S3+S4</f>
        <v>108518</v>
      </c>
      <c r="T5" s="21">
        <f t="shared" si="8"/>
        <v>113080</v>
      </c>
      <c r="U5" s="21">
        <f t="shared" si="8"/>
        <v>110812</v>
      </c>
      <c r="V5" s="21">
        <f t="shared" si="8"/>
        <v>137412</v>
      </c>
      <c r="W5" s="21">
        <f t="shared" si="8"/>
        <v>116444</v>
      </c>
      <c r="X5" s="21">
        <f t="shared" si="8"/>
        <v>121234</v>
      </c>
      <c r="Y5" s="21">
        <f t="shared" si="8"/>
        <v>127101</v>
      </c>
      <c r="Z5" s="21">
        <f t="shared" si="8"/>
        <v>149204</v>
      </c>
      <c r="AA5" s="21">
        <f t="shared" si="8"/>
        <v>127358</v>
      </c>
      <c r="AB5" s="21">
        <f t="shared" si="8"/>
        <v>134383</v>
      </c>
      <c r="AC5" s="21">
        <f t="shared" si="8"/>
        <v>143083</v>
      </c>
      <c r="AD5" s="21">
        <f t="shared" si="8"/>
        <v>169961</v>
      </c>
      <c r="AE5" s="21">
        <f t="shared" si="8"/>
        <v>140797.57</v>
      </c>
      <c r="AF5" s="21">
        <f t="shared" si="8"/>
        <v>148574.81</v>
      </c>
      <c r="AG5" s="21">
        <f t="shared" si="8"/>
        <v>158190.42000000001</v>
      </c>
      <c r="AH5" s="21">
        <f t="shared" si="8"/>
        <v>187889.68</v>
      </c>
      <c r="AI5" s="21"/>
      <c r="AJ5" s="21"/>
      <c r="AK5" s="21"/>
      <c r="AL5" s="21"/>
      <c r="AM5" s="21"/>
      <c r="AN5" s="21"/>
      <c r="AO5" s="21">
        <f>+AO3+AO4</f>
        <v>177866</v>
      </c>
      <c r="AP5" s="21">
        <f>+AP3+AP4</f>
        <v>232887</v>
      </c>
      <c r="AQ5" s="21">
        <f>+AQ3+AQ4</f>
        <v>208125</v>
      </c>
      <c r="AR5" s="21">
        <f t="shared" ref="AR5:AZ5" si="9">+AR3+AR4</f>
        <v>386064</v>
      </c>
      <c r="AS5" s="21">
        <f t="shared" si="9"/>
        <v>469822</v>
      </c>
      <c r="AT5" s="21">
        <f t="shared" si="9"/>
        <v>513983</v>
      </c>
      <c r="AU5" s="21">
        <f t="shared" si="9"/>
        <v>574785</v>
      </c>
      <c r="AV5" s="21">
        <f>+AV3+AV4</f>
        <v>635452.48</v>
      </c>
      <c r="AW5" s="21">
        <f t="shared" si="9"/>
        <v>707527.28520000004</v>
      </c>
      <c r="AX5" s="21">
        <f t="shared" si="9"/>
        <v>783257.00237999996</v>
      </c>
      <c r="AY5" s="21">
        <f t="shared" si="9"/>
        <v>860993.63833320001</v>
      </c>
      <c r="AZ5" s="21">
        <f t="shared" si="9"/>
        <v>948336.62954464788</v>
      </c>
      <c r="BA5" s="21"/>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row>
    <row r="6" spans="2:149" x14ac:dyDescent="0.25">
      <c r="B6" s="4" t="s">
        <v>39</v>
      </c>
      <c r="C6" s="20">
        <v>22440</v>
      </c>
      <c r="D6" s="20">
        <v>23451</v>
      </c>
      <c r="E6" s="20">
        <v>27549</v>
      </c>
      <c r="F6" s="20">
        <v>38494</v>
      </c>
      <c r="G6" s="20">
        <v>30735</v>
      </c>
      <c r="H6" s="20">
        <v>30632</v>
      </c>
      <c r="I6" s="20">
        <v>33003</v>
      </c>
      <c r="J6" s="20">
        <v>44786</v>
      </c>
      <c r="K6" s="20">
        <v>33920</v>
      </c>
      <c r="L6" s="20">
        <v>36337</v>
      </c>
      <c r="M6" s="20">
        <v>41302</v>
      </c>
      <c r="N6" s="20">
        <v>53977</v>
      </c>
      <c r="O6" s="20">
        <v>44257</v>
      </c>
      <c r="P6" s="20">
        <v>52660</v>
      </c>
      <c r="Q6" s="20">
        <v>57106</v>
      </c>
      <c r="R6" s="20">
        <v>79284</v>
      </c>
      <c r="S6" s="20">
        <v>62403</v>
      </c>
      <c r="T6" s="20">
        <v>64176</v>
      </c>
      <c r="U6" s="20">
        <v>62930</v>
      </c>
      <c r="V6" s="20">
        <v>82835</v>
      </c>
      <c r="W6" s="20">
        <v>66499</v>
      </c>
      <c r="X6" s="20">
        <v>66424</v>
      </c>
      <c r="Y6" s="20">
        <v>70268</v>
      </c>
      <c r="Z6" s="20">
        <v>85640</v>
      </c>
      <c r="AA6" s="20">
        <v>67791</v>
      </c>
      <c r="AB6" s="20">
        <v>69373</v>
      </c>
      <c r="AC6" s="20">
        <v>75022</v>
      </c>
      <c r="AD6" s="20">
        <v>92553</v>
      </c>
      <c r="AE6" s="20">
        <f>AA6*1.1</f>
        <v>74570.100000000006</v>
      </c>
      <c r="AF6" s="20">
        <f t="shared" ref="AF6:AH6" si="10">AB6*1.1</f>
        <v>76310.3</v>
      </c>
      <c r="AG6" s="20">
        <f t="shared" si="10"/>
        <v>82524.200000000012</v>
      </c>
      <c r="AH6" s="20">
        <f t="shared" si="10"/>
        <v>101808.3</v>
      </c>
      <c r="AI6" s="20"/>
      <c r="AJ6" s="20"/>
      <c r="AK6" s="20"/>
      <c r="AL6" s="20"/>
      <c r="AM6" s="20"/>
      <c r="AN6" s="20"/>
      <c r="AO6" s="20">
        <f>SUM(C6:F6)</f>
        <v>111934</v>
      </c>
      <c r="AP6" s="20">
        <f>SUM(G6:J6)</f>
        <v>139156</v>
      </c>
      <c r="AQ6" s="20">
        <f>SUM(E6:H6)</f>
        <v>127410</v>
      </c>
      <c r="AR6" s="20">
        <f>SUM(O6:R6)</f>
        <v>233307</v>
      </c>
      <c r="AS6" s="20">
        <f>SUM(S6:V6)</f>
        <v>272344</v>
      </c>
      <c r="AT6" s="20">
        <f>SUM(W6:Z6)</f>
        <v>288831</v>
      </c>
      <c r="AU6" s="20">
        <f>SUM(AA6:AD6)</f>
        <v>304739</v>
      </c>
      <c r="AV6" s="20">
        <f>SUM(AE6:AH6)</f>
        <v>335212.90000000002</v>
      </c>
      <c r="AW6" s="20">
        <f>AV6*1.1</f>
        <v>368734.19000000006</v>
      </c>
      <c r="AX6" s="20">
        <f t="shared" ref="AX6:AZ6" si="11">AW6*1.1</f>
        <v>405607.60900000011</v>
      </c>
      <c r="AY6" s="20">
        <f t="shared" si="11"/>
        <v>446168.36990000017</v>
      </c>
      <c r="AZ6" s="20">
        <f t="shared" si="11"/>
        <v>490785.20689000021</v>
      </c>
      <c r="BA6" s="20"/>
      <c r="BB6" s="20"/>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row>
    <row r="7" spans="2:149" s="14" customFormat="1" x14ac:dyDescent="0.25">
      <c r="B7" s="14" t="s">
        <v>45</v>
      </c>
      <c r="C7" s="21">
        <f t="shared" ref="C7:P7" si="12">+C5-C6</f>
        <v>13274</v>
      </c>
      <c r="D7" s="21">
        <f t="shared" si="12"/>
        <v>14504</v>
      </c>
      <c r="E7" s="21">
        <f t="shared" si="12"/>
        <v>16195</v>
      </c>
      <c r="F7" s="21">
        <f t="shared" si="12"/>
        <v>21959</v>
      </c>
      <c r="G7" s="21">
        <f t="shared" si="12"/>
        <v>20307</v>
      </c>
      <c r="H7" s="21">
        <f t="shared" si="12"/>
        <v>22254</v>
      </c>
      <c r="I7" s="21">
        <f t="shared" si="12"/>
        <v>23573</v>
      </c>
      <c r="J7" s="21">
        <f t="shared" si="12"/>
        <v>27597</v>
      </c>
      <c r="K7" s="21">
        <f t="shared" si="12"/>
        <v>25780</v>
      </c>
      <c r="L7" s="21">
        <f t="shared" si="12"/>
        <v>27067</v>
      </c>
      <c r="M7" s="21">
        <f t="shared" si="12"/>
        <v>28679</v>
      </c>
      <c r="N7" s="21">
        <f t="shared" si="12"/>
        <v>33460</v>
      </c>
      <c r="O7" s="21">
        <f t="shared" si="12"/>
        <v>31195</v>
      </c>
      <c r="P7" s="21">
        <f t="shared" si="12"/>
        <v>36252</v>
      </c>
      <c r="Q7" s="21">
        <f>+Q5-Q6</f>
        <v>39039</v>
      </c>
      <c r="R7" s="21">
        <f>+R5-R6</f>
        <v>46271</v>
      </c>
      <c r="S7" s="21">
        <f t="shared" ref="S7:AH7" si="13">+S5-S6</f>
        <v>46115</v>
      </c>
      <c r="T7" s="21">
        <f t="shared" si="13"/>
        <v>48904</v>
      </c>
      <c r="U7" s="21">
        <f t="shared" si="13"/>
        <v>47882</v>
      </c>
      <c r="V7" s="21">
        <f t="shared" si="13"/>
        <v>54577</v>
      </c>
      <c r="W7" s="21">
        <f t="shared" si="13"/>
        <v>49945</v>
      </c>
      <c r="X7" s="21">
        <f>+X5-X6</f>
        <v>54810</v>
      </c>
      <c r="Y7" s="21">
        <f t="shared" si="13"/>
        <v>56833</v>
      </c>
      <c r="Z7" s="21">
        <f t="shared" si="13"/>
        <v>63564</v>
      </c>
      <c r="AA7" s="21">
        <f t="shared" si="13"/>
        <v>59567</v>
      </c>
      <c r="AB7" s="21">
        <f t="shared" si="13"/>
        <v>65010</v>
      </c>
      <c r="AC7" s="21">
        <f t="shared" si="13"/>
        <v>68061</v>
      </c>
      <c r="AD7" s="21">
        <f t="shared" si="13"/>
        <v>77408</v>
      </c>
      <c r="AE7" s="21">
        <f t="shared" si="13"/>
        <v>66227.47</v>
      </c>
      <c r="AF7" s="21">
        <f t="shared" si="13"/>
        <v>72264.509999999995</v>
      </c>
      <c r="AG7" s="21">
        <f t="shared" si="13"/>
        <v>75666.22</v>
      </c>
      <c r="AH7" s="21">
        <f t="shared" si="13"/>
        <v>86081.37999999999</v>
      </c>
      <c r="AI7" s="21"/>
      <c r="AJ7" s="21"/>
      <c r="AK7" s="21"/>
      <c r="AL7" s="21"/>
      <c r="AM7" s="21"/>
      <c r="AN7" s="21"/>
      <c r="AO7" s="21">
        <f>+AO5-AO6</f>
        <v>65932</v>
      </c>
      <c r="AP7" s="21">
        <f>+AP5-AP6</f>
        <v>93731</v>
      </c>
      <c r="AQ7" s="21">
        <f>+AQ5-AQ6</f>
        <v>80715</v>
      </c>
      <c r="AR7" s="21">
        <f t="shared" ref="AR7:AZ7" si="14">+AR5-AR6</f>
        <v>152757</v>
      </c>
      <c r="AS7" s="21">
        <f t="shared" si="14"/>
        <v>197478</v>
      </c>
      <c r="AT7" s="21">
        <f t="shared" si="14"/>
        <v>225152</v>
      </c>
      <c r="AU7" s="21">
        <f t="shared" si="14"/>
        <v>270046</v>
      </c>
      <c r="AV7" s="21">
        <f t="shared" si="14"/>
        <v>300239.57999999996</v>
      </c>
      <c r="AW7" s="21">
        <f t="shared" si="14"/>
        <v>338793.09519999998</v>
      </c>
      <c r="AX7" s="21">
        <f t="shared" si="14"/>
        <v>377649.39337999985</v>
      </c>
      <c r="AY7" s="21">
        <f t="shared" si="14"/>
        <v>414825.26843319985</v>
      </c>
      <c r="AZ7" s="21">
        <f t="shared" si="14"/>
        <v>457551.42265464767</v>
      </c>
      <c r="BA7" s="21"/>
      <c r="BB7" s="22"/>
      <c r="BC7" s="22"/>
      <c r="BD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row>
    <row r="8" spans="2:149" x14ac:dyDescent="0.25">
      <c r="B8" s="4" t="s">
        <v>40</v>
      </c>
      <c r="C8" s="20">
        <v>4697</v>
      </c>
      <c r="D8" s="20">
        <v>5158</v>
      </c>
      <c r="E8" s="20">
        <v>6420</v>
      </c>
      <c r="F8" s="20">
        <v>8974</v>
      </c>
      <c r="G8" s="20">
        <v>7792</v>
      </c>
      <c r="H8" s="20">
        <v>7932</v>
      </c>
      <c r="I8" s="20">
        <v>8275</v>
      </c>
      <c r="J8" s="20">
        <v>10028</v>
      </c>
      <c r="K8" s="20">
        <v>8601</v>
      </c>
      <c r="L8" s="20">
        <v>9271</v>
      </c>
      <c r="M8" s="20">
        <v>10167</v>
      </c>
      <c r="N8" s="20">
        <v>12192</v>
      </c>
      <c r="O8" s="20">
        <v>11531</v>
      </c>
      <c r="P8" s="20">
        <v>13806</v>
      </c>
      <c r="Q8" s="20">
        <v>14705</v>
      </c>
      <c r="R8" s="20">
        <v>18474</v>
      </c>
      <c r="S8" s="20">
        <v>16530</v>
      </c>
      <c r="T8" s="20">
        <v>17638</v>
      </c>
      <c r="U8" s="20">
        <v>18498</v>
      </c>
      <c r="V8" s="20">
        <v>22445</v>
      </c>
      <c r="W8" s="20">
        <v>20271</v>
      </c>
      <c r="X8" s="20">
        <v>20342</v>
      </c>
      <c r="Y8" s="20">
        <v>20583</v>
      </c>
      <c r="Z8" s="20">
        <v>23103</v>
      </c>
      <c r="AA8" s="20">
        <v>20905</v>
      </c>
      <c r="AB8" s="20">
        <v>21305</v>
      </c>
      <c r="AC8" s="20">
        <v>22314</v>
      </c>
      <c r="AD8" s="20">
        <v>26095</v>
      </c>
      <c r="AE8" s="20">
        <f>AA8*1.085</f>
        <v>22681.924999999999</v>
      </c>
      <c r="AF8" s="20">
        <f t="shared" ref="AF8:AF12" si="15">AB8*1.085</f>
        <v>23115.924999999999</v>
      </c>
      <c r="AG8" s="20">
        <f t="shared" ref="AG8:AG12" si="16">AC8*1.085</f>
        <v>24210.69</v>
      </c>
      <c r="AH8" s="20">
        <f t="shared" ref="AH8:AH12" si="17">AD8*1.085</f>
        <v>28313.075000000001</v>
      </c>
      <c r="AI8" s="20"/>
      <c r="AJ8" s="20"/>
      <c r="AK8" s="20"/>
      <c r="AL8" s="20"/>
      <c r="AM8" s="20"/>
      <c r="AN8" s="20"/>
      <c r="AO8" s="20">
        <f>SUM(C8:F8)</f>
        <v>25249</v>
      </c>
      <c r="AP8" s="20">
        <f>SUM(G8:J8)</f>
        <v>34027</v>
      </c>
      <c r="AQ8" s="20">
        <f>SUM(E8:H8)</f>
        <v>31118</v>
      </c>
      <c r="AR8" s="20">
        <f>SUM(O8:R8)</f>
        <v>58516</v>
      </c>
      <c r="AS8" s="20">
        <f t="shared" ref="AS8:AS12" si="18">SUM(S8:V8)</f>
        <v>75111</v>
      </c>
      <c r="AT8" s="20">
        <f t="shared" ref="AT8:AT12" si="19">SUM(W8:Z8)</f>
        <v>84299</v>
      </c>
      <c r="AU8" s="20">
        <f t="shared" ref="AU8:AU12" si="20">SUM(AA8:AD8)</f>
        <v>90619</v>
      </c>
      <c r="AV8" s="20">
        <f t="shared" ref="AV8:AV12" si="21">SUM(AE8:AH8)</f>
        <v>98321.614999999991</v>
      </c>
      <c r="AW8" s="20">
        <f>AV8*1.08</f>
        <v>106187.34419999999</v>
      </c>
      <c r="AX8" s="20">
        <f t="shared" ref="AX8:AZ8" si="22">AW8*1.08</f>
        <v>114682.33173599999</v>
      </c>
      <c r="AY8" s="20">
        <f t="shared" si="22"/>
        <v>123856.91827487999</v>
      </c>
      <c r="AZ8" s="20">
        <f t="shared" si="22"/>
        <v>133765.47173687042</v>
      </c>
      <c r="BA8" s="20"/>
      <c r="BB8" s="19"/>
      <c r="BC8" s="19"/>
      <c r="BD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row>
    <row r="9" spans="2:149" x14ac:dyDescent="0.25">
      <c r="B9" s="4" t="s">
        <v>42</v>
      </c>
      <c r="C9" s="20">
        <v>4813</v>
      </c>
      <c r="D9" s="20">
        <v>5549</v>
      </c>
      <c r="E9" s="20">
        <v>5944</v>
      </c>
      <c r="F9" s="20">
        <v>6314</v>
      </c>
      <c r="G9" s="20">
        <v>6759</v>
      </c>
      <c r="H9" s="20">
        <v>7247</v>
      </c>
      <c r="I9" s="20">
        <v>7162</v>
      </c>
      <c r="J9" s="20">
        <v>7669</v>
      </c>
      <c r="K9" s="20">
        <v>3664</v>
      </c>
      <c r="L9" s="20">
        <v>4291</v>
      </c>
      <c r="M9" s="20">
        <v>9200</v>
      </c>
      <c r="N9" s="20">
        <v>6172</v>
      </c>
      <c r="O9" s="20">
        <v>4828</v>
      </c>
      <c r="P9" s="20">
        <v>4345</v>
      </c>
      <c r="Q9" s="20">
        <v>10976</v>
      </c>
      <c r="R9" s="20">
        <v>12049</v>
      </c>
      <c r="S9" s="20">
        <v>12488</v>
      </c>
      <c r="T9" s="20">
        <v>13871</v>
      </c>
      <c r="U9" s="20">
        <v>14380</v>
      </c>
      <c r="V9" s="20">
        <v>15313</v>
      </c>
      <c r="W9" s="20">
        <v>14842</v>
      </c>
      <c r="X9" s="20">
        <v>18072</v>
      </c>
      <c r="Y9" s="20">
        <v>19485</v>
      </c>
      <c r="Z9" s="20">
        <v>20814</v>
      </c>
      <c r="AA9" s="20">
        <v>20450</v>
      </c>
      <c r="AB9" s="20">
        <v>21931</v>
      </c>
      <c r="AC9" s="20">
        <v>21203</v>
      </c>
      <c r="AD9" s="20">
        <v>22038</v>
      </c>
      <c r="AE9" s="20">
        <f t="shared" ref="AE9:AE12" si="23">AA9*1.085</f>
        <v>22188.25</v>
      </c>
      <c r="AF9" s="20">
        <f t="shared" si="15"/>
        <v>23795.134999999998</v>
      </c>
      <c r="AG9" s="20">
        <f t="shared" si="16"/>
        <v>23005.255000000001</v>
      </c>
      <c r="AH9" s="20">
        <f t="shared" si="17"/>
        <v>23911.23</v>
      </c>
      <c r="AI9" s="20"/>
      <c r="AJ9" s="20"/>
      <c r="AK9" s="20"/>
      <c r="AL9" s="20"/>
      <c r="AM9" s="20"/>
      <c r="AN9" s="20"/>
      <c r="AO9" s="20">
        <f>SUM(C9:F9)</f>
        <v>22620</v>
      </c>
      <c r="AP9" s="20">
        <f>SUM(G9:J9)</f>
        <v>28837</v>
      </c>
      <c r="AQ9" s="20">
        <f>SUM(E9:H9)</f>
        <v>26264</v>
      </c>
      <c r="AR9" s="20">
        <f>SUM(O9:R9)</f>
        <v>32198</v>
      </c>
      <c r="AS9" s="20">
        <f t="shared" si="18"/>
        <v>56052</v>
      </c>
      <c r="AT9" s="20">
        <f t="shared" si="19"/>
        <v>73213</v>
      </c>
      <c r="AU9" s="20">
        <f t="shared" si="20"/>
        <v>85622</v>
      </c>
      <c r="AV9" s="20">
        <f t="shared" si="21"/>
        <v>92899.87</v>
      </c>
      <c r="AW9" s="20">
        <f t="shared" ref="AW9:AZ9" si="24">AV9*1.08</f>
        <v>100331.8596</v>
      </c>
      <c r="AX9" s="20">
        <f t="shared" si="24"/>
        <v>108358.408368</v>
      </c>
      <c r="AY9" s="20">
        <f t="shared" si="24"/>
        <v>117027.08103744002</v>
      </c>
      <c r="AZ9" s="20">
        <f t="shared" si="24"/>
        <v>126389.24752043522</v>
      </c>
      <c r="BA9" s="20"/>
      <c r="BB9" s="19"/>
      <c r="BC9" s="19"/>
      <c r="BD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row>
    <row r="10" spans="2:149" ht="14.25" customHeight="1" x14ac:dyDescent="0.25">
      <c r="B10" s="4" t="s">
        <v>41</v>
      </c>
      <c r="C10" s="20">
        <v>1920</v>
      </c>
      <c r="D10" s="20">
        <v>2229</v>
      </c>
      <c r="E10" s="20">
        <v>2479</v>
      </c>
      <c r="F10" s="20">
        <v>3440</v>
      </c>
      <c r="G10" s="20">
        <v>2699</v>
      </c>
      <c r="H10" s="20">
        <v>2901</v>
      </c>
      <c r="I10" s="20">
        <v>3303</v>
      </c>
      <c r="J10" s="20">
        <v>4911</v>
      </c>
      <c r="K10" s="20">
        <v>7927</v>
      </c>
      <c r="L10" s="20">
        <v>9065</v>
      </c>
      <c r="M10" s="20">
        <v>4752</v>
      </c>
      <c r="N10" s="20">
        <v>9740</v>
      </c>
      <c r="O10" s="20">
        <v>9325</v>
      </c>
      <c r="P10" s="20">
        <v>10388</v>
      </c>
      <c r="Q10" s="20">
        <v>5434</v>
      </c>
      <c r="R10" s="20">
        <v>7403</v>
      </c>
      <c r="S10" s="20">
        <v>6207</v>
      </c>
      <c r="T10" s="20">
        <v>7524</v>
      </c>
      <c r="U10" s="20">
        <v>8010</v>
      </c>
      <c r="V10" s="20">
        <v>10810</v>
      </c>
      <c r="W10" s="20">
        <v>8320</v>
      </c>
      <c r="X10" s="20">
        <v>10086</v>
      </c>
      <c r="Y10" s="20">
        <v>11014</v>
      </c>
      <c r="Z10" s="20">
        <v>12818</v>
      </c>
      <c r="AA10" s="20">
        <v>10172</v>
      </c>
      <c r="AB10" s="20">
        <v>10745</v>
      </c>
      <c r="AC10" s="20">
        <v>10551</v>
      </c>
      <c r="AD10" s="20">
        <v>12902</v>
      </c>
      <c r="AE10" s="20">
        <f t="shared" si="23"/>
        <v>11036.619999999999</v>
      </c>
      <c r="AF10" s="20">
        <f t="shared" si="15"/>
        <v>11658.324999999999</v>
      </c>
      <c r="AG10" s="20">
        <f t="shared" si="16"/>
        <v>11447.834999999999</v>
      </c>
      <c r="AH10" s="20">
        <f t="shared" si="17"/>
        <v>13998.67</v>
      </c>
      <c r="AI10" s="20"/>
      <c r="AJ10" s="20"/>
      <c r="AK10" s="20"/>
      <c r="AL10" s="20"/>
      <c r="AM10" s="20"/>
      <c r="AN10" s="20"/>
      <c r="AO10" s="20">
        <f>SUM(C10:F10)</f>
        <v>10068</v>
      </c>
      <c r="AP10" s="20">
        <f>SUM(G10:J10)</f>
        <v>13814</v>
      </c>
      <c r="AQ10" s="20">
        <f>SUM(E10:H10)</f>
        <v>11519</v>
      </c>
      <c r="AR10" s="20">
        <f>SUM(O10:R10)</f>
        <v>32550</v>
      </c>
      <c r="AS10" s="20">
        <f t="shared" si="18"/>
        <v>32551</v>
      </c>
      <c r="AT10" s="20">
        <f t="shared" si="19"/>
        <v>42238</v>
      </c>
      <c r="AU10" s="20">
        <f t="shared" si="20"/>
        <v>44370</v>
      </c>
      <c r="AV10" s="20">
        <f t="shared" si="21"/>
        <v>48141.45</v>
      </c>
      <c r="AW10" s="20">
        <f t="shared" ref="AW10:AZ10" si="25">AV10*1.05</f>
        <v>50548.522499999999</v>
      </c>
      <c r="AX10" s="20">
        <f t="shared" si="25"/>
        <v>53075.948625000005</v>
      </c>
      <c r="AY10" s="20">
        <f t="shared" si="25"/>
        <v>55729.746056250005</v>
      </c>
      <c r="AZ10" s="20">
        <f t="shared" si="25"/>
        <v>58516.233359062506</v>
      </c>
      <c r="BA10" s="20"/>
      <c r="BB10" s="19"/>
      <c r="BC10" s="19"/>
      <c r="BD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row>
    <row r="11" spans="2:149" x14ac:dyDescent="0.25">
      <c r="B11" s="4" t="s">
        <v>43</v>
      </c>
      <c r="C11" s="20">
        <v>795</v>
      </c>
      <c r="D11" s="20">
        <v>874</v>
      </c>
      <c r="E11" s="20">
        <v>960</v>
      </c>
      <c r="F11" s="20">
        <v>1044</v>
      </c>
      <c r="G11" s="20">
        <v>1067</v>
      </c>
      <c r="H11" s="20">
        <v>1111</v>
      </c>
      <c r="I11" s="20">
        <v>1041</v>
      </c>
      <c r="J11" s="20">
        <v>1117</v>
      </c>
      <c r="K11" s="20">
        <v>1173</v>
      </c>
      <c r="L11" s="20">
        <v>1270</v>
      </c>
      <c r="M11" s="20">
        <v>1348</v>
      </c>
      <c r="N11" s="20">
        <v>1412</v>
      </c>
      <c r="O11" s="20">
        <v>1452</v>
      </c>
      <c r="P11" s="20">
        <v>1580</v>
      </c>
      <c r="Q11" s="20">
        <v>1668</v>
      </c>
      <c r="R11" s="20">
        <v>1968</v>
      </c>
      <c r="S11" s="20">
        <v>1987</v>
      </c>
      <c r="T11" s="20">
        <v>2158</v>
      </c>
      <c r="U11" s="20">
        <v>2153</v>
      </c>
      <c r="V11" s="20">
        <v>2525</v>
      </c>
      <c r="W11" s="20">
        <v>2594</v>
      </c>
      <c r="X11" s="20">
        <v>2903</v>
      </c>
      <c r="Y11" s="20">
        <v>3061</v>
      </c>
      <c r="Z11" s="20">
        <v>3333</v>
      </c>
      <c r="AA11" s="20">
        <v>3043</v>
      </c>
      <c r="AB11" s="20">
        <v>3202</v>
      </c>
      <c r="AC11" s="20">
        <v>2561</v>
      </c>
      <c r="AD11" s="20">
        <v>3010</v>
      </c>
      <c r="AE11" s="20">
        <f t="shared" si="23"/>
        <v>3301.6549999999997</v>
      </c>
      <c r="AF11" s="20">
        <f t="shared" si="15"/>
        <v>3474.17</v>
      </c>
      <c r="AG11" s="20">
        <f t="shared" si="16"/>
        <v>2778.6849999999999</v>
      </c>
      <c r="AH11" s="20">
        <f t="shared" si="17"/>
        <v>3265.85</v>
      </c>
      <c r="AI11" s="20"/>
      <c r="AJ11" s="20"/>
      <c r="AK11" s="20"/>
      <c r="AL11" s="20"/>
      <c r="AM11" s="20"/>
      <c r="AN11" s="20"/>
      <c r="AO11" s="20">
        <f>SUM(C11:F11)</f>
        <v>3673</v>
      </c>
      <c r="AP11" s="20">
        <f>SUM(G11:J11)</f>
        <v>4336</v>
      </c>
      <c r="AQ11" s="20">
        <f>SUM(E11:H11)</f>
        <v>4182</v>
      </c>
      <c r="AR11" s="20">
        <f>SUM(O11:R11)</f>
        <v>6668</v>
      </c>
      <c r="AS11" s="20">
        <f t="shared" si="18"/>
        <v>8823</v>
      </c>
      <c r="AT11" s="20">
        <f t="shared" si="19"/>
        <v>11891</v>
      </c>
      <c r="AU11" s="20">
        <f t="shared" si="20"/>
        <v>11816</v>
      </c>
      <c r="AV11" s="20">
        <f t="shared" si="21"/>
        <v>12820.36</v>
      </c>
      <c r="AW11" s="20">
        <f t="shared" ref="AW11:AZ11" si="26">AV11*1.05</f>
        <v>13461.378000000001</v>
      </c>
      <c r="AX11" s="20">
        <f t="shared" si="26"/>
        <v>14134.446900000001</v>
      </c>
      <c r="AY11" s="20">
        <f t="shared" si="26"/>
        <v>14841.169245000001</v>
      </c>
      <c r="AZ11" s="20">
        <f t="shared" si="26"/>
        <v>15583.227707250002</v>
      </c>
      <c r="BA11" s="20"/>
      <c r="BB11" s="19"/>
      <c r="BC11" s="19"/>
      <c r="BD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row>
    <row r="12" spans="2:149" x14ac:dyDescent="0.25">
      <c r="B12" s="4" t="s">
        <v>44</v>
      </c>
      <c r="C12" s="20">
        <v>44</v>
      </c>
      <c r="D12" s="20">
        <v>66</v>
      </c>
      <c r="E12" s="20">
        <v>45</v>
      </c>
      <c r="F12" s="20">
        <v>60</v>
      </c>
      <c r="G12" s="20">
        <v>63</v>
      </c>
      <c r="H12" s="20">
        <v>80</v>
      </c>
      <c r="I12" s="20">
        <v>68</v>
      </c>
      <c r="J12" s="20">
        <v>86</v>
      </c>
      <c r="K12" s="20">
        <v>-5</v>
      </c>
      <c r="L12" s="20">
        <v>86</v>
      </c>
      <c r="M12" s="20">
        <v>55</v>
      </c>
      <c r="N12" s="20">
        <v>65</v>
      </c>
      <c r="O12" s="20">
        <v>70</v>
      </c>
      <c r="P12" s="20">
        <v>290</v>
      </c>
      <c r="Q12" s="20">
        <v>62</v>
      </c>
      <c r="R12" s="20">
        <v>-496</v>
      </c>
      <c r="S12" s="20">
        <v>38</v>
      </c>
      <c r="T12" s="20">
        <v>11</v>
      </c>
      <c r="U12" s="20">
        <v>-11</v>
      </c>
      <c r="V12" s="20">
        <v>24</v>
      </c>
      <c r="W12" s="20">
        <v>249</v>
      </c>
      <c r="X12" s="20">
        <v>90</v>
      </c>
      <c r="Y12" s="20">
        <v>165</v>
      </c>
      <c r="Z12" s="20">
        <v>759</v>
      </c>
      <c r="AA12" s="20">
        <v>223</v>
      </c>
      <c r="AB12" s="20">
        <v>146</v>
      </c>
      <c r="AC12" s="20">
        <v>244</v>
      </c>
      <c r="AD12" s="20">
        <v>154</v>
      </c>
      <c r="AE12" s="20">
        <f t="shared" si="23"/>
        <v>241.95499999999998</v>
      </c>
      <c r="AF12" s="20">
        <f t="shared" si="15"/>
        <v>158.41</v>
      </c>
      <c r="AG12" s="20">
        <f t="shared" si="16"/>
        <v>264.74</v>
      </c>
      <c r="AH12" s="20">
        <f t="shared" si="17"/>
        <v>167.09</v>
      </c>
      <c r="AI12" s="20"/>
      <c r="AJ12" s="20"/>
      <c r="AK12" s="20"/>
      <c r="AL12" s="20"/>
      <c r="AM12" s="20"/>
      <c r="AN12" s="20"/>
      <c r="AO12" s="20">
        <f>SUM(C12:F12)</f>
        <v>215</v>
      </c>
      <c r="AP12" s="20">
        <f>SUM(G12:J12)</f>
        <v>297</v>
      </c>
      <c r="AQ12" s="20">
        <f>SUM(E12:H12)</f>
        <v>248</v>
      </c>
      <c r="AR12" s="20">
        <f>SUM(O12:R12)</f>
        <v>-74</v>
      </c>
      <c r="AS12" s="20">
        <f t="shared" si="18"/>
        <v>62</v>
      </c>
      <c r="AT12" s="20">
        <f t="shared" si="19"/>
        <v>1263</v>
      </c>
      <c r="AU12" s="20">
        <f t="shared" si="20"/>
        <v>767</v>
      </c>
      <c r="AV12" s="20">
        <f t="shared" si="21"/>
        <v>832.19500000000005</v>
      </c>
      <c r="AW12" s="20">
        <f t="shared" ref="AW12:AZ12" si="27">AV12*1.05</f>
        <v>873.80475000000013</v>
      </c>
      <c r="AX12" s="20">
        <f t="shared" si="27"/>
        <v>917.49498750000021</v>
      </c>
      <c r="AY12" s="20">
        <f t="shared" si="27"/>
        <v>963.36973687500029</v>
      </c>
      <c r="AZ12" s="20">
        <f t="shared" si="27"/>
        <v>1011.5382237187504</v>
      </c>
      <c r="BA12" s="20"/>
      <c r="BB12" s="19"/>
      <c r="BC12" s="19"/>
      <c r="BD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row>
    <row r="13" spans="2:149" s="14" customFormat="1" x14ac:dyDescent="0.25">
      <c r="B13" s="14" t="s">
        <v>46</v>
      </c>
      <c r="C13" s="21">
        <f t="shared" ref="C13:P13" si="28">SUM(C8:C12)</f>
        <v>12269</v>
      </c>
      <c r="D13" s="21">
        <f t="shared" si="28"/>
        <v>13876</v>
      </c>
      <c r="E13" s="21">
        <f t="shared" si="28"/>
        <v>15848</v>
      </c>
      <c r="F13" s="21">
        <f t="shared" si="28"/>
        <v>19832</v>
      </c>
      <c r="G13" s="21">
        <f t="shared" si="28"/>
        <v>18380</v>
      </c>
      <c r="H13" s="21">
        <f t="shared" si="28"/>
        <v>19271</v>
      </c>
      <c r="I13" s="21">
        <f t="shared" si="28"/>
        <v>19849</v>
      </c>
      <c r="J13" s="21">
        <f t="shared" si="28"/>
        <v>23811</v>
      </c>
      <c r="K13" s="21">
        <f t="shared" si="28"/>
        <v>21360</v>
      </c>
      <c r="L13" s="21">
        <f t="shared" si="28"/>
        <v>23983</v>
      </c>
      <c r="M13" s="21">
        <f t="shared" si="28"/>
        <v>25522</v>
      </c>
      <c r="N13" s="21">
        <f t="shared" si="28"/>
        <v>29581</v>
      </c>
      <c r="O13" s="21">
        <f t="shared" si="28"/>
        <v>27206</v>
      </c>
      <c r="P13" s="21">
        <f t="shared" si="28"/>
        <v>30409</v>
      </c>
      <c r="Q13" s="21">
        <f>SUM(Q8:Q12)</f>
        <v>32845</v>
      </c>
      <c r="R13" s="21">
        <f>SUM(R8:R12)</f>
        <v>39398</v>
      </c>
      <c r="S13" s="21">
        <f t="shared" ref="S13:Z13" si="29">SUM(S8:S12)</f>
        <v>37250</v>
      </c>
      <c r="T13" s="21">
        <f t="shared" si="29"/>
        <v>41202</v>
      </c>
      <c r="U13" s="21">
        <f t="shared" si="29"/>
        <v>43030</v>
      </c>
      <c r="V13" s="21">
        <f t="shared" si="29"/>
        <v>51117</v>
      </c>
      <c r="W13" s="21">
        <f t="shared" si="29"/>
        <v>46276</v>
      </c>
      <c r="X13" s="21">
        <f>SUM(X8:X12)</f>
        <v>51493</v>
      </c>
      <c r="Y13" s="21">
        <f t="shared" si="29"/>
        <v>54308</v>
      </c>
      <c r="Z13" s="21">
        <f t="shared" si="29"/>
        <v>60827</v>
      </c>
      <c r="AA13" s="21">
        <f t="shared" ref="AA13:AD13" si="30">SUM(AA8:AA12)</f>
        <v>54793</v>
      </c>
      <c r="AB13" s="21">
        <f t="shared" si="30"/>
        <v>57329</v>
      </c>
      <c r="AC13" s="21">
        <f t="shared" si="30"/>
        <v>56873</v>
      </c>
      <c r="AD13" s="21">
        <f t="shared" si="30"/>
        <v>64199</v>
      </c>
      <c r="AE13" s="21">
        <f t="shared" ref="AE13:AH13" si="31">SUM(AE8:AE12)</f>
        <v>59450.404999999999</v>
      </c>
      <c r="AF13" s="21">
        <f>SUM(AF8:AF12)</f>
        <v>62201.964999999997</v>
      </c>
      <c r="AG13" s="21">
        <f t="shared" si="31"/>
        <v>61707.204999999994</v>
      </c>
      <c r="AH13" s="21">
        <f t="shared" si="31"/>
        <v>69655.915000000008</v>
      </c>
      <c r="AI13" s="21"/>
      <c r="AJ13" s="21"/>
      <c r="AK13" s="21"/>
      <c r="AL13" s="21"/>
      <c r="AM13" s="21"/>
      <c r="AN13" s="21"/>
      <c r="AO13" s="21">
        <f>SUM(AO8:AO12)</f>
        <v>61825</v>
      </c>
      <c r="AP13" s="21">
        <f>SUM(AP8:AP12)</f>
        <v>81311</v>
      </c>
      <c r="AQ13" s="21">
        <f>SUM(AQ8:AQ12)</f>
        <v>73331</v>
      </c>
      <c r="AR13" s="21">
        <f>SUM(AR8:AR12)</f>
        <v>129858</v>
      </c>
      <c r="AS13" s="21">
        <f t="shared" ref="AS13:AW13" si="32">SUM(AS8:AS12)</f>
        <v>172599</v>
      </c>
      <c r="AT13" s="21">
        <f t="shared" si="32"/>
        <v>212904</v>
      </c>
      <c r="AU13" s="21">
        <f t="shared" si="32"/>
        <v>233194</v>
      </c>
      <c r="AV13" s="21">
        <f t="shared" si="32"/>
        <v>253015.49</v>
      </c>
      <c r="AW13" s="21">
        <f t="shared" si="32"/>
        <v>271402.90905000002</v>
      </c>
      <c r="AX13" s="21">
        <f t="shared" ref="AX13:AZ13" si="33">SUM(AX8:AX12)</f>
        <v>291168.63061649998</v>
      </c>
      <c r="AY13" s="21">
        <f t="shared" si="33"/>
        <v>312418.28435044503</v>
      </c>
      <c r="AZ13" s="21">
        <f t="shared" si="33"/>
        <v>335265.71854733687</v>
      </c>
      <c r="BA13" s="21"/>
      <c r="BB13" s="22"/>
      <c r="BC13" s="22"/>
      <c r="BD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row>
    <row r="14" spans="2:149" s="14" customFormat="1" x14ac:dyDescent="0.25">
      <c r="B14" s="14" t="s">
        <v>47</v>
      </c>
      <c r="C14" s="21">
        <f t="shared" ref="C14:P14" si="34">+C7-C13</f>
        <v>1005</v>
      </c>
      <c r="D14" s="21">
        <f t="shared" si="34"/>
        <v>628</v>
      </c>
      <c r="E14" s="21">
        <f t="shared" si="34"/>
        <v>347</v>
      </c>
      <c r="F14" s="21">
        <f t="shared" si="34"/>
        <v>2127</v>
      </c>
      <c r="G14" s="21">
        <f t="shared" si="34"/>
        <v>1927</v>
      </c>
      <c r="H14" s="21">
        <f t="shared" si="34"/>
        <v>2983</v>
      </c>
      <c r="I14" s="21">
        <f t="shared" si="34"/>
        <v>3724</v>
      </c>
      <c r="J14" s="21">
        <f t="shared" si="34"/>
        <v>3786</v>
      </c>
      <c r="K14" s="21">
        <f t="shared" si="34"/>
        <v>4420</v>
      </c>
      <c r="L14" s="21">
        <f t="shared" si="34"/>
        <v>3084</v>
      </c>
      <c r="M14" s="21">
        <f t="shared" si="34"/>
        <v>3157</v>
      </c>
      <c r="N14" s="21">
        <f t="shared" si="34"/>
        <v>3879</v>
      </c>
      <c r="O14" s="21">
        <f t="shared" si="34"/>
        <v>3989</v>
      </c>
      <c r="P14" s="21">
        <f t="shared" si="34"/>
        <v>5843</v>
      </c>
      <c r="Q14" s="21">
        <f>+Q7-Q13</f>
        <v>6194</v>
      </c>
      <c r="R14" s="21">
        <f>+R7-R13</f>
        <v>6873</v>
      </c>
      <c r="S14" s="21">
        <f t="shared" ref="S14:Z14" si="35">+S7-S13</f>
        <v>8865</v>
      </c>
      <c r="T14" s="21">
        <f t="shared" si="35"/>
        <v>7702</v>
      </c>
      <c r="U14" s="21">
        <f t="shared" si="35"/>
        <v>4852</v>
      </c>
      <c r="V14" s="21">
        <f t="shared" si="35"/>
        <v>3460</v>
      </c>
      <c r="W14" s="21">
        <f t="shared" si="35"/>
        <v>3669</v>
      </c>
      <c r="X14" s="21">
        <f>+X7-X13</f>
        <v>3317</v>
      </c>
      <c r="Y14" s="21">
        <f t="shared" si="35"/>
        <v>2525</v>
      </c>
      <c r="Z14" s="21">
        <f t="shared" si="35"/>
        <v>2737</v>
      </c>
      <c r="AA14" s="21">
        <f t="shared" ref="AA14:AD14" si="36">+AA7-AA13</f>
        <v>4774</v>
      </c>
      <c r="AB14" s="21">
        <f t="shared" si="36"/>
        <v>7681</v>
      </c>
      <c r="AC14" s="21">
        <f t="shared" si="36"/>
        <v>11188</v>
      </c>
      <c r="AD14" s="21">
        <f t="shared" si="36"/>
        <v>13209</v>
      </c>
      <c r="AE14" s="21">
        <f t="shared" ref="AE14:AH14" si="37">+AE7-AE13</f>
        <v>6777.0650000000023</v>
      </c>
      <c r="AF14" s="21">
        <f>+AF7-AF13</f>
        <v>10062.544999999998</v>
      </c>
      <c r="AG14" s="21">
        <f t="shared" si="37"/>
        <v>13959.015000000007</v>
      </c>
      <c r="AH14" s="21">
        <f t="shared" si="37"/>
        <v>16425.464999999982</v>
      </c>
      <c r="AI14" s="21"/>
      <c r="AJ14" s="21"/>
      <c r="AK14" s="21"/>
      <c r="AL14" s="21"/>
      <c r="AM14" s="21"/>
      <c r="AN14" s="21"/>
      <c r="AO14" s="21">
        <f>+AO7-AO13</f>
        <v>4107</v>
      </c>
      <c r="AP14" s="21">
        <f>+AP7-AP13</f>
        <v>12420</v>
      </c>
      <c r="AQ14" s="21">
        <f>+AQ7-AQ13</f>
        <v>7384</v>
      </c>
      <c r="AR14" s="21">
        <f>+AR7-AR13</f>
        <v>22899</v>
      </c>
      <c r="AS14" s="21">
        <f t="shared" ref="AS14:AW14" si="38">+AS7-AS13</f>
        <v>24879</v>
      </c>
      <c r="AT14" s="21">
        <f t="shared" si="38"/>
        <v>12248</v>
      </c>
      <c r="AU14" s="21">
        <f t="shared" si="38"/>
        <v>36852</v>
      </c>
      <c r="AV14" s="21">
        <f t="shared" si="38"/>
        <v>47224.089999999967</v>
      </c>
      <c r="AW14" s="21">
        <f t="shared" si="38"/>
        <v>67390.186149999965</v>
      </c>
      <c r="AX14" s="21">
        <f t="shared" ref="AX14:AZ14" si="39">+AX7-AX13</f>
        <v>86480.762763499864</v>
      </c>
      <c r="AY14" s="21">
        <f t="shared" si="39"/>
        <v>102406.98408275482</v>
      </c>
      <c r="AZ14" s="21">
        <f t="shared" si="39"/>
        <v>122285.7041073108</v>
      </c>
      <c r="BA14" s="21"/>
      <c r="BB14" s="22"/>
      <c r="BC14" s="22"/>
      <c r="BD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row>
    <row r="15" spans="2:149" x14ac:dyDescent="0.25">
      <c r="B15" s="29" t="s">
        <v>79</v>
      </c>
      <c r="C15" s="13">
        <f>39</f>
        <v>39</v>
      </c>
      <c r="D15" s="13">
        <f>44</f>
        <v>44</v>
      </c>
      <c r="E15" s="13">
        <f>54</f>
        <v>54</v>
      </c>
      <c r="F15" s="13">
        <f>66</f>
        <v>66</v>
      </c>
      <c r="G15" s="13">
        <f>80</f>
        <v>80</v>
      </c>
      <c r="H15" s="13">
        <f>94</f>
        <v>94</v>
      </c>
      <c r="I15" s="13">
        <f>117</f>
        <v>117</v>
      </c>
      <c r="J15" s="13">
        <f>150</f>
        <v>150</v>
      </c>
      <c r="K15" s="13">
        <f>183</f>
        <v>183</v>
      </c>
      <c r="L15" s="13">
        <f>215</f>
        <v>215</v>
      </c>
      <c r="M15" s="13">
        <f>224</f>
        <v>224</v>
      </c>
      <c r="N15" s="13">
        <f>211</f>
        <v>211</v>
      </c>
      <c r="O15" s="13">
        <f>202</f>
        <v>202</v>
      </c>
      <c r="P15" s="13">
        <f>135</f>
        <v>135</v>
      </c>
      <c r="Q15" s="13">
        <f>118</f>
        <v>118</v>
      </c>
      <c r="R15" s="13">
        <f>100</f>
        <v>100</v>
      </c>
      <c r="S15" s="13">
        <f>105</f>
        <v>105</v>
      </c>
      <c r="T15" s="13">
        <f>106</f>
        <v>106</v>
      </c>
      <c r="U15" s="13">
        <f>119</f>
        <v>119</v>
      </c>
      <c r="V15" s="13">
        <f>118</f>
        <v>118</v>
      </c>
      <c r="W15" s="13">
        <v>108</v>
      </c>
      <c r="X15" s="13">
        <v>159</v>
      </c>
      <c r="Y15" s="13">
        <v>277</v>
      </c>
      <c r="Z15" s="13">
        <v>445</v>
      </c>
      <c r="AA15" s="13">
        <v>611</v>
      </c>
      <c r="AB15" s="13">
        <v>661</v>
      </c>
      <c r="AC15" s="13">
        <v>776</v>
      </c>
      <c r="AD15" s="13">
        <v>901</v>
      </c>
      <c r="AE15" s="20">
        <f t="shared" ref="AE15:AF17" si="40">AA15*1.05</f>
        <v>641.55000000000007</v>
      </c>
      <c r="AF15" s="20">
        <f t="shared" si="40"/>
        <v>694.05000000000007</v>
      </c>
      <c r="AG15" s="20">
        <f t="shared" ref="AG15:AG17" si="41">AC15*1.1</f>
        <v>853.6</v>
      </c>
      <c r="AH15" s="20">
        <f t="shared" ref="AH15:AH17" si="42">AD15*1.1</f>
        <v>991.10000000000014</v>
      </c>
      <c r="AI15" s="13"/>
      <c r="AJ15" s="13"/>
      <c r="AK15" s="13"/>
      <c r="AL15" s="13"/>
      <c r="AM15" s="13"/>
      <c r="AN15" s="13"/>
      <c r="AO15" s="20">
        <f>SUM(C15:F15)</f>
        <v>203</v>
      </c>
      <c r="AP15" s="20">
        <f>SUM(G15:J15)</f>
        <v>441</v>
      </c>
      <c r="AQ15" s="20">
        <f>SUM(E15:H15)</f>
        <v>294</v>
      </c>
      <c r="AR15" s="20">
        <f>SUM(O15:R15)</f>
        <v>555</v>
      </c>
      <c r="AS15" s="20">
        <f>SUM(S15:V15)</f>
        <v>448</v>
      </c>
      <c r="AT15" s="20">
        <f t="shared" ref="AT15:AT17" si="43">SUM(W15:Z15)</f>
        <v>989</v>
      </c>
      <c r="AU15" s="20">
        <f t="shared" ref="AU15:AU17" si="44">SUM(AA15:AD15)</f>
        <v>2949</v>
      </c>
      <c r="AV15" s="20">
        <f t="shared" ref="AV15:AV16" si="45">SUM(AE15:AH15)</f>
        <v>3180.3</v>
      </c>
      <c r="AW15" s="13">
        <f t="shared" ref="AW15:AW17" si="46">AV15*1.01</f>
        <v>3212.1030000000001</v>
      </c>
      <c r="AX15" s="13">
        <f t="shared" ref="AX15:AX17" si="47">AW15*1.01</f>
        <v>3244.2240300000003</v>
      </c>
      <c r="AY15" s="13">
        <f t="shared" ref="AY15:AY17" si="48">AX15*1.01</f>
        <v>3276.6662703000002</v>
      </c>
      <c r="AZ15" s="13">
        <f t="shared" ref="AZ15:AZ17" si="49">AY15*1.01</f>
        <v>3309.432933003</v>
      </c>
      <c r="BA15" s="13"/>
    </row>
    <row r="16" spans="2:149" x14ac:dyDescent="0.25">
      <c r="B16" s="29" t="s">
        <v>80</v>
      </c>
      <c r="C16" s="13">
        <v>139</v>
      </c>
      <c r="D16" s="13">
        <v>143</v>
      </c>
      <c r="E16" s="13">
        <v>228</v>
      </c>
      <c r="F16" s="13">
        <v>339</v>
      </c>
      <c r="G16" s="13">
        <v>330</v>
      </c>
      <c r="H16" s="13">
        <v>343</v>
      </c>
      <c r="I16" s="13">
        <v>358</v>
      </c>
      <c r="J16" s="13">
        <v>387</v>
      </c>
      <c r="K16" s="13">
        <v>366</v>
      </c>
      <c r="L16" s="13">
        <v>383</v>
      </c>
      <c r="M16" s="13">
        <v>396</v>
      </c>
      <c r="N16" s="13">
        <v>455</v>
      </c>
      <c r="O16" s="13">
        <v>402</v>
      </c>
      <c r="P16" s="13">
        <v>403</v>
      </c>
      <c r="Q16" s="13">
        <v>428</v>
      </c>
      <c r="R16" s="13">
        <v>414</v>
      </c>
      <c r="S16" s="13">
        <v>399</v>
      </c>
      <c r="T16" s="13">
        <v>435</v>
      </c>
      <c r="U16" s="13">
        <v>493</v>
      </c>
      <c r="V16" s="13">
        <v>482</v>
      </c>
      <c r="W16" s="13">
        <v>472</v>
      </c>
      <c r="X16" s="13">
        <v>584</v>
      </c>
      <c r="Y16" s="13">
        <v>617</v>
      </c>
      <c r="Z16" s="13">
        <v>694</v>
      </c>
      <c r="AA16" s="13">
        <v>823</v>
      </c>
      <c r="AB16" s="13">
        <v>840</v>
      </c>
      <c r="AC16" s="13">
        <v>806</v>
      </c>
      <c r="AD16" s="13">
        <v>713</v>
      </c>
      <c r="AE16" s="20">
        <f t="shared" si="40"/>
        <v>864.15000000000009</v>
      </c>
      <c r="AF16" s="20">
        <f t="shared" si="40"/>
        <v>882</v>
      </c>
      <c r="AG16" s="20">
        <f t="shared" si="41"/>
        <v>886.6</v>
      </c>
      <c r="AH16" s="20">
        <f t="shared" si="42"/>
        <v>784.30000000000007</v>
      </c>
      <c r="AI16" s="13"/>
      <c r="AJ16" s="13"/>
      <c r="AK16" s="13"/>
      <c r="AL16" s="13"/>
      <c r="AM16" s="13"/>
      <c r="AN16" s="13"/>
      <c r="AO16" s="20">
        <f t="shared" ref="AO16:AO17" si="50">SUM(C16:F16)</f>
        <v>849</v>
      </c>
      <c r="AP16" s="20">
        <f t="shared" ref="AP16:AP17" si="51">SUM(G16:J16)</f>
        <v>1418</v>
      </c>
      <c r="AQ16" s="20">
        <f t="shared" ref="AQ16:AQ17" si="52">SUM(E16:H16)</f>
        <v>1240</v>
      </c>
      <c r="AR16" s="20">
        <f>SUM(O16:R16)</f>
        <v>1647</v>
      </c>
      <c r="AS16" s="20">
        <f>SUM(S16:V16)</f>
        <v>1809</v>
      </c>
      <c r="AT16" s="20">
        <f t="shared" si="43"/>
        <v>2367</v>
      </c>
      <c r="AU16" s="20">
        <f t="shared" si="44"/>
        <v>3182</v>
      </c>
      <c r="AV16" s="20">
        <f t="shared" si="45"/>
        <v>3417.05</v>
      </c>
      <c r="AW16" s="13">
        <f t="shared" si="46"/>
        <v>3451.2205000000004</v>
      </c>
      <c r="AX16" s="13">
        <f t="shared" si="47"/>
        <v>3485.7327050000004</v>
      </c>
      <c r="AY16" s="13">
        <f t="shared" si="48"/>
        <v>3520.5900320500004</v>
      </c>
      <c r="AZ16" s="13">
        <f t="shared" si="49"/>
        <v>3555.7959323705004</v>
      </c>
      <c r="BA16" s="13"/>
    </row>
    <row r="17" spans="2:2362" x14ac:dyDescent="0.25">
      <c r="B17" s="29" t="s">
        <v>81</v>
      </c>
      <c r="C17" s="13">
        <v>48</v>
      </c>
      <c r="D17" s="13">
        <v>137</v>
      </c>
      <c r="E17" s="13">
        <v>143</v>
      </c>
      <c r="F17" s="13">
        <v>18</v>
      </c>
      <c r="G17" s="13">
        <v>239</v>
      </c>
      <c r="H17" s="13">
        <v>-129</v>
      </c>
      <c r="I17" s="13">
        <v>-93</v>
      </c>
      <c r="J17" s="13">
        <v>-199</v>
      </c>
      <c r="K17" s="13">
        <v>164</v>
      </c>
      <c r="L17" s="13">
        <v>-27</v>
      </c>
      <c r="M17" s="13">
        <v>-353</v>
      </c>
      <c r="N17" s="13">
        <v>418</v>
      </c>
      <c r="O17" s="13">
        <v>-406</v>
      </c>
      <c r="P17" s="13">
        <v>646</v>
      </c>
      <c r="Q17" s="13">
        <v>925</v>
      </c>
      <c r="R17" s="13">
        <v>1206</v>
      </c>
      <c r="S17" s="13">
        <v>1697</v>
      </c>
      <c r="T17" s="13">
        <v>1261</v>
      </c>
      <c r="U17" s="13">
        <v>-163</v>
      </c>
      <c r="V17" s="13">
        <v>11838</v>
      </c>
      <c r="W17" s="13">
        <v>-8570</v>
      </c>
      <c r="X17" s="13">
        <v>-5545</v>
      </c>
      <c r="Y17" s="13">
        <v>759</v>
      </c>
      <c r="Z17" s="13">
        <v>-3450</v>
      </c>
      <c r="AA17" s="13">
        <v>-443</v>
      </c>
      <c r="AB17" s="13">
        <v>61</v>
      </c>
      <c r="AC17" s="13">
        <v>1031</v>
      </c>
      <c r="AD17" s="13">
        <v>289</v>
      </c>
      <c r="AE17" s="20">
        <v>200</v>
      </c>
      <c r="AF17" s="20">
        <f t="shared" si="40"/>
        <v>64.05</v>
      </c>
      <c r="AG17" s="20">
        <f t="shared" si="41"/>
        <v>1134.1000000000001</v>
      </c>
      <c r="AH17" s="20">
        <f t="shared" si="42"/>
        <v>317.90000000000003</v>
      </c>
      <c r="AI17" s="13"/>
      <c r="AJ17" s="13"/>
      <c r="AK17" s="13"/>
      <c r="AL17" s="13"/>
      <c r="AM17" s="13"/>
      <c r="AN17" s="13"/>
      <c r="AO17" s="20">
        <f t="shared" si="50"/>
        <v>346</v>
      </c>
      <c r="AP17" s="20">
        <f t="shared" si="51"/>
        <v>-182</v>
      </c>
      <c r="AQ17" s="20">
        <f t="shared" si="52"/>
        <v>271</v>
      </c>
      <c r="AR17" s="20">
        <f>SUM(O17:R17)</f>
        <v>2371</v>
      </c>
      <c r="AS17" s="20">
        <f>SUM(S17:V17)</f>
        <v>14633</v>
      </c>
      <c r="AT17" s="20">
        <f t="shared" si="43"/>
        <v>-16806</v>
      </c>
      <c r="AU17" s="20">
        <f t="shared" si="44"/>
        <v>938</v>
      </c>
      <c r="AV17" s="20">
        <f>SUM(AE17:AH17)</f>
        <v>1716.0500000000002</v>
      </c>
      <c r="AW17" s="13">
        <f t="shared" si="46"/>
        <v>1733.2105000000001</v>
      </c>
      <c r="AX17" s="13">
        <f t="shared" si="47"/>
        <v>1750.5426050000001</v>
      </c>
      <c r="AY17" s="13">
        <f t="shared" si="48"/>
        <v>1768.0480310500002</v>
      </c>
      <c r="AZ17" s="13">
        <f t="shared" si="49"/>
        <v>1785.7285113605003</v>
      </c>
      <c r="BA17" s="13"/>
    </row>
    <row r="18" spans="2:2362" x14ac:dyDescent="0.25">
      <c r="B18" s="4" t="s">
        <v>48</v>
      </c>
      <c r="C18" s="13">
        <f t="shared" ref="C18:AC18" si="53">C14+C15-C16+C17</f>
        <v>953</v>
      </c>
      <c r="D18" s="13">
        <f t="shared" si="53"/>
        <v>666</v>
      </c>
      <c r="E18" s="13">
        <f t="shared" si="53"/>
        <v>316</v>
      </c>
      <c r="F18" s="13">
        <f t="shared" si="53"/>
        <v>1872</v>
      </c>
      <c r="G18" s="13">
        <f t="shared" si="53"/>
        <v>1916</v>
      </c>
      <c r="H18" s="13">
        <f t="shared" si="53"/>
        <v>2605</v>
      </c>
      <c r="I18" s="13">
        <f t="shared" si="53"/>
        <v>3390</v>
      </c>
      <c r="J18" s="13">
        <f t="shared" si="53"/>
        <v>3350</v>
      </c>
      <c r="K18" s="13">
        <f t="shared" si="53"/>
        <v>4401</v>
      </c>
      <c r="L18" s="13">
        <f t="shared" si="53"/>
        <v>2889</v>
      </c>
      <c r="M18" s="13">
        <f t="shared" si="53"/>
        <v>2632</v>
      </c>
      <c r="N18" s="13">
        <f t="shared" si="53"/>
        <v>4053</v>
      </c>
      <c r="O18" s="13">
        <f t="shared" si="53"/>
        <v>3383</v>
      </c>
      <c r="P18" s="13">
        <f t="shared" si="53"/>
        <v>6221</v>
      </c>
      <c r="Q18" s="13">
        <f t="shared" si="53"/>
        <v>6809</v>
      </c>
      <c r="R18" s="13">
        <f t="shared" si="53"/>
        <v>7765</v>
      </c>
      <c r="S18" s="13">
        <f t="shared" si="53"/>
        <v>10268</v>
      </c>
      <c r="T18" s="13">
        <f t="shared" si="53"/>
        <v>8634</v>
      </c>
      <c r="U18" s="13">
        <f t="shared" si="53"/>
        <v>4315</v>
      </c>
      <c r="V18" s="13">
        <f>V14+V15-V16+V17</f>
        <v>14934</v>
      </c>
      <c r="W18" s="13">
        <f t="shared" si="53"/>
        <v>-5265</v>
      </c>
      <c r="X18" s="13">
        <f t="shared" si="53"/>
        <v>-2653</v>
      </c>
      <c r="Y18" s="13">
        <f t="shared" si="53"/>
        <v>2944</v>
      </c>
      <c r="Z18" s="13">
        <f t="shared" si="53"/>
        <v>-962</v>
      </c>
      <c r="AA18" s="13">
        <f t="shared" si="53"/>
        <v>4119</v>
      </c>
      <c r="AB18" s="13">
        <f t="shared" si="53"/>
        <v>7563</v>
      </c>
      <c r="AC18" s="13">
        <f t="shared" si="53"/>
        <v>12189</v>
      </c>
      <c r="AD18" s="13">
        <f>AD14+AD15-AD16+AD17</f>
        <v>13686</v>
      </c>
      <c r="AE18" s="13">
        <f t="shared" ref="AE18:AH18" si="54">AE14+AE15-AE16+AE17</f>
        <v>6754.465000000002</v>
      </c>
      <c r="AF18" s="13">
        <f t="shared" si="54"/>
        <v>9938.6449999999968</v>
      </c>
      <c r="AG18" s="13">
        <f t="shared" si="54"/>
        <v>15060.115000000007</v>
      </c>
      <c r="AH18" s="13">
        <f t="shared" si="54"/>
        <v>16950.164999999983</v>
      </c>
      <c r="AI18" s="13"/>
      <c r="AJ18" s="13"/>
      <c r="AK18" s="13"/>
      <c r="AL18" s="13"/>
      <c r="AM18" s="13"/>
      <c r="AN18" s="13"/>
      <c r="AO18" s="13">
        <f t="shared" ref="AO18:AV18" si="55">AO14+AO15-AO16+AO17</f>
        <v>3807</v>
      </c>
      <c r="AP18" s="13">
        <f t="shared" si="55"/>
        <v>11261</v>
      </c>
      <c r="AQ18" s="13">
        <f t="shared" si="55"/>
        <v>6709</v>
      </c>
      <c r="AR18" s="13">
        <f t="shared" si="55"/>
        <v>24178</v>
      </c>
      <c r="AS18" s="13">
        <f t="shared" si="55"/>
        <v>38151</v>
      </c>
      <c r="AT18" s="13">
        <f t="shared" si="55"/>
        <v>-5936</v>
      </c>
      <c r="AU18" s="13">
        <f t="shared" si="55"/>
        <v>37557</v>
      </c>
      <c r="AV18" s="13">
        <f t="shared" si="55"/>
        <v>48703.38999999997</v>
      </c>
      <c r="AW18" s="13">
        <f>AW14+AW15-AW16+AW17</f>
        <v>68884.279149999973</v>
      </c>
      <c r="AX18" s="13">
        <f t="shared" ref="AX18" si="56">AX14+AX15-AX16+AX17</f>
        <v>87989.796693499855</v>
      </c>
      <c r="AY18" s="13">
        <f t="shared" ref="AY18" si="57">AY14+AY15-AY16+AY17</f>
        <v>103931.10835205483</v>
      </c>
      <c r="AZ18" s="13">
        <f t="shared" ref="AZ18" si="58">AZ14+AZ15-AZ16+AZ17</f>
        <v>123825.0696193038</v>
      </c>
      <c r="BA18" s="13"/>
    </row>
    <row r="19" spans="2:2362" x14ac:dyDescent="0.25">
      <c r="B19" s="4" t="s">
        <v>49</v>
      </c>
      <c r="C19" s="13">
        <v>229</v>
      </c>
      <c r="D19" s="13">
        <f>467+2</f>
        <v>469</v>
      </c>
      <c r="E19" s="13">
        <f>58+2</f>
        <v>60</v>
      </c>
      <c r="F19" s="13">
        <v>16</v>
      </c>
      <c r="G19" s="13">
        <v>287</v>
      </c>
      <c r="H19" s="13">
        <f>74-3</f>
        <v>71</v>
      </c>
      <c r="I19" s="13">
        <f>508-1</f>
        <v>507</v>
      </c>
      <c r="J19" s="13">
        <f>327-4</f>
        <v>323</v>
      </c>
      <c r="K19" s="13">
        <f>836+4</f>
        <v>840</v>
      </c>
      <c r="L19" s="13">
        <f>257+7</f>
        <v>264</v>
      </c>
      <c r="M19" s="13">
        <f>494+4</f>
        <v>498</v>
      </c>
      <c r="N19" s="13">
        <f>786-1</f>
        <v>785</v>
      </c>
      <c r="O19" s="13">
        <f>744+104</f>
        <v>848</v>
      </c>
      <c r="P19" s="13">
        <f>984-6</f>
        <v>978</v>
      </c>
      <c r="Q19" s="13">
        <f>569-91</f>
        <v>478</v>
      </c>
      <c r="R19" s="13">
        <f>566-23</f>
        <v>543</v>
      </c>
      <c r="S19" s="13">
        <f>2156+5</f>
        <v>2161</v>
      </c>
      <c r="T19" s="13">
        <f>868-12</f>
        <v>856</v>
      </c>
      <c r="U19" s="13">
        <f>1155+4</f>
        <v>1159</v>
      </c>
      <c r="V19" s="13">
        <f>612-1</f>
        <v>611</v>
      </c>
      <c r="W19" s="13">
        <f>-1422+1</f>
        <v>-1421</v>
      </c>
      <c r="X19" s="13">
        <f>-637+12</f>
        <v>-625</v>
      </c>
      <c r="Y19" s="13">
        <f>69-3</f>
        <v>66</v>
      </c>
      <c r="Z19" s="13">
        <f>-1227-13</f>
        <v>-1240</v>
      </c>
      <c r="AA19" s="13">
        <f>948-1</f>
        <v>947</v>
      </c>
      <c r="AB19" s="13">
        <f>804+9</f>
        <v>813</v>
      </c>
      <c r="AC19" s="13">
        <f>2306+4</f>
        <v>2310</v>
      </c>
      <c r="AD19" s="13">
        <f>3062+0</f>
        <v>3062</v>
      </c>
      <c r="AE19" s="13">
        <f>AE18*0.19</f>
        <v>1283.3483500000004</v>
      </c>
      <c r="AF19" s="13">
        <f t="shared" ref="AF19:AH19" si="59">AF18*0.19</f>
        <v>1888.3425499999994</v>
      </c>
      <c r="AG19" s="13">
        <f t="shared" si="59"/>
        <v>2861.4218500000015</v>
      </c>
      <c r="AH19" s="13">
        <f t="shared" si="59"/>
        <v>3220.5313499999966</v>
      </c>
      <c r="AI19" s="13"/>
      <c r="AJ19" s="13"/>
      <c r="AK19" s="13"/>
      <c r="AL19" s="13"/>
      <c r="AM19" s="13"/>
      <c r="AN19" s="13"/>
      <c r="AO19" s="20">
        <f>SUM(C19:F19)</f>
        <v>774</v>
      </c>
      <c r="AP19" s="20">
        <f>SUM(G19:J19)</f>
        <v>1188</v>
      </c>
      <c r="AQ19" s="20">
        <f>SUM(E19:H19)</f>
        <v>434</v>
      </c>
      <c r="AR19" s="20">
        <f>SUM(O19:R19)</f>
        <v>2847</v>
      </c>
      <c r="AS19" s="20">
        <f>SUM(S19:V19)</f>
        <v>4787</v>
      </c>
      <c r="AT19" s="20">
        <f>SUM(W19:Z19)</f>
        <v>-3220</v>
      </c>
      <c r="AU19" s="20">
        <f>SUM(AA19:AD19)</f>
        <v>7132</v>
      </c>
      <c r="AV19" s="20">
        <f>SUM(AE19:AH19)</f>
        <v>9253.6440999999977</v>
      </c>
      <c r="AW19" s="13">
        <f>AW18*AVERAGE($AO$36:$AU$36)</f>
        <v>13275.70672208024</v>
      </c>
      <c r="AX19" s="13">
        <f>AX18*AVERAGE($AO$36:$AU$36)</f>
        <v>16957.813159294274</v>
      </c>
      <c r="AY19" s="13">
        <f>AY18*AVERAGE($AO$36:$AU$36)</f>
        <v>20030.098751242062</v>
      </c>
      <c r="AZ19" s="13">
        <f>AZ18*AVERAGE($AO$36:$AU$36)</f>
        <v>23864.157822243043</v>
      </c>
      <c r="BA19" s="13"/>
    </row>
    <row r="20" spans="2:2362" s="14" customFormat="1" x14ac:dyDescent="0.25">
      <c r="B20" s="14" t="s">
        <v>50</v>
      </c>
      <c r="C20" s="23">
        <f t="shared" ref="C20:AC20" si="60">C18-C19</f>
        <v>724</v>
      </c>
      <c r="D20" s="23">
        <f t="shared" si="60"/>
        <v>197</v>
      </c>
      <c r="E20" s="23">
        <f t="shared" si="60"/>
        <v>256</v>
      </c>
      <c r="F20" s="23">
        <f t="shared" si="60"/>
        <v>1856</v>
      </c>
      <c r="G20" s="23">
        <f t="shared" si="60"/>
        <v>1629</v>
      </c>
      <c r="H20" s="23">
        <f t="shared" si="60"/>
        <v>2534</v>
      </c>
      <c r="I20" s="23">
        <f t="shared" si="60"/>
        <v>2883</v>
      </c>
      <c r="J20" s="23">
        <f t="shared" si="60"/>
        <v>3027</v>
      </c>
      <c r="K20" s="23">
        <f t="shared" si="60"/>
        <v>3561</v>
      </c>
      <c r="L20" s="23">
        <f t="shared" si="60"/>
        <v>2625</v>
      </c>
      <c r="M20" s="23">
        <f t="shared" si="60"/>
        <v>2134</v>
      </c>
      <c r="N20" s="23">
        <f t="shared" si="60"/>
        <v>3268</v>
      </c>
      <c r="O20" s="23">
        <f t="shared" si="60"/>
        <v>2535</v>
      </c>
      <c r="P20" s="23">
        <f t="shared" si="60"/>
        <v>5243</v>
      </c>
      <c r="Q20" s="23">
        <f t="shared" si="60"/>
        <v>6331</v>
      </c>
      <c r="R20" s="23">
        <f t="shared" si="60"/>
        <v>7222</v>
      </c>
      <c r="S20" s="23">
        <f t="shared" si="60"/>
        <v>8107</v>
      </c>
      <c r="T20" s="23">
        <f t="shared" si="60"/>
        <v>7778</v>
      </c>
      <c r="U20" s="23">
        <f t="shared" si="60"/>
        <v>3156</v>
      </c>
      <c r="V20" s="23">
        <f t="shared" si="60"/>
        <v>14323</v>
      </c>
      <c r="W20" s="23">
        <f t="shared" si="60"/>
        <v>-3844</v>
      </c>
      <c r="X20" s="23">
        <f t="shared" si="60"/>
        <v>-2028</v>
      </c>
      <c r="Y20" s="23">
        <f t="shared" si="60"/>
        <v>2878</v>
      </c>
      <c r="Z20" s="23">
        <f t="shared" si="60"/>
        <v>278</v>
      </c>
      <c r="AA20" s="23">
        <f t="shared" si="60"/>
        <v>3172</v>
      </c>
      <c r="AB20" s="23">
        <f t="shared" si="60"/>
        <v>6750</v>
      </c>
      <c r="AC20" s="23">
        <f t="shared" si="60"/>
        <v>9879</v>
      </c>
      <c r="AD20" s="23">
        <f>AD18-AD19</f>
        <v>10624</v>
      </c>
      <c r="AE20" s="23">
        <f t="shared" ref="AE20:AH20" si="61">AE18-AE19</f>
        <v>5471.1166500000018</v>
      </c>
      <c r="AF20" s="23">
        <f t="shared" si="61"/>
        <v>8050.3024499999974</v>
      </c>
      <c r="AG20" s="23">
        <f t="shared" si="61"/>
        <v>12198.693150000006</v>
      </c>
      <c r="AH20" s="23">
        <f t="shared" si="61"/>
        <v>13729.633649999985</v>
      </c>
      <c r="AI20" s="23"/>
      <c r="AJ20" s="23"/>
      <c r="AK20" s="23"/>
      <c r="AL20" s="23"/>
      <c r="AM20" s="23"/>
      <c r="AN20" s="23"/>
      <c r="AO20" s="23">
        <f t="shared" ref="AO20:AW20" si="62">AO18-AO19</f>
        <v>3033</v>
      </c>
      <c r="AP20" s="23">
        <f t="shared" si="62"/>
        <v>10073</v>
      </c>
      <c r="AQ20" s="23">
        <f t="shared" si="62"/>
        <v>6275</v>
      </c>
      <c r="AR20" s="23">
        <f t="shared" si="62"/>
        <v>21331</v>
      </c>
      <c r="AS20" s="23">
        <f t="shared" si="62"/>
        <v>33364</v>
      </c>
      <c r="AT20" s="23">
        <f t="shared" si="62"/>
        <v>-2716</v>
      </c>
      <c r="AU20" s="23">
        <f t="shared" si="62"/>
        <v>30425</v>
      </c>
      <c r="AV20" s="23">
        <f t="shared" si="62"/>
        <v>39449.745899999973</v>
      </c>
      <c r="AW20" s="23">
        <f t="shared" si="62"/>
        <v>55608.572427919731</v>
      </c>
      <c r="AX20" s="23">
        <f t="shared" ref="AX20" si="63">AX18-AX19</f>
        <v>71031.983534205589</v>
      </c>
      <c r="AY20" s="23">
        <f t="shared" ref="AY20" si="64">AY18-AY19</f>
        <v>83901.009600812773</v>
      </c>
      <c r="AZ20" s="23">
        <f t="shared" ref="AZ20" si="65">AZ18-AZ19</f>
        <v>99960.911797060762</v>
      </c>
      <c r="BA20" s="23">
        <f t="shared" ref="BA20:CF20" si="66">AZ20*(1+$BF$24)</f>
        <v>98961.302679090149</v>
      </c>
      <c r="BB20" s="23">
        <f t="shared" si="66"/>
        <v>97971.689652299247</v>
      </c>
      <c r="BC20" s="23">
        <f t="shared" si="66"/>
        <v>96991.972755776253</v>
      </c>
      <c r="BD20" s="23">
        <f t="shared" si="66"/>
        <v>96022.053028218492</v>
      </c>
      <c r="BE20" s="23">
        <f t="shared" si="66"/>
        <v>95061.83249793631</v>
      </c>
      <c r="BF20" s="23">
        <f t="shared" si="66"/>
        <v>94111.214172956941</v>
      </c>
      <c r="BG20" s="23">
        <f t="shared" si="66"/>
        <v>93170.102031227376</v>
      </c>
      <c r="BH20" s="23">
        <f t="shared" si="66"/>
        <v>92238.401010915099</v>
      </c>
      <c r="BI20" s="23">
        <f t="shared" si="66"/>
        <v>91316.01700080595</v>
      </c>
      <c r="BJ20" s="23">
        <f t="shared" si="66"/>
        <v>90402.856830797886</v>
      </c>
      <c r="BK20" s="23">
        <f t="shared" si="66"/>
        <v>89498.8282624899</v>
      </c>
      <c r="BL20" s="23">
        <f t="shared" si="66"/>
        <v>88603.839979865006</v>
      </c>
      <c r="BM20" s="23">
        <f t="shared" si="66"/>
        <v>87717.801580066356</v>
      </c>
      <c r="BN20" s="23">
        <f t="shared" si="66"/>
        <v>86840.623564265697</v>
      </c>
      <c r="BO20" s="23">
        <f t="shared" si="66"/>
        <v>85972.217328623039</v>
      </c>
      <c r="BP20" s="23">
        <f t="shared" si="66"/>
        <v>85112.495155336801</v>
      </c>
      <c r="BQ20" s="23">
        <f t="shared" si="66"/>
        <v>84261.37020378343</v>
      </c>
      <c r="BR20" s="23">
        <f t="shared" si="66"/>
        <v>83418.756501745593</v>
      </c>
      <c r="BS20" s="23">
        <f t="shared" si="66"/>
        <v>82584.56893672813</v>
      </c>
      <c r="BT20" s="23">
        <f t="shared" si="66"/>
        <v>81758.723247360846</v>
      </c>
      <c r="BU20" s="23">
        <f t="shared" si="66"/>
        <v>80941.136014887234</v>
      </c>
      <c r="BV20" s="23">
        <f t="shared" si="66"/>
        <v>80131.724654738355</v>
      </c>
      <c r="BW20" s="23">
        <f t="shared" si="66"/>
        <v>79330.407408190964</v>
      </c>
      <c r="BX20" s="23">
        <f t="shared" si="66"/>
        <v>78537.103334109052</v>
      </c>
      <c r="BY20" s="23">
        <f t="shared" si="66"/>
        <v>77751.732300767966</v>
      </c>
      <c r="BZ20" s="23">
        <f t="shared" si="66"/>
        <v>76974.21497776029</v>
      </c>
      <c r="CA20" s="23">
        <f t="shared" si="66"/>
        <v>76204.472827982681</v>
      </c>
      <c r="CB20" s="23">
        <f t="shared" si="66"/>
        <v>75442.428099702855</v>
      </c>
      <c r="CC20" s="23">
        <f t="shared" si="66"/>
        <v>74688.003818705824</v>
      </c>
      <c r="CD20" s="23">
        <f t="shared" si="66"/>
        <v>73941.12378051877</v>
      </c>
      <c r="CE20" s="23">
        <f t="shared" si="66"/>
        <v>73201.712542713576</v>
      </c>
      <c r="CF20" s="23">
        <f t="shared" si="66"/>
        <v>72469.695417286435</v>
      </c>
      <c r="CG20" s="23">
        <f t="shared" ref="CG20:DL20" si="67">CF20*(1+$BF$24)</f>
        <v>71744.998463113574</v>
      </c>
      <c r="CH20" s="23">
        <f t="shared" si="67"/>
        <v>71027.548478482437</v>
      </c>
      <c r="CI20" s="23">
        <f t="shared" si="67"/>
        <v>70317.27299369761</v>
      </c>
      <c r="CJ20" s="23">
        <f t="shared" si="67"/>
        <v>69614.100263760629</v>
      </c>
      <c r="CK20" s="23">
        <f t="shared" si="67"/>
        <v>68917.959261123018</v>
      </c>
      <c r="CL20" s="23">
        <f t="shared" si="67"/>
        <v>68228.779668511794</v>
      </c>
      <c r="CM20" s="23">
        <f t="shared" si="67"/>
        <v>67546.491871826671</v>
      </c>
      <c r="CN20" s="23">
        <f t="shared" si="67"/>
        <v>66871.026953108405</v>
      </c>
      <c r="CO20" s="23">
        <f t="shared" si="67"/>
        <v>66202.316683577315</v>
      </c>
      <c r="CP20" s="23">
        <f t="shared" si="67"/>
        <v>65540.293516741542</v>
      </c>
      <c r="CQ20" s="23">
        <f t="shared" si="67"/>
        <v>64884.890581574124</v>
      </c>
      <c r="CR20" s="23">
        <f t="shared" si="67"/>
        <v>64236.041675758381</v>
      </c>
      <c r="CS20" s="23">
        <f t="shared" si="67"/>
        <v>63593.681259000798</v>
      </c>
      <c r="CT20" s="23">
        <f t="shared" si="67"/>
        <v>62957.74444641079</v>
      </c>
      <c r="CU20" s="23">
        <f t="shared" si="67"/>
        <v>62328.167001946684</v>
      </c>
      <c r="CV20" s="23">
        <f t="shared" si="67"/>
        <v>61704.885331927217</v>
      </c>
      <c r="CW20" s="23">
        <f t="shared" si="67"/>
        <v>61087.836478607947</v>
      </c>
      <c r="CX20" s="23">
        <f t="shared" si="67"/>
        <v>60476.958113821871</v>
      </c>
      <c r="CY20" s="23">
        <f t="shared" si="67"/>
        <v>59872.188532683649</v>
      </c>
      <c r="CZ20" s="23">
        <f t="shared" si="67"/>
        <v>59273.466647356814</v>
      </c>
      <c r="DA20" s="23">
        <f t="shared" si="67"/>
        <v>58680.731980883247</v>
      </c>
      <c r="DB20" s="23">
        <f t="shared" si="67"/>
        <v>58093.924661074416</v>
      </c>
      <c r="DC20" s="23">
        <f t="shared" si="67"/>
        <v>57512.98541446367</v>
      </c>
      <c r="DD20" s="23">
        <f t="shared" si="67"/>
        <v>56937.855560319033</v>
      </c>
      <c r="DE20" s="23">
        <f t="shared" si="67"/>
        <v>56368.477004715838</v>
      </c>
      <c r="DF20" s="23">
        <f t="shared" si="67"/>
        <v>55804.792234668683</v>
      </c>
      <c r="DG20" s="23">
        <f t="shared" si="67"/>
        <v>55246.744312321993</v>
      </c>
      <c r="DH20" s="23">
        <f t="shared" si="67"/>
        <v>54694.276869198773</v>
      </c>
      <c r="DI20" s="23">
        <f t="shared" si="67"/>
        <v>54147.334100506785</v>
      </c>
      <c r="DJ20" s="23">
        <f t="shared" si="67"/>
        <v>53605.860759501717</v>
      </c>
      <c r="DK20" s="23">
        <f t="shared" si="67"/>
        <v>53069.802151906697</v>
      </c>
      <c r="DL20" s="23">
        <f t="shared" si="67"/>
        <v>52539.104130387626</v>
      </c>
      <c r="DM20" s="23">
        <f t="shared" ref="DM20:EW20" si="68">DL20*(1+$BF$24)</f>
        <v>52013.713089083751</v>
      </c>
      <c r="DN20" s="23">
        <f t="shared" si="68"/>
        <v>51493.575958192916</v>
      </c>
      <c r="DO20" s="23">
        <f t="shared" si="68"/>
        <v>50978.640198610985</v>
      </c>
      <c r="DP20" s="23">
        <f t="shared" si="68"/>
        <v>50468.853796624877</v>
      </c>
      <c r="DQ20" s="23">
        <f t="shared" si="68"/>
        <v>49964.165258658628</v>
      </c>
      <c r="DR20" s="23">
        <f t="shared" si="68"/>
        <v>49464.523606072042</v>
      </c>
      <c r="DS20" s="23">
        <f t="shared" si="68"/>
        <v>48969.87837001132</v>
      </c>
      <c r="DT20" s="23">
        <f t="shared" si="68"/>
        <v>48480.179586311206</v>
      </c>
      <c r="DU20" s="23">
        <f t="shared" si="68"/>
        <v>47995.377790448096</v>
      </c>
      <c r="DV20" s="23">
        <f t="shared" si="68"/>
        <v>47515.424012543612</v>
      </c>
      <c r="DW20" s="23">
        <f t="shared" si="68"/>
        <v>47040.269772418178</v>
      </c>
      <c r="DX20" s="23">
        <f t="shared" si="68"/>
        <v>46569.867074693997</v>
      </c>
      <c r="DY20" s="23">
        <f t="shared" si="68"/>
        <v>46104.168403947057</v>
      </c>
      <c r="DZ20" s="23">
        <f t="shared" si="68"/>
        <v>45643.126719907588</v>
      </c>
      <c r="EA20" s="23">
        <f t="shared" si="68"/>
        <v>45186.695452708511</v>
      </c>
      <c r="EB20" s="23">
        <f t="shared" si="68"/>
        <v>44734.828498181429</v>
      </c>
      <c r="EC20" s="23">
        <f t="shared" si="68"/>
        <v>44287.480213199611</v>
      </c>
      <c r="ED20" s="23">
        <f t="shared" si="68"/>
        <v>43844.605411067612</v>
      </c>
      <c r="EE20" s="23">
        <f t="shared" si="68"/>
        <v>43406.159356956938</v>
      </c>
      <c r="EF20" s="23">
        <f t="shared" si="68"/>
        <v>42972.09776338737</v>
      </c>
      <c r="EG20" s="23">
        <f t="shared" si="68"/>
        <v>42542.376785753499</v>
      </c>
      <c r="EH20" s="23">
        <f t="shared" si="68"/>
        <v>42116.953017895961</v>
      </c>
      <c r="EI20" s="23">
        <f t="shared" si="68"/>
        <v>41695.783487717003</v>
      </c>
      <c r="EJ20" s="23">
        <f t="shared" si="68"/>
        <v>41278.825652839834</v>
      </c>
      <c r="EK20" s="23">
        <f t="shared" si="68"/>
        <v>40866.037396311433</v>
      </c>
      <c r="EL20" s="23">
        <f t="shared" si="68"/>
        <v>40457.377022348315</v>
      </c>
      <c r="EM20" s="23">
        <f t="shared" si="68"/>
        <v>40052.803252124831</v>
      </c>
      <c r="EN20" s="23">
        <f t="shared" si="68"/>
        <v>39652.27521960358</v>
      </c>
      <c r="EO20" s="23">
        <f t="shared" si="68"/>
        <v>39255.752467407547</v>
      </c>
      <c r="EP20" s="23">
        <f t="shared" si="68"/>
        <v>38863.194942733469</v>
      </c>
      <c r="EQ20" s="23">
        <f t="shared" si="68"/>
        <v>38474.562993306135</v>
      </c>
      <c r="ER20" s="23">
        <f t="shared" si="68"/>
        <v>38089.817363373077</v>
      </c>
      <c r="ES20" s="23">
        <f t="shared" si="68"/>
        <v>37708.919189739347</v>
      </c>
      <c r="ET20" s="23">
        <f t="shared" si="68"/>
        <v>37331.829997841953</v>
      </c>
      <c r="EU20" s="23">
        <f t="shared" si="68"/>
        <v>36958.511697863534</v>
      </c>
      <c r="EV20" s="23">
        <f t="shared" si="68"/>
        <v>36588.926580884901</v>
      </c>
      <c r="EW20" s="23">
        <f t="shared" si="68"/>
        <v>36223.03731507605</v>
      </c>
      <c r="EX20" s="23">
        <f t="shared" ref="EX20:HI20" si="69">EW20*(1+$BF$24)</f>
        <v>35860.806941925286</v>
      </c>
      <c r="EY20" s="23">
        <f t="shared" si="69"/>
        <v>35502.198872506036</v>
      </c>
      <c r="EZ20" s="23">
        <f t="shared" si="69"/>
        <v>35147.176883780972</v>
      </c>
      <c r="FA20" s="23">
        <f t="shared" si="69"/>
        <v>34795.705114943165</v>
      </c>
      <c r="FB20" s="23">
        <f t="shared" si="69"/>
        <v>34447.748063793733</v>
      </c>
      <c r="FC20" s="23">
        <f t="shared" si="69"/>
        <v>34103.270583155798</v>
      </c>
      <c r="FD20" s="23">
        <f t="shared" si="69"/>
        <v>33762.237877324238</v>
      </c>
      <c r="FE20" s="23">
        <f t="shared" si="69"/>
        <v>33424.615498550993</v>
      </c>
      <c r="FF20" s="23">
        <f t="shared" si="69"/>
        <v>33090.369343565486</v>
      </c>
      <c r="FG20" s="23">
        <f t="shared" si="69"/>
        <v>32759.46565012983</v>
      </c>
      <c r="FH20" s="23">
        <f t="shared" si="69"/>
        <v>32431.87099362853</v>
      </c>
      <c r="FI20" s="23">
        <f t="shared" si="69"/>
        <v>32107.552283692246</v>
      </c>
      <c r="FJ20" s="23">
        <f t="shared" si="69"/>
        <v>31786.476760855323</v>
      </c>
      <c r="FK20" s="23">
        <f t="shared" si="69"/>
        <v>31468.61199324677</v>
      </c>
      <c r="FL20" s="23">
        <f t="shared" si="69"/>
        <v>31153.925873314303</v>
      </c>
      <c r="FM20" s="23">
        <f t="shared" si="69"/>
        <v>30842.386614581159</v>
      </c>
      <c r="FN20" s="23">
        <f t="shared" si="69"/>
        <v>30533.962748435348</v>
      </c>
      <c r="FO20" s="23">
        <f t="shared" si="69"/>
        <v>30228.623120950993</v>
      </c>
      <c r="FP20" s="23">
        <f t="shared" si="69"/>
        <v>29926.336889741484</v>
      </c>
      <c r="FQ20" s="23">
        <f t="shared" si="69"/>
        <v>29627.073520844067</v>
      </c>
      <c r="FR20" s="23">
        <f t="shared" si="69"/>
        <v>29330.802785635628</v>
      </c>
      <c r="FS20" s="23">
        <f t="shared" si="69"/>
        <v>29037.49475777927</v>
      </c>
      <c r="FT20" s="23">
        <f t="shared" si="69"/>
        <v>28747.119810201479</v>
      </c>
      <c r="FU20" s="23">
        <f t="shared" si="69"/>
        <v>28459.648612099463</v>
      </c>
      <c r="FV20" s="23">
        <f t="shared" si="69"/>
        <v>28175.052125978469</v>
      </c>
      <c r="FW20" s="23">
        <f t="shared" si="69"/>
        <v>27893.301604718683</v>
      </c>
      <c r="FX20" s="23">
        <f t="shared" si="69"/>
        <v>27614.368588671496</v>
      </c>
      <c r="FY20" s="23">
        <f t="shared" si="69"/>
        <v>27338.224902784779</v>
      </c>
      <c r="FZ20" s="23">
        <f t="shared" si="69"/>
        <v>27064.842653756932</v>
      </c>
      <c r="GA20" s="23">
        <f t="shared" si="69"/>
        <v>26794.194227219363</v>
      </c>
      <c r="GB20" s="23">
        <f t="shared" si="69"/>
        <v>26526.252284947168</v>
      </c>
      <c r="GC20" s="23">
        <f t="shared" si="69"/>
        <v>26260.989762097695</v>
      </c>
      <c r="GD20" s="23">
        <f t="shared" si="69"/>
        <v>25998.379864476719</v>
      </c>
      <c r="GE20" s="23">
        <f t="shared" si="69"/>
        <v>25738.396065831952</v>
      </c>
      <c r="GF20" s="23">
        <f t="shared" si="69"/>
        <v>25481.012105173631</v>
      </c>
      <c r="GG20" s="23">
        <f t="shared" si="69"/>
        <v>25226.201984121893</v>
      </c>
      <c r="GH20" s="23">
        <f t="shared" si="69"/>
        <v>24973.939964280675</v>
      </c>
      <c r="GI20" s="23">
        <f t="shared" si="69"/>
        <v>24724.200564637868</v>
      </c>
      <c r="GJ20" s="23">
        <f t="shared" si="69"/>
        <v>24476.95855899149</v>
      </c>
      <c r="GK20" s="23">
        <f t="shared" si="69"/>
        <v>24232.188973401575</v>
      </c>
      <c r="GL20" s="23">
        <f t="shared" si="69"/>
        <v>23989.867083667559</v>
      </c>
      <c r="GM20" s="23">
        <f t="shared" si="69"/>
        <v>23749.968412830884</v>
      </c>
      <c r="GN20" s="23">
        <f t="shared" si="69"/>
        <v>23512.468728702574</v>
      </c>
      <c r="GO20" s="23">
        <f t="shared" si="69"/>
        <v>23277.344041415548</v>
      </c>
      <c r="GP20" s="23">
        <f t="shared" si="69"/>
        <v>23044.570601001393</v>
      </c>
      <c r="GQ20" s="23">
        <f t="shared" si="69"/>
        <v>22814.124894991379</v>
      </c>
      <c r="GR20" s="23">
        <f t="shared" si="69"/>
        <v>22585.983646041466</v>
      </c>
      <c r="GS20" s="23">
        <f t="shared" si="69"/>
        <v>22360.123809581051</v>
      </c>
      <c r="GT20" s="23">
        <f t="shared" si="69"/>
        <v>22136.522571485242</v>
      </c>
      <c r="GU20" s="23">
        <f t="shared" si="69"/>
        <v>21915.157345770389</v>
      </c>
      <c r="GV20" s="23">
        <f t="shared" si="69"/>
        <v>21696.005772312685</v>
      </c>
      <c r="GW20" s="23">
        <f t="shared" si="69"/>
        <v>21479.045714589556</v>
      </c>
      <c r="GX20" s="23">
        <f t="shared" si="69"/>
        <v>21264.25525744366</v>
      </c>
      <c r="GY20" s="23">
        <f t="shared" si="69"/>
        <v>21051.612704869221</v>
      </c>
      <c r="GZ20" s="23">
        <f t="shared" si="69"/>
        <v>20841.096577820528</v>
      </c>
      <c r="HA20" s="23">
        <f t="shared" si="69"/>
        <v>20632.685612042322</v>
      </c>
      <c r="HB20" s="23">
        <f t="shared" si="69"/>
        <v>20426.358755921898</v>
      </c>
      <c r="HC20" s="23">
        <f t="shared" si="69"/>
        <v>20222.095168362677</v>
      </c>
      <c r="HD20" s="23">
        <f t="shared" si="69"/>
        <v>20019.874216679051</v>
      </c>
      <c r="HE20" s="23">
        <f t="shared" si="69"/>
        <v>19819.67547451226</v>
      </c>
      <c r="HF20" s="23">
        <f t="shared" si="69"/>
        <v>19621.478719767136</v>
      </c>
      <c r="HG20" s="23">
        <f t="shared" si="69"/>
        <v>19425.263932569465</v>
      </c>
      <c r="HH20" s="23">
        <f t="shared" si="69"/>
        <v>19231.01129324377</v>
      </c>
      <c r="HI20" s="23">
        <f t="shared" si="69"/>
        <v>19038.701180311331</v>
      </c>
      <c r="HJ20" s="23">
        <f t="shared" ref="HJ20:IO20" si="70">HI20*(1+$BF$24)</f>
        <v>18848.314168508219</v>
      </c>
      <c r="HK20" s="23">
        <f t="shared" si="70"/>
        <v>18659.831026823136</v>
      </c>
      <c r="HL20" s="23">
        <f t="shared" si="70"/>
        <v>18473.232716554903</v>
      </c>
      <c r="HM20" s="23">
        <f t="shared" si="70"/>
        <v>18288.500389389355</v>
      </c>
      <c r="HN20" s="23">
        <f t="shared" si="70"/>
        <v>18105.615385495461</v>
      </c>
      <c r="HO20" s="23">
        <f t="shared" si="70"/>
        <v>17924.559231640505</v>
      </c>
      <c r="HP20" s="23">
        <f t="shared" si="70"/>
        <v>17745.3136393241</v>
      </c>
      <c r="HQ20" s="23">
        <f t="shared" si="70"/>
        <v>17567.86050293086</v>
      </c>
      <c r="HR20" s="23">
        <f t="shared" si="70"/>
        <v>17392.181897901552</v>
      </c>
      <c r="HS20" s="23">
        <f t="shared" si="70"/>
        <v>17218.260078922536</v>
      </c>
      <c r="HT20" s="23">
        <f t="shared" si="70"/>
        <v>17046.077478133309</v>
      </c>
      <c r="HU20" s="23">
        <f t="shared" si="70"/>
        <v>16875.616703351978</v>
      </c>
      <c r="HV20" s="23">
        <f t="shared" si="70"/>
        <v>16706.860536318458</v>
      </c>
      <c r="HW20" s="23">
        <f t="shared" si="70"/>
        <v>16539.791930955274</v>
      </c>
      <c r="HX20" s="23">
        <f t="shared" si="70"/>
        <v>16374.394011645722</v>
      </c>
      <c r="HY20" s="23">
        <f t="shared" si="70"/>
        <v>16210.650071529264</v>
      </c>
      <c r="HZ20" s="23">
        <f t="shared" si="70"/>
        <v>16048.543570813972</v>
      </c>
      <c r="IA20" s="23">
        <f t="shared" si="70"/>
        <v>15888.058135105832</v>
      </c>
      <c r="IB20" s="23">
        <f t="shared" si="70"/>
        <v>15729.177553754773</v>
      </c>
      <c r="IC20" s="23">
        <f t="shared" si="70"/>
        <v>15571.885778217225</v>
      </c>
      <c r="ID20" s="23">
        <f t="shared" si="70"/>
        <v>15416.166920435053</v>
      </c>
      <c r="IE20" s="23">
        <f t="shared" si="70"/>
        <v>15262.005251230703</v>
      </c>
      <c r="IF20" s="23">
        <f t="shared" si="70"/>
        <v>15109.385198718395</v>
      </c>
      <c r="IG20" s="23">
        <f t="shared" si="70"/>
        <v>14958.291346731212</v>
      </c>
      <c r="IH20" s="23">
        <f t="shared" si="70"/>
        <v>14808.708433263899</v>
      </c>
      <c r="II20" s="23">
        <f t="shared" si="70"/>
        <v>14660.621348931259</v>
      </c>
      <c r="IJ20" s="23">
        <f t="shared" si="70"/>
        <v>14514.015135441947</v>
      </c>
      <c r="IK20" s="23">
        <f t="shared" si="70"/>
        <v>14368.874984087528</v>
      </c>
      <c r="IL20" s="23">
        <f t="shared" si="70"/>
        <v>14225.186234246652</v>
      </c>
      <c r="IM20" s="23">
        <f t="shared" si="70"/>
        <v>14082.934371904186</v>
      </c>
      <c r="IN20" s="23">
        <f t="shared" si="70"/>
        <v>13942.105028185144</v>
      </c>
      <c r="IO20" s="23">
        <f t="shared" si="70"/>
        <v>13802.683977903293</v>
      </c>
      <c r="IP20" s="23">
        <f t="shared" ref="IP20:JP20" si="71">IO20*(1+$BF$24)</f>
        <v>13664.657138124259</v>
      </c>
      <c r="IQ20" s="23">
        <f t="shared" si="71"/>
        <v>13528.010566743016</v>
      </c>
      <c r="IR20" s="23">
        <f t="shared" si="71"/>
        <v>13392.730461075585</v>
      </c>
      <c r="IS20" s="23">
        <f t="shared" si="71"/>
        <v>13258.80315646483</v>
      </c>
      <c r="IT20" s="23">
        <f t="shared" si="71"/>
        <v>13126.215124900182</v>
      </c>
      <c r="IU20" s="23">
        <f t="shared" si="71"/>
        <v>12994.952973651179</v>
      </c>
      <c r="IV20" s="23">
        <f t="shared" si="71"/>
        <v>12865.003443914668</v>
      </c>
      <c r="IW20" s="23">
        <f t="shared" si="71"/>
        <v>12736.353409475521</v>
      </c>
      <c r="IX20" s="23">
        <f t="shared" si="71"/>
        <v>12608.989875380767</v>
      </c>
      <c r="IY20" s="23">
        <f t="shared" si="71"/>
        <v>12482.899976626959</v>
      </c>
      <c r="IZ20" s="23">
        <f t="shared" si="71"/>
        <v>12358.070976860688</v>
      </c>
      <c r="JA20" s="23">
        <f t="shared" si="71"/>
        <v>12234.490267092082</v>
      </c>
      <c r="JB20" s="23">
        <f t="shared" si="71"/>
        <v>12112.145364421162</v>
      </c>
      <c r="JC20" s="23">
        <f t="shared" si="71"/>
        <v>11991.02391077695</v>
      </c>
      <c r="JD20" s="23">
        <f t="shared" si="71"/>
        <v>11871.11367166918</v>
      </c>
      <c r="JE20" s="23">
        <f t="shared" si="71"/>
        <v>11752.402534952487</v>
      </c>
      <c r="JF20" s="23">
        <f t="shared" si="71"/>
        <v>11634.878509602962</v>
      </c>
      <c r="JG20" s="23">
        <f t="shared" si="71"/>
        <v>11518.529724506932</v>
      </c>
      <c r="JH20" s="23">
        <f t="shared" si="71"/>
        <v>11403.344427261864</v>
      </c>
      <c r="JI20" s="23">
        <f t="shared" si="71"/>
        <v>11289.310982989246</v>
      </c>
      <c r="JJ20" s="23">
        <f t="shared" si="71"/>
        <v>11176.417873159353</v>
      </c>
      <c r="JK20" s="23">
        <f t="shared" si="71"/>
        <v>11064.65369442776</v>
      </c>
      <c r="JL20" s="23">
        <f t="shared" si="71"/>
        <v>10954.007157483482</v>
      </c>
      <c r="JM20" s="23">
        <f t="shared" si="71"/>
        <v>10844.467085908647</v>
      </c>
      <c r="JN20" s="23">
        <f t="shared" si="71"/>
        <v>10736.022415049561</v>
      </c>
      <c r="JO20" s="23">
        <f t="shared" si="71"/>
        <v>10628.662190899066</v>
      </c>
      <c r="JP20" s="23">
        <f t="shared" si="71"/>
        <v>10522.375568990075</v>
      </c>
      <c r="JQ20" s="23"/>
      <c r="JR20" s="23"/>
      <c r="JS20" s="23"/>
      <c r="JT20" s="23"/>
      <c r="JU20" s="23"/>
      <c r="JV20" s="23"/>
      <c r="JW20" s="23"/>
      <c r="JX20" s="23"/>
      <c r="JY20" s="23"/>
      <c r="JZ20" s="23"/>
      <c r="KA20" s="23"/>
      <c r="KB20" s="23"/>
      <c r="KC20" s="23"/>
      <c r="KD20" s="23"/>
      <c r="KE20" s="23"/>
      <c r="KF20" s="23"/>
      <c r="KG20" s="23"/>
      <c r="KH20" s="23"/>
      <c r="KI20" s="23"/>
      <c r="KJ20" s="23"/>
      <c r="KK20" s="23"/>
      <c r="KL20" s="23"/>
      <c r="KM20" s="23"/>
      <c r="KN20" s="23"/>
      <c r="KO20" s="23"/>
      <c r="KP20" s="23"/>
      <c r="KQ20" s="23"/>
      <c r="KR20" s="23"/>
      <c r="KS20" s="23"/>
      <c r="KT20" s="23"/>
      <c r="KU20" s="23"/>
      <c r="KV20" s="23"/>
      <c r="KW20" s="23"/>
      <c r="KX20" s="23"/>
      <c r="KY20" s="23"/>
      <c r="KZ20" s="23"/>
      <c r="LA20" s="23"/>
      <c r="LB20" s="23"/>
      <c r="LC20" s="23"/>
      <c r="LD20" s="23"/>
      <c r="LE20" s="23"/>
      <c r="LF20" s="23"/>
      <c r="LG20" s="23"/>
      <c r="LH20" s="23"/>
      <c r="LI20" s="23"/>
      <c r="LJ20" s="23"/>
      <c r="LK20" s="23"/>
      <c r="LL20" s="23"/>
      <c r="LM20" s="23"/>
      <c r="LN20" s="23"/>
      <c r="LO20" s="23"/>
      <c r="LP20" s="23"/>
      <c r="LQ20" s="23"/>
      <c r="LR20" s="23"/>
      <c r="LS20" s="23"/>
      <c r="LT20" s="23"/>
      <c r="LU20" s="23"/>
      <c r="LV20" s="23"/>
      <c r="LW20" s="23"/>
      <c r="LX20" s="23"/>
      <c r="LY20" s="23"/>
      <c r="LZ20" s="23"/>
      <c r="MA20" s="23"/>
      <c r="MB20" s="23"/>
      <c r="MC20" s="23"/>
      <c r="MD20" s="23"/>
      <c r="ME20" s="23"/>
      <c r="MF20" s="23"/>
      <c r="MG20" s="23"/>
      <c r="MH20" s="23"/>
      <c r="MI20" s="23"/>
      <c r="MJ20" s="23"/>
      <c r="MK20" s="23"/>
      <c r="ML20" s="23"/>
      <c r="MM20" s="23"/>
      <c r="MN20" s="23"/>
      <c r="MO20" s="23"/>
      <c r="MP20" s="23"/>
      <c r="MQ20" s="23"/>
      <c r="MR20" s="23"/>
      <c r="MS20" s="23"/>
      <c r="MT20" s="23"/>
      <c r="MU20" s="23"/>
      <c r="MV20" s="23"/>
      <c r="MW20" s="23"/>
      <c r="MX20" s="23"/>
      <c r="MY20" s="23"/>
      <c r="MZ20" s="23"/>
      <c r="NA20" s="23"/>
      <c r="NB20" s="23"/>
      <c r="NC20" s="23"/>
      <c r="ND20" s="23"/>
      <c r="NE20" s="23"/>
      <c r="NF20" s="23"/>
      <c r="NG20" s="23"/>
      <c r="NH20" s="23"/>
      <c r="NI20" s="23"/>
      <c r="NJ20" s="23"/>
      <c r="NK20" s="23"/>
      <c r="NL20" s="23"/>
      <c r="NM20" s="23"/>
      <c r="NN20" s="23"/>
      <c r="NO20" s="23"/>
      <c r="NP20" s="23"/>
      <c r="NQ20" s="23"/>
      <c r="NR20" s="23"/>
      <c r="NS20" s="23"/>
      <c r="NT20" s="23"/>
      <c r="NU20" s="23"/>
      <c r="NV20" s="23"/>
      <c r="NW20" s="23"/>
      <c r="NX20" s="23"/>
      <c r="NY20" s="23"/>
      <c r="NZ20" s="23"/>
      <c r="OA20" s="23"/>
      <c r="OB20" s="23"/>
      <c r="OC20" s="23"/>
      <c r="OD20" s="23"/>
      <c r="OE20" s="23"/>
      <c r="OF20" s="23"/>
      <c r="OG20" s="23"/>
      <c r="OH20" s="23"/>
      <c r="OI20" s="23"/>
      <c r="OJ20" s="23"/>
      <c r="OK20" s="23"/>
      <c r="OL20" s="23"/>
      <c r="OM20" s="23"/>
      <c r="ON20" s="23"/>
      <c r="OO20" s="23"/>
      <c r="OP20" s="23"/>
      <c r="OQ20" s="23"/>
      <c r="OR20" s="23"/>
      <c r="OS20" s="23"/>
      <c r="OT20" s="23"/>
      <c r="OU20" s="23"/>
      <c r="OV20" s="23"/>
      <c r="OW20" s="23"/>
      <c r="OX20" s="23"/>
      <c r="OY20" s="23"/>
      <c r="OZ20" s="23"/>
      <c r="PA20" s="23"/>
      <c r="PB20" s="23"/>
      <c r="PC20" s="23"/>
      <c r="PD20" s="23"/>
      <c r="PE20" s="23"/>
      <c r="PF20" s="23"/>
      <c r="PG20" s="23"/>
      <c r="PH20" s="23"/>
      <c r="PI20" s="23"/>
      <c r="PJ20" s="23"/>
      <c r="PK20" s="23"/>
      <c r="PL20" s="23"/>
      <c r="PM20" s="23"/>
      <c r="PN20" s="23"/>
      <c r="PO20" s="23"/>
      <c r="PP20" s="23"/>
      <c r="PQ20" s="23"/>
      <c r="PR20" s="23"/>
      <c r="PS20" s="23"/>
      <c r="PT20" s="23"/>
      <c r="PU20" s="23"/>
      <c r="PV20" s="23"/>
      <c r="PW20" s="23"/>
      <c r="PX20" s="23"/>
      <c r="PY20" s="23"/>
      <c r="PZ20" s="23"/>
      <c r="QA20" s="23"/>
      <c r="QB20" s="23"/>
      <c r="QC20" s="23"/>
      <c r="QD20" s="23"/>
      <c r="QE20" s="23"/>
      <c r="QF20" s="23"/>
      <c r="QG20" s="23"/>
      <c r="QH20" s="23"/>
      <c r="QI20" s="23"/>
      <c r="QJ20" s="23"/>
      <c r="QK20" s="23"/>
      <c r="QL20" s="23"/>
      <c r="QM20" s="23"/>
      <c r="QN20" s="23"/>
      <c r="QO20" s="23"/>
      <c r="QP20" s="23"/>
      <c r="QQ20" s="23"/>
      <c r="QR20" s="23"/>
      <c r="QS20" s="23"/>
      <c r="QT20" s="23"/>
      <c r="QU20" s="23"/>
      <c r="QV20" s="23"/>
      <c r="QW20" s="23"/>
      <c r="QX20" s="23"/>
      <c r="QY20" s="23"/>
      <c r="QZ20" s="23"/>
      <c r="RA20" s="23"/>
      <c r="RB20" s="23"/>
      <c r="RC20" s="23"/>
      <c r="RD20" s="23"/>
      <c r="RE20" s="23"/>
      <c r="RF20" s="23"/>
      <c r="RG20" s="23"/>
      <c r="RH20" s="23"/>
      <c r="RI20" s="23"/>
      <c r="RJ20" s="23"/>
      <c r="RK20" s="23"/>
      <c r="RL20" s="23"/>
      <c r="RM20" s="23"/>
      <c r="RN20" s="23"/>
      <c r="RO20" s="23"/>
      <c r="RP20" s="23"/>
      <c r="RQ20" s="23"/>
      <c r="RR20" s="23"/>
      <c r="RS20" s="23"/>
      <c r="RT20" s="23"/>
      <c r="RU20" s="23"/>
      <c r="RV20" s="23"/>
      <c r="RW20" s="23"/>
      <c r="RX20" s="23"/>
      <c r="RY20" s="23"/>
      <c r="RZ20" s="23"/>
      <c r="SA20" s="23"/>
      <c r="SB20" s="23"/>
      <c r="SC20" s="23"/>
      <c r="SD20" s="23"/>
      <c r="SE20" s="23"/>
      <c r="SF20" s="23"/>
      <c r="SG20" s="23"/>
      <c r="SH20" s="23"/>
      <c r="SI20" s="23"/>
      <c r="SJ20" s="23"/>
      <c r="SK20" s="23"/>
      <c r="SL20" s="23"/>
      <c r="SM20" s="23"/>
      <c r="SN20" s="23"/>
      <c r="SO20" s="23"/>
      <c r="SP20" s="23"/>
      <c r="SQ20" s="23"/>
      <c r="SR20" s="23"/>
      <c r="SS20" s="23"/>
      <c r="ST20" s="23"/>
      <c r="SU20" s="23"/>
      <c r="SV20" s="23"/>
      <c r="SW20" s="23"/>
      <c r="SX20" s="23"/>
      <c r="SY20" s="23"/>
      <c r="SZ20" s="23"/>
      <c r="TA20" s="23"/>
      <c r="TB20" s="23"/>
      <c r="TC20" s="23"/>
      <c r="TD20" s="23"/>
      <c r="TE20" s="23"/>
      <c r="TF20" s="23"/>
      <c r="TG20" s="23"/>
      <c r="TH20" s="23"/>
      <c r="TI20" s="23"/>
      <c r="TJ20" s="23"/>
      <c r="TK20" s="23"/>
      <c r="TL20" s="23"/>
      <c r="TM20" s="23"/>
      <c r="TN20" s="23"/>
      <c r="TO20" s="23"/>
      <c r="TP20" s="23"/>
      <c r="TQ20" s="23"/>
      <c r="TR20" s="23"/>
      <c r="TS20" s="23"/>
      <c r="TT20" s="23"/>
      <c r="TU20" s="23"/>
      <c r="TV20" s="23"/>
      <c r="TW20" s="23"/>
      <c r="TX20" s="23"/>
      <c r="TY20" s="23"/>
      <c r="TZ20" s="23"/>
      <c r="UA20" s="23"/>
      <c r="UB20" s="23"/>
      <c r="UC20" s="23"/>
      <c r="UD20" s="23"/>
      <c r="UE20" s="23"/>
      <c r="UF20" s="23"/>
      <c r="UG20" s="23"/>
      <c r="UH20" s="23"/>
      <c r="UI20" s="23"/>
      <c r="UJ20" s="23"/>
      <c r="UK20" s="23"/>
      <c r="UL20" s="23"/>
      <c r="UM20" s="23"/>
      <c r="UN20" s="23"/>
      <c r="UO20" s="23"/>
      <c r="UP20" s="23"/>
      <c r="UQ20" s="23"/>
      <c r="UR20" s="23"/>
      <c r="US20" s="23"/>
      <c r="UT20" s="23"/>
      <c r="UU20" s="23"/>
      <c r="UV20" s="23"/>
      <c r="UW20" s="23"/>
      <c r="UX20" s="23"/>
      <c r="UY20" s="23"/>
      <c r="UZ20" s="23"/>
      <c r="VA20" s="23"/>
      <c r="VB20" s="23"/>
      <c r="VC20" s="23"/>
      <c r="VD20" s="23"/>
      <c r="VE20" s="23"/>
      <c r="VF20" s="23"/>
      <c r="VG20" s="23"/>
      <c r="VH20" s="23"/>
      <c r="VI20" s="23"/>
      <c r="VJ20" s="23"/>
      <c r="VK20" s="23"/>
      <c r="VL20" s="23"/>
      <c r="VM20" s="23"/>
      <c r="VN20" s="23"/>
      <c r="VO20" s="23"/>
      <c r="VP20" s="23"/>
      <c r="VQ20" s="23"/>
      <c r="VR20" s="23"/>
      <c r="VS20" s="23"/>
      <c r="VT20" s="23"/>
      <c r="VU20" s="23"/>
      <c r="VV20" s="23"/>
      <c r="VW20" s="23"/>
      <c r="VX20" s="23"/>
      <c r="VY20" s="23"/>
      <c r="VZ20" s="23"/>
      <c r="WA20" s="23"/>
      <c r="WB20" s="23"/>
      <c r="WC20" s="23"/>
      <c r="WD20" s="23"/>
      <c r="WE20" s="23"/>
      <c r="WF20" s="23"/>
      <c r="WG20" s="23"/>
      <c r="WH20" s="23"/>
      <c r="WI20" s="23"/>
      <c r="WJ20" s="23"/>
      <c r="WK20" s="23"/>
      <c r="WL20" s="23"/>
      <c r="WM20" s="23"/>
      <c r="WN20" s="23"/>
      <c r="WO20" s="23"/>
      <c r="WP20" s="23"/>
      <c r="WQ20" s="23"/>
      <c r="WR20" s="23"/>
      <c r="WS20" s="23"/>
      <c r="WT20" s="23"/>
      <c r="WU20" s="23"/>
      <c r="WV20" s="23"/>
      <c r="WW20" s="23"/>
      <c r="WX20" s="23"/>
      <c r="WY20" s="23"/>
      <c r="WZ20" s="23"/>
      <c r="XA20" s="23"/>
      <c r="XB20" s="23"/>
      <c r="XC20" s="23"/>
      <c r="XD20" s="23"/>
      <c r="XE20" s="23"/>
      <c r="XF20" s="23"/>
      <c r="XG20" s="23"/>
      <c r="XH20" s="23"/>
      <c r="XI20" s="23"/>
      <c r="XJ20" s="23"/>
      <c r="XK20" s="23"/>
      <c r="XL20" s="23"/>
      <c r="XM20" s="23"/>
      <c r="XN20" s="23"/>
      <c r="XO20" s="23"/>
      <c r="XP20" s="23"/>
      <c r="XQ20" s="23"/>
      <c r="XR20" s="23"/>
      <c r="XS20" s="23"/>
      <c r="XT20" s="23"/>
      <c r="XU20" s="23"/>
      <c r="XV20" s="23"/>
      <c r="XW20" s="23"/>
      <c r="XX20" s="23"/>
      <c r="XY20" s="23"/>
      <c r="XZ20" s="23"/>
      <c r="YA20" s="23"/>
      <c r="YB20" s="23"/>
      <c r="YC20" s="23"/>
      <c r="YD20" s="23"/>
      <c r="YE20" s="23"/>
      <c r="YF20" s="23"/>
      <c r="YG20" s="23"/>
      <c r="YH20" s="23"/>
      <c r="YI20" s="23"/>
      <c r="YJ20" s="23"/>
      <c r="YK20" s="23"/>
      <c r="YL20" s="23"/>
      <c r="YM20" s="23"/>
      <c r="YN20" s="23"/>
      <c r="YO20" s="23"/>
      <c r="YP20" s="23"/>
      <c r="YQ20" s="23"/>
      <c r="YR20" s="23"/>
      <c r="YS20" s="23"/>
      <c r="YT20" s="23"/>
      <c r="YU20" s="23"/>
      <c r="YV20" s="23"/>
      <c r="YW20" s="23"/>
      <c r="YX20" s="23"/>
      <c r="YY20" s="23"/>
      <c r="YZ20" s="23"/>
      <c r="ZA20" s="23"/>
      <c r="ZB20" s="23"/>
      <c r="ZC20" s="23"/>
      <c r="ZD20" s="23"/>
      <c r="ZE20" s="23"/>
      <c r="ZF20" s="23"/>
      <c r="ZG20" s="23"/>
      <c r="ZH20" s="23"/>
      <c r="ZI20" s="23"/>
      <c r="ZJ20" s="23"/>
      <c r="ZK20" s="23"/>
      <c r="ZL20" s="23"/>
      <c r="ZM20" s="23"/>
      <c r="ZN20" s="23"/>
      <c r="ZO20" s="23"/>
      <c r="ZP20" s="23"/>
      <c r="ZQ20" s="23"/>
      <c r="ZR20" s="23"/>
      <c r="ZS20" s="23"/>
      <c r="ZT20" s="23"/>
      <c r="ZU20" s="23"/>
      <c r="ZV20" s="23"/>
      <c r="ZW20" s="23"/>
      <c r="ZX20" s="23"/>
      <c r="ZY20" s="23"/>
      <c r="ZZ20" s="23"/>
      <c r="AAA20" s="23"/>
      <c r="AAB20" s="23"/>
      <c r="AAC20" s="23"/>
      <c r="AAD20" s="23"/>
      <c r="AAE20" s="23"/>
      <c r="AAF20" s="23"/>
      <c r="AAG20" s="23"/>
      <c r="AAH20" s="23"/>
      <c r="AAI20" s="23"/>
      <c r="AAJ20" s="23"/>
      <c r="AAK20" s="23"/>
      <c r="AAL20" s="23"/>
      <c r="AAM20" s="23"/>
      <c r="AAN20" s="23"/>
      <c r="AAO20" s="23"/>
      <c r="AAP20" s="23"/>
      <c r="AAQ20" s="23"/>
      <c r="AAR20" s="23"/>
      <c r="AAS20" s="23"/>
      <c r="AAT20" s="23"/>
      <c r="AAU20" s="23"/>
      <c r="AAV20" s="23"/>
      <c r="AAW20" s="23"/>
      <c r="AAX20" s="23"/>
      <c r="AAY20" s="23"/>
      <c r="AAZ20" s="23"/>
      <c r="ABA20" s="23"/>
      <c r="ABB20" s="23"/>
      <c r="ABC20" s="23"/>
      <c r="ABD20" s="23"/>
      <c r="ABE20" s="23"/>
      <c r="ABF20" s="23"/>
      <c r="ABG20" s="23"/>
      <c r="ABH20" s="23"/>
      <c r="ABI20" s="23"/>
      <c r="ABJ20" s="23"/>
      <c r="ABK20" s="23"/>
      <c r="ABL20" s="23"/>
      <c r="ABM20" s="23"/>
      <c r="ABN20" s="23"/>
      <c r="ABO20" s="23"/>
      <c r="ABP20" s="23"/>
      <c r="ABQ20" s="23"/>
      <c r="ABR20" s="23"/>
      <c r="ABS20" s="23"/>
      <c r="ABT20" s="23"/>
      <c r="ABU20" s="23"/>
      <c r="ABV20" s="23"/>
      <c r="ABW20" s="23"/>
      <c r="ABX20" s="23"/>
      <c r="ABY20" s="23"/>
      <c r="ABZ20" s="23"/>
      <c r="ACA20" s="23"/>
      <c r="ACB20" s="23"/>
      <c r="ACC20" s="23"/>
      <c r="ACD20" s="23"/>
      <c r="ACE20" s="23"/>
      <c r="ACF20" s="23"/>
      <c r="ACG20" s="23"/>
      <c r="ACH20" s="23"/>
      <c r="ACI20" s="23"/>
      <c r="ACJ20" s="23"/>
      <c r="ACK20" s="23"/>
      <c r="ACL20" s="23"/>
      <c r="ACM20" s="23"/>
      <c r="ACN20" s="23"/>
      <c r="ACO20" s="23"/>
      <c r="ACP20" s="23"/>
      <c r="ACQ20" s="23"/>
      <c r="ACR20" s="23"/>
      <c r="ACS20" s="23"/>
      <c r="ACT20" s="23"/>
      <c r="ACU20" s="23"/>
      <c r="ACV20" s="23"/>
      <c r="ACW20" s="23"/>
      <c r="ACX20" s="23"/>
      <c r="ACY20" s="23"/>
      <c r="ACZ20" s="23"/>
      <c r="ADA20" s="23"/>
      <c r="ADB20" s="23"/>
      <c r="ADC20" s="23"/>
      <c r="ADD20" s="23"/>
      <c r="ADE20" s="23"/>
      <c r="ADF20" s="23"/>
      <c r="ADG20" s="23"/>
      <c r="ADH20" s="23"/>
      <c r="ADI20" s="23"/>
      <c r="ADJ20" s="23"/>
      <c r="ADK20" s="23"/>
      <c r="ADL20" s="23"/>
      <c r="ADM20" s="23"/>
      <c r="ADN20" s="23"/>
      <c r="ADO20" s="23"/>
      <c r="ADP20" s="23"/>
      <c r="ADQ20" s="23"/>
      <c r="ADR20" s="23"/>
      <c r="ADS20" s="23"/>
      <c r="ADT20" s="23"/>
      <c r="ADU20" s="23"/>
      <c r="ADV20" s="23"/>
      <c r="ADW20" s="23"/>
      <c r="ADX20" s="23"/>
      <c r="ADY20" s="23"/>
      <c r="ADZ20" s="23"/>
      <c r="AEA20" s="23"/>
      <c r="AEB20" s="23"/>
      <c r="AEC20" s="23"/>
      <c r="AED20" s="23"/>
      <c r="AEE20" s="23"/>
      <c r="AEF20" s="23"/>
      <c r="AEG20" s="23"/>
      <c r="AEH20" s="23"/>
      <c r="AEI20" s="23"/>
      <c r="AEJ20" s="23"/>
      <c r="AEK20" s="23"/>
      <c r="AEL20" s="23"/>
      <c r="AEM20" s="23"/>
      <c r="AEN20" s="23"/>
      <c r="AEO20" s="23"/>
      <c r="AEP20" s="23"/>
      <c r="AEQ20" s="23"/>
      <c r="AER20" s="23"/>
      <c r="AES20" s="23"/>
      <c r="AET20" s="23"/>
      <c r="AEU20" s="23"/>
      <c r="AEV20" s="23"/>
      <c r="AEW20" s="23"/>
      <c r="AEX20" s="23"/>
      <c r="AEY20" s="23"/>
      <c r="AEZ20" s="23"/>
      <c r="AFA20" s="23"/>
      <c r="AFB20" s="23"/>
      <c r="AFC20" s="23"/>
      <c r="AFD20" s="23"/>
      <c r="AFE20" s="23"/>
      <c r="AFF20" s="23"/>
      <c r="AFG20" s="23"/>
      <c r="AFH20" s="23"/>
      <c r="AFI20" s="23"/>
      <c r="AFJ20" s="23"/>
      <c r="AFK20" s="23"/>
      <c r="AFL20" s="23"/>
      <c r="AFM20" s="23"/>
      <c r="AFN20" s="23"/>
      <c r="AFO20" s="23"/>
      <c r="AFP20" s="23"/>
      <c r="AFQ20" s="23"/>
      <c r="AFR20" s="23"/>
      <c r="AFS20" s="23"/>
      <c r="AFT20" s="23"/>
      <c r="AFU20" s="23"/>
      <c r="AFV20" s="23"/>
      <c r="AFW20" s="23"/>
      <c r="AFX20" s="23"/>
      <c r="AFY20" s="23"/>
      <c r="AFZ20" s="23"/>
      <c r="AGA20" s="23"/>
      <c r="AGB20" s="23"/>
      <c r="AGC20" s="23"/>
      <c r="AGD20" s="23"/>
      <c r="AGE20" s="23"/>
      <c r="AGF20" s="23"/>
      <c r="AGG20" s="23"/>
      <c r="AGH20" s="23"/>
      <c r="AGI20" s="23"/>
      <c r="AGJ20" s="23"/>
      <c r="AGK20" s="23"/>
      <c r="AGL20" s="23"/>
      <c r="AGM20" s="23"/>
      <c r="AGN20" s="23"/>
      <c r="AGO20" s="23"/>
      <c r="AGP20" s="23"/>
      <c r="AGQ20" s="23"/>
      <c r="AGR20" s="23"/>
      <c r="AGS20" s="23"/>
      <c r="AGT20" s="23"/>
      <c r="AGU20" s="23"/>
      <c r="AGV20" s="23"/>
      <c r="AGW20" s="23"/>
      <c r="AGX20" s="23"/>
      <c r="AGY20" s="23"/>
      <c r="AGZ20" s="23"/>
      <c r="AHA20" s="23"/>
      <c r="AHB20" s="23"/>
      <c r="AHC20" s="23"/>
      <c r="AHD20" s="23"/>
      <c r="AHE20" s="23"/>
      <c r="AHF20" s="23"/>
      <c r="AHG20" s="23"/>
      <c r="AHH20" s="23"/>
      <c r="AHI20" s="23"/>
      <c r="AHJ20" s="23"/>
      <c r="AHK20" s="23"/>
      <c r="AHL20" s="23"/>
      <c r="AHM20" s="23"/>
      <c r="AHN20" s="23"/>
      <c r="AHO20" s="23"/>
      <c r="AHP20" s="23"/>
      <c r="AHQ20" s="23"/>
      <c r="AHR20" s="23"/>
      <c r="AHS20" s="23"/>
      <c r="AHT20" s="23"/>
      <c r="AHU20" s="23"/>
      <c r="AHV20" s="23"/>
      <c r="AHW20" s="23"/>
      <c r="AHX20" s="23"/>
      <c r="AHY20" s="23"/>
      <c r="AHZ20" s="23"/>
      <c r="AIA20" s="23"/>
      <c r="AIB20" s="23"/>
      <c r="AIC20" s="23"/>
      <c r="AID20" s="23"/>
      <c r="AIE20" s="23"/>
      <c r="AIF20" s="23"/>
      <c r="AIG20" s="23"/>
      <c r="AIH20" s="23"/>
      <c r="AII20" s="23"/>
      <c r="AIJ20" s="23"/>
      <c r="AIK20" s="23"/>
      <c r="AIL20" s="23"/>
      <c r="AIM20" s="23"/>
      <c r="AIN20" s="23"/>
      <c r="AIO20" s="23"/>
      <c r="AIP20" s="23"/>
      <c r="AIQ20" s="23"/>
      <c r="AIR20" s="23"/>
      <c r="AIS20" s="23"/>
      <c r="AIT20" s="23"/>
      <c r="AIU20" s="23"/>
      <c r="AIV20" s="23"/>
      <c r="AIW20" s="23"/>
      <c r="AIX20" s="23"/>
      <c r="AIY20" s="23"/>
      <c r="AIZ20" s="23"/>
      <c r="AJA20" s="23"/>
      <c r="AJB20" s="23"/>
      <c r="AJC20" s="23"/>
      <c r="AJD20" s="23"/>
      <c r="AJE20" s="23"/>
      <c r="AJF20" s="23"/>
      <c r="AJG20" s="23"/>
      <c r="AJH20" s="23"/>
      <c r="AJI20" s="23"/>
      <c r="AJJ20" s="23"/>
      <c r="AJK20" s="23"/>
      <c r="AJL20" s="23"/>
      <c r="AJM20" s="23"/>
      <c r="AJN20" s="23"/>
      <c r="AJO20" s="23"/>
      <c r="AJP20" s="23"/>
      <c r="AJQ20" s="23"/>
      <c r="AJR20" s="23"/>
      <c r="AJS20" s="23"/>
      <c r="AJT20" s="23"/>
      <c r="AJU20" s="23"/>
      <c r="AJV20" s="23"/>
      <c r="AJW20" s="23"/>
      <c r="AJX20" s="23"/>
      <c r="AJY20" s="23"/>
      <c r="AJZ20" s="23"/>
      <c r="AKA20" s="23"/>
      <c r="AKB20" s="23"/>
      <c r="AKC20" s="23"/>
      <c r="AKD20" s="23"/>
      <c r="AKE20" s="23"/>
      <c r="AKF20" s="23"/>
      <c r="AKG20" s="23"/>
      <c r="AKH20" s="23"/>
      <c r="AKI20" s="23"/>
      <c r="AKJ20" s="23"/>
      <c r="AKK20" s="23"/>
      <c r="AKL20" s="23"/>
      <c r="AKM20" s="23"/>
      <c r="AKN20" s="23"/>
      <c r="AKO20" s="23"/>
      <c r="AKP20" s="23"/>
      <c r="AKQ20" s="23"/>
      <c r="AKR20" s="23"/>
      <c r="AKS20" s="23"/>
      <c r="AKT20" s="23"/>
      <c r="AKU20" s="23"/>
      <c r="AKV20" s="23"/>
      <c r="AKW20" s="23"/>
      <c r="AKX20" s="23"/>
      <c r="AKY20" s="23"/>
      <c r="AKZ20" s="23"/>
      <c r="ALA20" s="23"/>
      <c r="ALB20" s="23"/>
      <c r="ALC20" s="23"/>
      <c r="ALD20" s="23"/>
      <c r="ALE20" s="23"/>
      <c r="ALF20" s="23"/>
      <c r="ALG20" s="23"/>
      <c r="ALH20" s="23"/>
      <c r="ALI20" s="23"/>
      <c r="ALJ20" s="23"/>
      <c r="ALK20" s="23"/>
      <c r="ALL20" s="23"/>
      <c r="ALM20" s="23"/>
      <c r="ALN20" s="23"/>
      <c r="ALO20" s="23"/>
      <c r="ALP20" s="23"/>
      <c r="ALQ20" s="23"/>
      <c r="ALR20" s="23"/>
      <c r="ALS20" s="23"/>
      <c r="ALT20" s="23"/>
      <c r="ALU20" s="23"/>
      <c r="ALV20" s="23"/>
      <c r="ALW20" s="23"/>
      <c r="ALX20" s="23"/>
      <c r="ALY20" s="23"/>
      <c r="ALZ20" s="23"/>
      <c r="AMA20" s="23"/>
      <c r="AMB20" s="23"/>
      <c r="AMC20" s="23"/>
      <c r="AMD20" s="23"/>
      <c r="AME20" s="23"/>
      <c r="AMF20" s="23"/>
      <c r="AMG20" s="23"/>
      <c r="AMH20" s="23"/>
      <c r="AMI20" s="23"/>
      <c r="AMJ20" s="23"/>
      <c r="AMK20" s="23"/>
      <c r="AML20" s="23"/>
      <c r="AMM20" s="23"/>
      <c r="AMN20" s="23"/>
      <c r="AMO20" s="23"/>
      <c r="AMP20" s="23"/>
      <c r="AMQ20" s="23"/>
      <c r="AMR20" s="23"/>
      <c r="AMS20" s="23"/>
      <c r="AMT20" s="23"/>
      <c r="AMU20" s="23"/>
      <c r="AMV20" s="23"/>
      <c r="AMW20" s="23"/>
      <c r="AMX20" s="23"/>
      <c r="AMY20" s="23"/>
      <c r="AMZ20" s="23"/>
      <c r="ANA20" s="23"/>
      <c r="ANB20" s="23"/>
      <c r="ANC20" s="23"/>
      <c r="AND20" s="23"/>
      <c r="ANE20" s="23"/>
      <c r="ANF20" s="23"/>
      <c r="ANG20" s="23"/>
      <c r="ANH20" s="23"/>
      <c r="ANI20" s="23"/>
      <c r="ANJ20" s="23"/>
      <c r="ANK20" s="23"/>
      <c r="ANL20" s="23"/>
      <c r="ANM20" s="23"/>
      <c r="ANN20" s="23"/>
      <c r="ANO20" s="23"/>
      <c r="ANP20" s="23"/>
      <c r="ANQ20" s="23"/>
      <c r="ANR20" s="23"/>
      <c r="ANS20" s="23"/>
      <c r="ANT20" s="23"/>
      <c r="ANU20" s="23"/>
      <c r="ANV20" s="23"/>
      <c r="ANW20" s="23"/>
      <c r="ANX20" s="23"/>
      <c r="ANY20" s="23"/>
      <c r="ANZ20" s="23"/>
      <c r="AOA20" s="23"/>
      <c r="AOB20" s="23"/>
      <c r="AOC20" s="23"/>
      <c r="AOD20" s="23"/>
      <c r="AOE20" s="23"/>
      <c r="AOF20" s="23"/>
      <c r="AOG20" s="23"/>
      <c r="AOH20" s="23"/>
      <c r="AOI20" s="23"/>
      <c r="AOJ20" s="23"/>
      <c r="AOK20" s="23"/>
      <c r="AOL20" s="23"/>
      <c r="AOM20" s="23"/>
      <c r="AON20" s="23"/>
      <c r="AOO20" s="23"/>
      <c r="AOP20" s="23"/>
      <c r="AOQ20" s="23"/>
      <c r="AOR20" s="23"/>
      <c r="AOS20" s="23"/>
      <c r="AOT20" s="23"/>
      <c r="AOU20" s="23"/>
      <c r="AOV20" s="23"/>
      <c r="AOW20" s="23"/>
      <c r="AOX20" s="23"/>
      <c r="AOY20" s="23"/>
      <c r="AOZ20" s="23"/>
      <c r="APA20" s="23"/>
      <c r="APB20" s="23"/>
      <c r="APC20" s="23"/>
      <c r="APD20" s="23"/>
      <c r="APE20" s="23"/>
      <c r="APF20" s="23"/>
      <c r="APG20" s="23"/>
      <c r="APH20" s="23"/>
      <c r="API20" s="23"/>
      <c r="APJ20" s="23"/>
      <c r="APK20" s="23"/>
      <c r="APL20" s="23"/>
      <c r="APM20" s="23"/>
      <c r="APN20" s="23"/>
      <c r="APO20" s="23"/>
      <c r="APP20" s="23"/>
      <c r="APQ20" s="23"/>
      <c r="APR20" s="23"/>
      <c r="APS20" s="23"/>
      <c r="APT20" s="23"/>
      <c r="APU20" s="23"/>
      <c r="APV20" s="23"/>
      <c r="APW20" s="23"/>
      <c r="APX20" s="23"/>
      <c r="APY20" s="23"/>
      <c r="APZ20" s="23"/>
      <c r="AQA20" s="23"/>
      <c r="AQB20" s="23"/>
      <c r="AQC20" s="23"/>
      <c r="AQD20" s="23"/>
      <c r="AQE20" s="23"/>
      <c r="AQF20" s="23"/>
      <c r="AQG20" s="23"/>
      <c r="AQH20" s="23"/>
      <c r="AQI20" s="23"/>
      <c r="AQJ20" s="23"/>
      <c r="AQK20" s="23"/>
      <c r="AQL20" s="23"/>
      <c r="AQM20" s="23"/>
      <c r="AQN20" s="23"/>
      <c r="AQO20" s="23"/>
      <c r="AQP20" s="23"/>
      <c r="AQQ20" s="23"/>
      <c r="AQR20" s="23"/>
      <c r="AQS20" s="23"/>
      <c r="AQT20" s="23"/>
      <c r="AQU20" s="23"/>
      <c r="AQV20" s="23"/>
      <c r="AQW20" s="23"/>
      <c r="AQX20" s="23"/>
      <c r="AQY20" s="23"/>
      <c r="AQZ20" s="23"/>
      <c r="ARA20" s="23"/>
      <c r="ARB20" s="23"/>
      <c r="ARC20" s="23"/>
      <c r="ARD20" s="23"/>
      <c r="ARE20" s="23"/>
      <c r="ARF20" s="23"/>
      <c r="ARG20" s="23"/>
      <c r="ARH20" s="23"/>
      <c r="ARI20" s="23"/>
      <c r="ARJ20" s="23"/>
      <c r="ARK20" s="23"/>
      <c r="ARL20" s="23"/>
      <c r="ARM20" s="23"/>
      <c r="ARN20" s="23"/>
      <c r="ARO20" s="23"/>
      <c r="ARP20" s="23"/>
      <c r="ARQ20" s="23"/>
      <c r="ARR20" s="23"/>
      <c r="ARS20" s="23"/>
      <c r="ART20" s="23"/>
      <c r="ARU20" s="23"/>
      <c r="ARV20" s="23"/>
      <c r="ARW20" s="23"/>
      <c r="ARX20" s="23"/>
      <c r="ARY20" s="23"/>
      <c r="ARZ20" s="23"/>
      <c r="ASA20" s="23"/>
      <c r="ASB20" s="23"/>
      <c r="ASC20" s="23"/>
      <c r="ASD20" s="23"/>
      <c r="ASE20" s="23"/>
      <c r="ASF20" s="23"/>
      <c r="ASG20" s="23"/>
      <c r="ASH20" s="23"/>
      <c r="ASI20" s="23"/>
      <c r="ASJ20" s="23"/>
      <c r="ASK20" s="23"/>
      <c r="ASL20" s="23"/>
      <c r="ASM20" s="23"/>
      <c r="ASN20" s="23"/>
      <c r="ASO20" s="23"/>
      <c r="ASP20" s="23"/>
      <c r="ASQ20" s="23"/>
      <c r="ASR20" s="23"/>
      <c r="ASS20" s="23"/>
      <c r="AST20" s="23"/>
      <c r="ASU20" s="23"/>
      <c r="ASV20" s="23"/>
      <c r="ASW20" s="23"/>
      <c r="ASX20" s="23"/>
      <c r="ASY20" s="23"/>
      <c r="ASZ20" s="23"/>
      <c r="ATA20" s="23"/>
      <c r="ATB20" s="23"/>
      <c r="ATC20" s="23"/>
      <c r="ATD20" s="23"/>
      <c r="ATE20" s="23"/>
      <c r="ATF20" s="23"/>
      <c r="ATG20" s="23"/>
      <c r="ATH20" s="23"/>
      <c r="ATI20" s="23"/>
      <c r="ATJ20" s="23"/>
      <c r="ATK20" s="23"/>
      <c r="ATL20" s="23"/>
      <c r="ATM20" s="23"/>
      <c r="ATN20" s="23"/>
      <c r="ATO20" s="23"/>
      <c r="ATP20" s="23"/>
      <c r="ATQ20" s="23"/>
      <c r="ATR20" s="23"/>
      <c r="ATS20" s="23"/>
      <c r="ATT20" s="23"/>
      <c r="ATU20" s="23"/>
      <c r="ATV20" s="23"/>
      <c r="ATW20" s="23"/>
      <c r="ATX20" s="23"/>
      <c r="ATY20" s="23"/>
      <c r="ATZ20" s="23"/>
      <c r="AUA20" s="23"/>
      <c r="AUB20" s="23"/>
      <c r="AUC20" s="23"/>
      <c r="AUD20" s="23"/>
      <c r="AUE20" s="23"/>
      <c r="AUF20" s="23"/>
      <c r="AUG20" s="23"/>
      <c r="AUH20" s="23"/>
      <c r="AUI20" s="23"/>
      <c r="AUJ20" s="23"/>
      <c r="AUK20" s="23"/>
      <c r="AUL20" s="23"/>
      <c r="AUM20" s="23"/>
      <c r="AUN20" s="23"/>
      <c r="AUO20" s="23"/>
      <c r="AUP20" s="23"/>
      <c r="AUQ20" s="23"/>
      <c r="AUR20" s="23"/>
      <c r="AUS20" s="23"/>
      <c r="AUT20" s="23"/>
      <c r="AUU20" s="23"/>
      <c r="AUV20" s="23"/>
      <c r="AUW20" s="23"/>
      <c r="AUX20" s="23"/>
      <c r="AUY20" s="23"/>
      <c r="AUZ20" s="23"/>
      <c r="AVA20" s="23"/>
      <c r="AVB20" s="23"/>
      <c r="AVC20" s="23"/>
      <c r="AVD20" s="23"/>
      <c r="AVE20" s="23"/>
      <c r="AVF20" s="23"/>
      <c r="AVG20" s="23"/>
      <c r="AVH20" s="23"/>
      <c r="AVI20" s="23"/>
      <c r="AVJ20" s="23"/>
      <c r="AVK20" s="23"/>
      <c r="AVL20" s="23"/>
      <c r="AVM20" s="23"/>
      <c r="AVN20" s="23"/>
      <c r="AVO20" s="23"/>
      <c r="AVP20" s="23"/>
      <c r="AVQ20" s="23"/>
      <c r="AVR20" s="23"/>
      <c r="AVS20" s="23"/>
      <c r="AVT20" s="23"/>
      <c r="AVU20" s="23"/>
      <c r="AVV20" s="23"/>
      <c r="AVW20" s="23"/>
      <c r="AVX20" s="23"/>
      <c r="AVY20" s="23"/>
      <c r="AVZ20" s="23"/>
      <c r="AWA20" s="23"/>
      <c r="AWB20" s="23"/>
      <c r="AWC20" s="23"/>
      <c r="AWD20" s="23"/>
      <c r="AWE20" s="23"/>
      <c r="AWF20" s="23"/>
      <c r="AWG20" s="23"/>
      <c r="AWH20" s="23"/>
      <c r="AWI20" s="23"/>
      <c r="AWJ20" s="23"/>
      <c r="AWK20" s="23"/>
      <c r="AWL20" s="23"/>
      <c r="AWM20" s="23"/>
      <c r="AWN20" s="23"/>
      <c r="AWO20" s="23"/>
      <c r="AWP20" s="23"/>
      <c r="AWQ20" s="23"/>
      <c r="AWR20" s="23"/>
      <c r="AWS20" s="23"/>
      <c r="AWT20" s="23"/>
      <c r="AWU20" s="23"/>
      <c r="AWV20" s="23"/>
      <c r="AWW20" s="23"/>
      <c r="AWX20" s="23"/>
      <c r="AWY20" s="23"/>
      <c r="AWZ20" s="23"/>
      <c r="AXA20" s="23"/>
      <c r="AXB20" s="23"/>
      <c r="AXC20" s="23"/>
      <c r="AXD20" s="23"/>
      <c r="AXE20" s="23"/>
      <c r="AXF20" s="23"/>
      <c r="AXG20" s="23"/>
      <c r="AXH20" s="23"/>
      <c r="AXI20" s="23"/>
      <c r="AXJ20" s="23"/>
      <c r="AXK20" s="23"/>
      <c r="AXL20" s="23"/>
      <c r="AXM20" s="23"/>
      <c r="AXN20" s="23"/>
      <c r="AXO20" s="23"/>
      <c r="AXP20" s="23"/>
      <c r="AXQ20" s="23"/>
      <c r="AXR20" s="23"/>
      <c r="AXS20" s="23"/>
      <c r="AXT20" s="23"/>
      <c r="AXU20" s="23"/>
      <c r="AXV20" s="23"/>
      <c r="AXW20" s="23"/>
      <c r="AXX20" s="23"/>
      <c r="AXY20" s="23"/>
      <c r="AXZ20" s="23"/>
      <c r="AYA20" s="23"/>
      <c r="AYB20" s="23"/>
      <c r="AYC20" s="23"/>
      <c r="AYD20" s="23"/>
      <c r="AYE20" s="23"/>
      <c r="AYF20" s="23"/>
      <c r="AYG20" s="23"/>
      <c r="AYH20" s="23"/>
      <c r="AYI20" s="23"/>
      <c r="AYJ20" s="23"/>
      <c r="AYK20" s="23"/>
      <c r="AYL20" s="23"/>
      <c r="AYM20" s="23"/>
      <c r="AYN20" s="23"/>
      <c r="AYO20" s="23"/>
      <c r="AYP20" s="23"/>
      <c r="AYQ20" s="23"/>
      <c r="AYR20" s="23"/>
      <c r="AYS20" s="23"/>
      <c r="AYT20" s="23"/>
      <c r="AYU20" s="23"/>
      <c r="AYV20" s="23"/>
      <c r="AYW20" s="23"/>
      <c r="AYX20" s="23"/>
      <c r="AYY20" s="23"/>
      <c r="AYZ20" s="23"/>
      <c r="AZA20" s="23"/>
      <c r="AZB20" s="23"/>
      <c r="AZC20" s="23"/>
      <c r="AZD20" s="23"/>
      <c r="AZE20" s="23"/>
      <c r="AZF20" s="23"/>
      <c r="AZG20" s="23"/>
      <c r="AZH20" s="23"/>
      <c r="AZI20" s="23"/>
      <c r="AZJ20" s="23"/>
      <c r="AZK20" s="23"/>
      <c r="AZL20" s="23"/>
      <c r="AZM20" s="23"/>
      <c r="AZN20" s="23"/>
      <c r="AZO20" s="23"/>
      <c r="AZP20" s="23"/>
      <c r="AZQ20" s="23"/>
      <c r="AZR20" s="23"/>
      <c r="AZS20" s="23"/>
      <c r="AZT20" s="23"/>
      <c r="AZU20" s="23"/>
      <c r="AZV20" s="23"/>
      <c r="AZW20" s="23"/>
      <c r="AZX20" s="23"/>
      <c r="AZY20" s="23"/>
      <c r="AZZ20" s="23"/>
      <c r="BAA20" s="23"/>
      <c r="BAB20" s="23"/>
      <c r="BAC20" s="23"/>
      <c r="BAD20" s="23"/>
      <c r="BAE20" s="23"/>
      <c r="BAF20" s="23"/>
      <c r="BAG20" s="23"/>
      <c r="BAH20" s="23"/>
      <c r="BAI20" s="23"/>
      <c r="BAJ20" s="23"/>
      <c r="BAK20" s="23"/>
      <c r="BAL20" s="23"/>
      <c r="BAM20" s="23"/>
      <c r="BAN20" s="23"/>
      <c r="BAO20" s="23"/>
      <c r="BAP20" s="23"/>
      <c r="BAQ20" s="23"/>
      <c r="BAR20" s="23"/>
      <c r="BAS20" s="23"/>
      <c r="BAT20" s="23"/>
      <c r="BAU20" s="23"/>
      <c r="BAV20" s="23"/>
      <c r="BAW20" s="23"/>
      <c r="BAX20" s="23"/>
      <c r="BAY20" s="23"/>
      <c r="BAZ20" s="23"/>
      <c r="BBA20" s="23"/>
      <c r="BBB20" s="23"/>
      <c r="BBC20" s="23"/>
      <c r="BBD20" s="23"/>
      <c r="BBE20" s="23"/>
      <c r="BBF20" s="23"/>
      <c r="BBG20" s="23"/>
      <c r="BBH20" s="23"/>
      <c r="BBI20" s="23"/>
      <c r="BBJ20" s="23"/>
      <c r="BBK20" s="23"/>
      <c r="BBL20" s="23"/>
      <c r="BBM20" s="23"/>
      <c r="BBN20" s="23"/>
      <c r="BBO20" s="23"/>
      <c r="BBP20" s="23"/>
      <c r="BBQ20" s="23"/>
      <c r="BBR20" s="23"/>
      <c r="BBS20" s="23"/>
      <c r="BBT20" s="23"/>
      <c r="BBU20" s="23"/>
      <c r="BBV20" s="23"/>
      <c r="BBW20" s="23"/>
      <c r="BBX20" s="23"/>
      <c r="BBY20" s="23"/>
      <c r="BBZ20" s="23"/>
      <c r="BCA20" s="23"/>
      <c r="BCB20" s="23"/>
      <c r="BCC20" s="23"/>
      <c r="BCD20" s="23"/>
      <c r="BCE20" s="23"/>
      <c r="BCF20" s="23"/>
      <c r="BCG20" s="23"/>
      <c r="BCH20" s="23"/>
      <c r="BCI20" s="23"/>
      <c r="BCJ20" s="23"/>
      <c r="BCK20" s="23"/>
      <c r="BCL20" s="23"/>
      <c r="BCM20" s="23"/>
      <c r="BCN20" s="23"/>
      <c r="BCO20" s="23"/>
      <c r="BCP20" s="23"/>
      <c r="BCQ20" s="23"/>
      <c r="BCR20" s="23"/>
      <c r="BCS20" s="23"/>
      <c r="BCT20" s="23"/>
      <c r="BCU20" s="23"/>
      <c r="BCV20" s="23"/>
      <c r="BCW20" s="23"/>
      <c r="BCX20" s="23"/>
      <c r="BCY20" s="23"/>
      <c r="BCZ20" s="23"/>
      <c r="BDA20" s="23"/>
      <c r="BDB20" s="23"/>
      <c r="BDC20" s="23"/>
      <c r="BDD20" s="23"/>
      <c r="BDE20" s="23"/>
      <c r="BDF20" s="23"/>
      <c r="BDG20" s="23"/>
      <c r="BDH20" s="23"/>
      <c r="BDI20" s="23"/>
      <c r="BDJ20" s="23"/>
      <c r="BDK20" s="23"/>
      <c r="BDL20" s="23"/>
      <c r="BDM20" s="23"/>
      <c r="BDN20" s="23"/>
      <c r="BDO20" s="23"/>
      <c r="BDP20" s="23"/>
      <c r="BDQ20" s="23"/>
      <c r="BDR20" s="23"/>
      <c r="BDS20" s="23"/>
      <c r="BDT20" s="23"/>
      <c r="BDU20" s="23"/>
      <c r="BDV20" s="23"/>
      <c r="BDW20" s="23"/>
      <c r="BDX20" s="23"/>
      <c r="BDY20" s="23"/>
      <c r="BDZ20" s="23"/>
      <c r="BEA20" s="23"/>
      <c r="BEB20" s="23"/>
      <c r="BEC20" s="23"/>
      <c r="BED20" s="23"/>
      <c r="BEE20" s="23"/>
      <c r="BEF20" s="23"/>
      <c r="BEG20" s="23"/>
      <c r="BEH20" s="23"/>
      <c r="BEI20" s="23"/>
      <c r="BEJ20" s="23"/>
      <c r="BEK20" s="23"/>
      <c r="BEL20" s="23"/>
      <c r="BEM20" s="23"/>
      <c r="BEN20" s="23"/>
      <c r="BEO20" s="23"/>
      <c r="BEP20" s="23"/>
      <c r="BEQ20" s="23"/>
      <c r="BER20" s="23"/>
      <c r="BES20" s="23"/>
      <c r="BET20" s="23"/>
      <c r="BEU20" s="23"/>
      <c r="BEV20" s="23"/>
      <c r="BEW20" s="23"/>
      <c r="BEX20" s="23"/>
      <c r="BEY20" s="23"/>
      <c r="BEZ20" s="23"/>
      <c r="BFA20" s="23"/>
      <c r="BFB20" s="23"/>
      <c r="BFC20" s="23"/>
      <c r="BFD20" s="23"/>
      <c r="BFE20" s="23"/>
      <c r="BFF20" s="23"/>
      <c r="BFG20" s="23"/>
      <c r="BFH20" s="23"/>
      <c r="BFI20" s="23"/>
      <c r="BFJ20" s="23"/>
      <c r="BFK20" s="23"/>
      <c r="BFL20" s="23"/>
      <c r="BFM20" s="23"/>
      <c r="BFN20" s="23"/>
      <c r="BFO20" s="23"/>
      <c r="BFP20" s="23"/>
      <c r="BFQ20" s="23"/>
      <c r="BFR20" s="23"/>
      <c r="BFS20" s="23"/>
      <c r="BFT20" s="23"/>
      <c r="BFU20" s="23"/>
      <c r="BFV20" s="23"/>
      <c r="BFW20" s="23"/>
      <c r="BFX20" s="23"/>
      <c r="BFY20" s="23"/>
      <c r="BFZ20" s="23"/>
      <c r="BGA20" s="23"/>
      <c r="BGB20" s="23"/>
      <c r="BGC20" s="23"/>
      <c r="BGD20" s="23"/>
      <c r="BGE20" s="23"/>
      <c r="BGF20" s="23"/>
      <c r="BGG20" s="23"/>
      <c r="BGH20" s="23"/>
      <c r="BGI20" s="23"/>
      <c r="BGJ20" s="23"/>
      <c r="BGK20" s="23"/>
      <c r="BGL20" s="23"/>
      <c r="BGM20" s="23"/>
      <c r="BGN20" s="23"/>
      <c r="BGO20" s="23"/>
      <c r="BGP20" s="23"/>
      <c r="BGQ20" s="23"/>
      <c r="BGR20" s="23"/>
      <c r="BGS20" s="23"/>
      <c r="BGT20" s="23"/>
      <c r="BGU20" s="23"/>
      <c r="BGV20" s="23"/>
      <c r="BGW20" s="23"/>
      <c r="BGX20" s="23"/>
      <c r="BGY20" s="23"/>
      <c r="BGZ20" s="23"/>
      <c r="BHA20" s="23"/>
      <c r="BHB20" s="23"/>
      <c r="BHC20" s="23"/>
      <c r="BHD20" s="23"/>
      <c r="BHE20" s="23"/>
      <c r="BHF20" s="23"/>
      <c r="BHG20" s="23"/>
      <c r="BHH20" s="23"/>
      <c r="BHI20" s="23"/>
      <c r="BHJ20" s="23"/>
      <c r="BHK20" s="23"/>
      <c r="BHL20" s="23"/>
      <c r="BHM20" s="23"/>
      <c r="BHN20" s="23"/>
      <c r="BHO20" s="23"/>
      <c r="BHP20" s="23"/>
      <c r="BHQ20" s="23"/>
      <c r="BHR20" s="23"/>
      <c r="BHS20" s="23"/>
      <c r="BHT20" s="23"/>
      <c r="BHU20" s="23"/>
      <c r="BHV20" s="23"/>
      <c r="BHW20" s="23"/>
      <c r="BHX20" s="23"/>
      <c r="BHY20" s="23"/>
      <c r="BHZ20" s="23"/>
      <c r="BIA20" s="23"/>
      <c r="BIB20" s="23"/>
      <c r="BIC20" s="23"/>
      <c r="BID20" s="23"/>
      <c r="BIE20" s="23"/>
      <c r="BIF20" s="23"/>
      <c r="BIG20" s="23"/>
      <c r="BIH20" s="23"/>
      <c r="BII20" s="23"/>
      <c r="BIJ20" s="23"/>
      <c r="BIK20" s="23"/>
      <c r="BIL20" s="23"/>
      <c r="BIM20" s="23"/>
      <c r="BIN20" s="23"/>
      <c r="BIO20" s="23"/>
      <c r="BIP20" s="23"/>
      <c r="BIQ20" s="23"/>
      <c r="BIR20" s="23"/>
      <c r="BIS20" s="23"/>
      <c r="BIT20" s="23"/>
      <c r="BIU20" s="23"/>
      <c r="BIV20" s="23"/>
      <c r="BIW20" s="23"/>
      <c r="BIX20" s="23"/>
      <c r="BIY20" s="23"/>
      <c r="BIZ20" s="23"/>
      <c r="BJA20" s="23"/>
      <c r="BJB20" s="23"/>
      <c r="BJC20" s="23"/>
      <c r="BJD20" s="23"/>
      <c r="BJE20" s="23"/>
      <c r="BJF20" s="23"/>
      <c r="BJG20" s="23"/>
      <c r="BJH20" s="23"/>
      <c r="BJI20" s="23"/>
      <c r="BJJ20" s="23"/>
      <c r="BJK20" s="23"/>
      <c r="BJL20" s="23"/>
      <c r="BJM20" s="23"/>
      <c r="BJN20" s="23"/>
      <c r="BJO20" s="23"/>
      <c r="BJP20" s="23"/>
      <c r="BJQ20" s="23"/>
      <c r="BJR20" s="23"/>
      <c r="BJS20" s="23"/>
      <c r="BJT20" s="23"/>
      <c r="BJU20" s="23"/>
      <c r="BJV20" s="23"/>
      <c r="BJW20" s="23"/>
      <c r="BJX20" s="23"/>
      <c r="BJY20" s="23"/>
      <c r="BJZ20" s="23"/>
      <c r="BKA20" s="23"/>
      <c r="BKB20" s="23"/>
      <c r="BKC20" s="23"/>
      <c r="BKD20" s="23"/>
      <c r="BKE20" s="23"/>
      <c r="BKF20" s="23"/>
      <c r="BKG20" s="23"/>
      <c r="BKH20" s="23"/>
      <c r="BKI20" s="23"/>
      <c r="BKJ20" s="23"/>
      <c r="BKK20" s="23"/>
      <c r="BKL20" s="23"/>
      <c r="BKM20" s="23"/>
      <c r="BKN20" s="23"/>
      <c r="BKO20" s="23"/>
      <c r="BKP20" s="23"/>
      <c r="BKQ20" s="23"/>
      <c r="BKR20" s="23"/>
      <c r="BKS20" s="23"/>
      <c r="BKT20" s="23"/>
      <c r="BKU20" s="23"/>
      <c r="BKV20" s="23"/>
      <c r="BKW20" s="23"/>
      <c r="BKX20" s="23"/>
      <c r="BKY20" s="23"/>
      <c r="BKZ20" s="23"/>
      <c r="BLA20" s="23"/>
      <c r="BLB20" s="23"/>
      <c r="BLC20" s="23"/>
      <c r="BLD20" s="23"/>
      <c r="BLE20" s="23"/>
      <c r="BLF20" s="23"/>
      <c r="BLG20" s="23"/>
      <c r="BLH20" s="23"/>
      <c r="BLI20" s="23"/>
      <c r="BLJ20" s="23"/>
      <c r="BLK20" s="23"/>
      <c r="BLL20" s="23"/>
      <c r="BLM20" s="23"/>
      <c r="BLN20" s="23"/>
      <c r="BLO20" s="23"/>
      <c r="BLP20" s="23"/>
      <c r="BLQ20" s="23"/>
      <c r="BLR20" s="23"/>
      <c r="BLS20" s="23"/>
      <c r="BLT20" s="23"/>
      <c r="BLU20" s="23"/>
      <c r="BLV20" s="23"/>
      <c r="BLW20" s="23"/>
      <c r="BLX20" s="23"/>
      <c r="BLY20" s="23"/>
      <c r="BLZ20" s="23"/>
      <c r="BMA20" s="23"/>
      <c r="BMB20" s="23"/>
      <c r="BMC20" s="23"/>
      <c r="BMD20" s="23"/>
      <c r="BME20" s="23"/>
      <c r="BMF20" s="23"/>
      <c r="BMG20" s="23"/>
      <c r="BMH20" s="23"/>
      <c r="BMI20" s="23"/>
      <c r="BMJ20" s="23"/>
      <c r="BMK20" s="23"/>
      <c r="BML20" s="23"/>
      <c r="BMM20" s="23"/>
      <c r="BMN20" s="23"/>
      <c r="BMO20" s="23"/>
      <c r="BMP20" s="23"/>
      <c r="BMQ20" s="23"/>
      <c r="BMR20" s="23"/>
      <c r="BMS20" s="23"/>
      <c r="BMT20" s="23"/>
      <c r="BMU20" s="23"/>
      <c r="BMV20" s="23"/>
      <c r="BMW20" s="23"/>
      <c r="BMX20" s="23"/>
      <c r="BMY20" s="23"/>
      <c r="BMZ20" s="23"/>
      <c r="BNA20" s="23"/>
      <c r="BNB20" s="23"/>
      <c r="BNC20" s="23"/>
      <c r="BND20" s="23"/>
      <c r="BNE20" s="23"/>
      <c r="BNF20" s="23"/>
      <c r="BNG20" s="23"/>
      <c r="BNH20" s="23"/>
      <c r="BNI20" s="23"/>
      <c r="BNJ20" s="23"/>
      <c r="BNK20" s="23"/>
      <c r="BNL20" s="23"/>
      <c r="BNM20" s="23"/>
      <c r="BNN20" s="23"/>
      <c r="BNO20" s="23"/>
      <c r="BNP20" s="23"/>
      <c r="BNQ20" s="23"/>
      <c r="BNR20" s="23"/>
      <c r="BNS20" s="23"/>
      <c r="BNT20" s="23"/>
      <c r="BNU20" s="23"/>
      <c r="BNV20" s="23"/>
      <c r="BNW20" s="23"/>
      <c r="BNX20" s="23"/>
      <c r="BNY20" s="23"/>
      <c r="BNZ20" s="23"/>
      <c r="BOA20" s="23"/>
      <c r="BOB20" s="23"/>
      <c r="BOC20" s="23"/>
      <c r="BOD20" s="23"/>
      <c r="BOE20" s="23"/>
      <c r="BOF20" s="23"/>
      <c r="BOG20" s="23"/>
      <c r="BOH20" s="23"/>
      <c r="BOI20" s="23"/>
      <c r="BOJ20" s="23"/>
      <c r="BOK20" s="23"/>
      <c r="BOL20" s="23"/>
      <c r="BOM20" s="23"/>
      <c r="BON20" s="23"/>
      <c r="BOO20" s="23"/>
      <c r="BOP20" s="23"/>
      <c r="BOQ20" s="23"/>
      <c r="BOR20" s="23"/>
      <c r="BOS20" s="23"/>
      <c r="BOT20" s="23"/>
      <c r="BOU20" s="23"/>
      <c r="BOV20" s="23"/>
      <c r="BOW20" s="23"/>
      <c r="BOX20" s="23"/>
      <c r="BOY20" s="23"/>
      <c r="BOZ20" s="23"/>
      <c r="BPA20" s="23"/>
      <c r="BPB20" s="23"/>
      <c r="BPC20" s="23"/>
      <c r="BPD20" s="23"/>
      <c r="BPE20" s="23"/>
      <c r="BPF20" s="23"/>
      <c r="BPG20" s="23"/>
      <c r="BPH20" s="23"/>
      <c r="BPI20" s="23"/>
      <c r="BPJ20" s="23"/>
      <c r="BPK20" s="23"/>
      <c r="BPL20" s="23"/>
      <c r="BPM20" s="23"/>
      <c r="BPN20" s="23"/>
      <c r="BPO20" s="23"/>
      <c r="BPP20" s="23"/>
      <c r="BPQ20" s="23"/>
      <c r="BPR20" s="23"/>
      <c r="BPS20" s="23"/>
      <c r="BPT20" s="23"/>
      <c r="BPU20" s="23"/>
      <c r="BPV20" s="23"/>
      <c r="BPW20" s="23"/>
      <c r="BPX20" s="23"/>
      <c r="BPY20" s="23"/>
      <c r="BPZ20" s="23"/>
      <c r="BQA20" s="23"/>
      <c r="BQB20" s="23"/>
      <c r="BQC20" s="23"/>
      <c r="BQD20" s="23"/>
      <c r="BQE20" s="23"/>
      <c r="BQF20" s="23"/>
      <c r="BQG20" s="23"/>
      <c r="BQH20" s="23"/>
      <c r="BQI20" s="23"/>
      <c r="BQJ20" s="23"/>
      <c r="BQK20" s="23"/>
      <c r="BQL20" s="23"/>
      <c r="BQM20" s="23"/>
      <c r="BQN20" s="23"/>
      <c r="BQO20" s="23"/>
      <c r="BQP20" s="23"/>
      <c r="BQQ20" s="23"/>
      <c r="BQR20" s="23"/>
      <c r="BQS20" s="23"/>
      <c r="BQT20" s="23"/>
      <c r="BQU20" s="23"/>
      <c r="BQV20" s="23"/>
      <c r="BQW20" s="23"/>
      <c r="BQX20" s="23"/>
      <c r="BQY20" s="23"/>
      <c r="BQZ20" s="23"/>
      <c r="BRA20" s="23"/>
      <c r="BRB20" s="23"/>
      <c r="BRC20" s="23"/>
      <c r="BRD20" s="23"/>
      <c r="BRE20" s="23"/>
      <c r="BRF20" s="23"/>
      <c r="BRG20" s="23"/>
      <c r="BRH20" s="23"/>
      <c r="BRI20" s="23"/>
      <c r="BRJ20" s="23"/>
      <c r="BRK20" s="23"/>
      <c r="BRL20" s="23"/>
      <c r="BRM20" s="23"/>
      <c r="BRN20" s="23"/>
      <c r="BRO20" s="23"/>
      <c r="BRP20" s="23"/>
      <c r="BRQ20" s="23"/>
      <c r="BRR20" s="23"/>
      <c r="BRS20" s="23"/>
      <c r="BRT20" s="23"/>
      <c r="BRU20" s="23"/>
      <c r="BRV20" s="23"/>
      <c r="BRW20" s="23"/>
      <c r="BRX20" s="23"/>
      <c r="BRY20" s="23"/>
      <c r="BRZ20" s="23"/>
      <c r="BSA20" s="23"/>
      <c r="BSB20" s="23"/>
      <c r="BSC20" s="23"/>
      <c r="BSD20" s="23"/>
      <c r="BSE20" s="23"/>
      <c r="BSF20" s="23"/>
      <c r="BSG20" s="23"/>
      <c r="BSH20" s="23"/>
      <c r="BSI20" s="23"/>
      <c r="BSJ20" s="23"/>
      <c r="BSK20" s="23"/>
      <c r="BSL20" s="23"/>
      <c r="BSM20" s="23"/>
      <c r="BSN20" s="23"/>
      <c r="BSO20" s="23"/>
      <c r="BSP20" s="23"/>
      <c r="BSQ20" s="23"/>
      <c r="BSR20" s="23"/>
      <c r="BSS20" s="23"/>
      <c r="BST20" s="23"/>
      <c r="BSU20" s="23"/>
      <c r="BSV20" s="23"/>
      <c r="BSW20" s="23"/>
      <c r="BSX20" s="23"/>
      <c r="BSY20" s="23"/>
      <c r="BSZ20" s="23"/>
      <c r="BTA20" s="23"/>
      <c r="BTB20" s="23"/>
      <c r="BTC20" s="23"/>
      <c r="BTD20" s="23"/>
      <c r="BTE20" s="23"/>
      <c r="BTF20" s="23"/>
      <c r="BTG20" s="23"/>
      <c r="BTH20" s="23"/>
      <c r="BTI20" s="23"/>
      <c r="BTJ20" s="23"/>
      <c r="BTK20" s="23"/>
      <c r="BTL20" s="23"/>
      <c r="BTM20" s="23"/>
      <c r="BTN20" s="23"/>
      <c r="BTO20" s="23"/>
      <c r="BTP20" s="23"/>
      <c r="BTQ20" s="23"/>
      <c r="BTR20" s="23"/>
      <c r="BTS20" s="23"/>
      <c r="BTT20" s="23"/>
      <c r="BTU20" s="23"/>
      <c r="BTV20" s="23"/>
      <c r="BTW20" s="23"/>
      <c r="BTX20" s="23"/>
      <c r="BTY20" s="23"/>
      <c r="BTZ20" s="23"/>
      <c r="BUA20" s="23"/>
      <c r="BUB20" s="23"/>
      <c r="BUC20" s="23"/>
      <c r="BUD20" s="23"/>
      <c r="BUE20" s="23"/>
      <c r="BUF20" s="23"/>
      <c r="BUG20" s="23"/>
      <c r="BUH20" s="23"/>
      <c r="BUI20" s="23"/>
      <c r="BUJ20" s="23"/>
      <c r="BUK20" s="23"/>
      <c r="BUL20" s="23"/>
      <c r="BUM20" s="23"/>
      <c r="BUN20" s="23"/>
      <c r="BUO20" s="23"/>
      <c r="BUP20" s="23"/>
      <c r="BUQ20" s="23"/>
      <c r="BUR20" s="23"/>
      <c r="BUS20" s="23"/>
      <c r="BUT20" s="23"/>
      <c r="BUU20" s="23"/>
      <c r="BUV20" s="23"/>
      <c r="BUW20" s="23"/>
      <c r="BUX20" s="23"/>
      <c r="BUY20" s="23"/>
      <c r="BUZ20" s="23"/>
      <c r="BVA20" s="23"/>
      <c r="BVB20" s="23"/>
      <c r="BVC20" s="23"/>
      <c r="BVD20" s="23"/>
      <c r="BVE20" s="23"/>
      <c r="BVF20" s="23"/>
      <c r="BVG20" s="23"/>
      <c r="BVH20" s="23"/>
      <c r="BVI20" s="23"/>
      <c r="BVJ20" s="23"/>
      <c r="BVK20" s="23"/>
      <c r="BVL20" s="23"/>
      <c r="BVM20" s="23"/>
      <c r="BVN20" s="23"/>
      <c r="BVO20" s="23"/>
      <c r="BVP20" s="23"/>
      <c r="BVQ20" s="23"/>
      <c r="BVR20" s="23"/>
      <c r="BVS20" s="23"/>
      <c r="BVT20" s="23"/>
      <c r="BVU20" s="23"/>
      <c r="BVV20" s="23"/>
      <c r="BVW20" s="23"/>
      <c r="BVX20" s="23"/>
      <c r="BVY20" s="23"/>
      <c r="BVZ20" s="23"/>
      <c r="BWA20" s="23"/>
      <c r="BWB20" s="23"/>
      <c r="BWC20" s="23"/>
      <c r="BWD20" s="23"/>
      <c r="BWE20" s="23"/>
      <c r="BWF20" s="23"/>
      <c r="BWG20" s="23"/>
      <c r="BWH20" s="23"/>
      <c r="BWI20" s="23"/>
      <c r="BWJ20" s="23"/>
      <c r="BWK20" s="23"/>
      <c r="BWL20" s="23"/>
      <c r="BWM20" s="23"/>
      <c r="BWN20" s="23"/>
      <c r="BWO20" s="23"/>
      <c r="BWP20" s="23"/>
      <c r="BWQ20" s="23"/>
      <c r="BWR20" s="23"/>
      <c r="BWS20" s="23"/>
      <c r="BWT20" s="23"/>
      <c r="BWU20" s="23"/>
      <c r="BWV20" s="23"/>
      <c r="BWW20" s="23"/>
      <c r="BWX20" s="23"/>
      <c r="BWY20" s="23"/>
      <c r="BWZ20" s="23"/>
      <c r="BXA20" s="23"/>
      <c r="BXB20" s="23"/>
      <c r="BXC20" s="23"/>
      <c r="BXD20" s="23"/>
      <c r="BXE20" s="23"/>
      <c r="BXF20" s="23"/>
      <c r="BXG20" s="23"/>
      <c r="BXH20" s="23"/>
      <c r="BXI20" s="23"/>
      <c r="BXJ20" s="23"/>
      <c r="BXK20" s="23"/>
      <c r="BXL20" s="23"/>
      <c r="BXM20" s="23"/>
      <c r="BXN20" s="23"/>
      <c r="BXO20" s="23"/>
      <c r="BXP20" s="23"/>
      <c r="BXQ20" s="23"/>
      <c r="BXR20" s="23"/>
      <c r="BXS20" s="23"/>
      <c r="BXT20" s="23"/>
      <c r="BXU20" s="23"/>
      <c r="BXV20" s="23"/>
      <c r="BXW20" s="23"/>
      <c r="BXX20" s="23"/>
      <c r="BXY20" s="23"/>
      <c r="BXZ20" s="23"/>
      <c r="BYA20" s="23"/>
      <c r="BYB20" s="23"/>
      <c r="BYC20" s="23"/>
      <c r="BYD20" s="23"/>
      <c r="BYE20" s="23"/>
      <c r="BYF20" s="23"/>
      <c r="BYG20" s="23"/>
      <c r="BYH20" s="23"/>
      <c r="BYI20" s="23"/>
      <c r="BYJ20" s="23"/>
      <c r="BYK20" s="23"/>
      <c r="BYL20" s="23"/>
      <c r="BYM20" s="23"/>
      <c r="BYN20" s="23"/>
      <c r="BYO20" s="23"/>
      <c r="BYP20" s="23"/>
      <c r="BYQ20" s="23"/>
      <c r="BYR20" s="23"/>
      <c r="BYS20" s="23"/>
      <c r="BYT20" s="23"/>
      <c r="BYU20" s="23"/>
      <c r="BYV20" s="23"/>
      <c r="BYW20" s="23"/>
      <c r="BYX20" s="23"/>
      <c r="BYY20" s="23"/>
      <c r="BYZ20" s="23"/>
      <c r="BZA20" s="23"/>
      <c r="BZB20" s="23"/>
      <c r="BZC20" s="23"/>
      <c r="BZD20" s="23"/>
      <c r="BZE20" s="23"/>
      <c r="BZF20" s="23"/>
      <c r="BZG20" s="23"/>
      <c r="BZH20" s="23"/>
      <c r="BZI20" s="23"/>
      <c r="BZJ20" s="23"/>
      <c r="BZK20" s="23"/>
      <c r="BZL20" s="23"/>
      <c r="BZM20" s="23"/>
      <c r="BZN20" s="23"/>
      <c r="BZO20" s="23"/>
      <c r="BZP20" s="23"/>
      <c r="BZQ20" s="23"/>
      <c r="BZR20" s="23"/>
      <c r="BZS20" s="23"/>
      <c r="BZT20" s="23"/>
      <c r="BZU20" s="23"/>
      <c r="BZV20" s="23"/>
      <c r="BZW20" s="23"/>
      <c r="BZX20" s="23"/>
      <c r="BZY20" s="23"/>
      <c r="BZZ20" s="23"/>
      <c r="CAA20" s="23"/>
      <c r="CAB20" s="23"/>
      <c r="CAC20" s="23"/>
      <c r="CAD20" s="23"/>
      <c r="CAE20" s="23"/>
      <c r="CAF20" s="23"/>
      <c r="CAG20" s="23"/>
      <c r="CAH20" s="23"/>
      <c r="CAI20" s="23"/>
      <c r="CAJ20" s="23"/>
      <c r="CAK20" s="23"/>
      <c r="CAL20" s="23"/>
      <c r="CAM20" s="23"/>
      <c r="CAN20" s="23"/>
      <c r="CAO20" s="23"/>
      <c r="CAP20" s="23"/>
      <c r="CAQ20" s="23"/>
      <c r="CAR20" s="23"/>
      <c r="CAS20" s="23"/>
      <c r="CAT20" s="23"/>
      <c r="CAU20" s="23"/>
      <c r="CAV20" s="23"/>
      <c r="CAW20" s="23"/>
      <c r="CAX20" s="23"/>
      <c r="CAY20" s="23"/>
      <c r="CAZ20" s="23"/>
      <c r="CBA20" s="23"/>
      <c r="CBB20" s="23"/>
      <c r="CBC20" s="23"/>
      <c r="CBD20" s="23"/>
      <c r="CBE20" s="23"/>
      <c r="CBF20" s="23"/>
      <c r="CBG20" s="23"/>
      <c r="CBH20" s="23"/>
      <c r="CBI20" s="23"/>
      <c r="CBJ20" s="23"/>
      <c r="CBK20" s="23"/>
      <c r="CBL20" s="23"/>
      <c r="CBM20" s="23"/>
      <c r="CBN20" s="23"/>
      <c r="CBO20" s="23"/>
      <c r="CBP20" s="23"/>
      <c r="CBQ20" s="23"/>
      <c r="CBR20" s="23"/>
      <c r="CBS20" s="23"/>
      <c r="CBT20" s="23"/>
      <c r="CBU20" s="23"/>
      <c r="CBV20" s="23"/>
      <c r="CBW20" s="23"/>
      <c r="CBX20" s="23"/>
      <c r="CBY20" s="23"/>
      <c r="CBZ20" s="23"/>
      <c r="CCA20" s="23"/>
      <c r="CCB20" s="23"/>
      <c r="CCC20" s="23"/>
      <c r="CCD20" s="23"/>
      <c r="CCE20" s="23"/>
      <c r="CCF20" s="23"/>
      <c r="CCG20" s="23"/>
      <c r="CCH20" s="23"/>
      <c r="CCI20" s="23"/>
      <c r="CCJ20" s="23"/>
      <c r="CCK20" s="23"/>
      <c r="CCL20" s="23"/>
      <c r="CCM20" s="23"/>
      <c r="CCN20" s="23"/>
      <c r="CCO20" s="23"/>
      <c r="CCP20" s="23"/>
      <c r="CCQ20" s="23"/>
      <c r="CCR20" s="23"/>
      <c r="CCS20" s="23"/>
      <c r="CCT20" s="23"/>
      <c r="CCU20" s="23"/>
      <c r="CCV20" s="23"/>
      <c r="CCW20" s="23"/>
      <c r="CCX20" s="23"/>
      <c r="CCY20" s="23"/>
      <c r="CCZ20" s="23"/>
      <c r="CDA20" s="23"/>
      <c r="CDB20" s="23"/>
      <c r="CDC20" s="23"/>
      <c r="CDD20" s="23"/>
      <c r="CDE20" s="23"/>
      <c r="CDF20" s="23"/>
      <c r="CDG20" s="23"/>
      <c r="CDH20" s="23"/>
      <c r="CDI20" s="23"/>
      <c r="CDJ20" s="23"/>
      <c r="CDK20" s="23"/>
      <c r="CDL20" s="23"/>
      <c r="CDM20" s="23"/>
      <c r="CDN20" s="23"/>
      <c r="CDO20" s="23"/>
      <c r="CDP20" s="23"/>
      <c r="CDQ20" s="23"/>
      <c r="CDR20" s="23"/>
      <c r="CDS20" s="23"/>
      <c r="CDT20" s="23"/>
      <c r="CDU20" s="23"/>
      <c r="CDV20" s="23"/>
      <c r="CDW20" s="23"/>
      <c r="CDX20" s="23"/>
      <c r="CDY20" s="23"/>
      <c r="CDZ20" s="23"/>
      <c r="CEA20" s="23"/>
      <c r="CEB20" s="23"/>
      <c r="CEC20" s="23"/>
      <c r="CED20" s="23"/>
      <c r="CEE20" s="23"/>
      <c r="CEF20" s="23"/>
      <c r="CEG20" s="23"/>
      <c r="CEH20" s="23"/>
      <c r="CEI20" s="23"/>
      <c r="CEJ20" s="23"/>
      <c r="CEK20" s="23"/>
      <c r="CEL20" s="23"/>
      <c r="CEM20" s="23"/>
      <c r="CEN20" s="23"/>
      <c r="CEO20" s="23"/>
      <c r="CEP20" s="23"/>
      <c r="CEQ20" s="23"/>
      <c r="CER20" s="23"/>
      <c r="CES20" s="23"/>
      <c r="CET20" s="23"/>
      <c r="CEU20" s="23"/>
      <c r="CEV20" s="23"/>
      <c r="CEW20" s="23"/>
      <c r="CEX20" s="23"/>
      <c r="CEY20" s="23"/>
      <c r="CEZ20" s="23"/>
      <c r="CFA20" s="23"/>
      <c r="CFB20" s="23"/>
      <c r="CFC20" s="23"/>
      <c r="CFD20" s="23"/>
      <c r="CFE20" s="23"/>
      <c r="CFF20" s="23"/>
      <c r="CFG20" s="23"/>
      <c r="CFH20" s="23"/>
      <c r="CFI20" s="23"/>
      <c r="CFJ20" s="23"/>
      <c r="CFK20" s="23"/>
      <c r="CFL20" s="23"/>
      <c r="CFM20" s="23"/>
      <c r="CFN20" s="23"/>
      <c r="CFO20" s="23"/>
      <c r="CFP20" s="23"/>
      <c r="CFQ20" s="23"/>
      <c r="CFR20" s="23"/>
      <c r="CFS20" s="23"/>
      <c r="CFT20" s="23"/>
      <c r="CFU20" s="23"/>
      <c r="CFV20" s="23"/>
      <c r="CFW20" s="23"/>
      <c r="CFX20" s="23"/>
      <c r="CFY20" s="23"/>
      <c r="CFZ20" s="23"/>
      <c r="CGA20" s="23"/>
      <c r="CGB20" s="23"/>
      <c r="CGC20" s="23"/>
      <c r="CGD20" s="23"/>
      <c r="CGE20" s="23"/>
      <c r="CGF20" s="23"/>
      <c r="CGG20" s="23"/>
      <c r="CGH20" s="23"/>
      <c r="CGI20" s="23"/>
      <c r="CGJ20" s="23"/>
      <c r="CGK20" s="23"/>
      <c r="CGL20" s="23"/>
      <c r="CGM20" s="23"/>
      <c r="CGN20" s="23"/>
      <c r="CGO20" s="23"/>
      <c r="CGP20" s="23"/>
      <c r="CGQ20" s="23"/>
      <c r="CGR20" s="23"/>
      <c r="CGS20" s="23"/>
      <c r="CGT20" s="23"/>
      <c r="CGU20" s="23"/>
      <c r="CGV20" s="23"/>
      <c r="CGW20" s="23"/>
      <c r="CGX20" s="23"/>
      <c r="CGY20" s="23"/>
      <c r="CGZ20" s="23"/>
      <c r="CHA20" s="23"/>
      <c r="CHB20" s="23"/>
      <c r="CHC20" s="23"/>
      <c r="CHD20" s="23"/>
      <c r="CHE20" s="23"/>
      <c r="CHF20" s="23"/>
      <c r="CHG20" s="23"/>
      <c r="CHH20" s="23"/>
      <c r="CHI20" s="23"/>
      <c r="CHJ20" s="23"/>
      <c r="CHK20" s="23"/>
      <c r="CHL20" s="23"/>
      <c r="CHM20" s="23"/>
      <c r="CHN20" s="23"/>
      <c r="CHO20" s="23"/>
      <c r="CHP20" s="23"/>
      <c r="CHQ20" s="23"/>
      <c r="CHR20" s="23"/>
      <c r="CHS20" s="23"/>
      <c r="CHT20" s="23"/>
      <c r="CHU20" s="23"/>
      <c r="CHV20" s="23"/>
      <c r="CHW20" s="23"/>
      <c r="CHX20" s="23"/>
      <c r="CHY20" s="23"/>
      <c r="CHZ20" s="23"/>
      <c r="CIA20" s="23"/>
      <c r="CIB20" s="23"/>
      <c r="CIC20" s="23"/>
      <c r="CID20" s="23"/>
      <c r="CIE20" s="23"/>
      <c r="CIF20" s="23"/>
      <c r="CIG20" s="23"/>
      <c r="CIH20" s="23"/>
      <c r="CII20" s="23"/>
      <c r="CIJ20" s="23"/>
      <c r="CIK20" s="23"/>
      <c r="CIL20" s="23"/>
      <c r="CIM20" s="23"/>
      <c r="CIN20" s="23"/>
      <c r="CIO20" s="23"/>
      <c r="CIP20" s="23"/>
      <c r="CIQ20" s="23"/>
      <c r="CIR20" s="23"/>
      <c r="CIS20" s="23"/>
      <c r="CIT20" s="23"/>
      <c r="CIU20" s="23"/>
      <c r="CIV20" s="23"/>
      <c r="CIW20" s="23"/>
      <c r="CIX20" s="23"/>
      <c r="CIY20" s="23"/>
      <c r="CIZ20" s="23"/>
      <c r="CJA20" s="23"/>
      <c r="CJB20" s="23"/>
      <c r="CJC20" s="23"/>
      <c r="CJD20" s="23"/>
      <c r="CJE20" s="23"/>
      <c r="CJF20" s="23"/>
      <c r="CJG20" s="23"/>
      <c r="CJH20" s="23"/>
      <c r="CJI20" s="23"/>
      <c r="CJJ20" s="23"/>
      <c r="CJK20" s="23"/>
      <c r="CJL20" s="23"/>
      <c r="CJM20" s="23"/>
      <c r="CJN20" s="23"/>
      <c r="CJO20" s="23"/>
      <c r="CJP20" s="23"/>
      <c r="CJQ20" s="23"/>
      <c r="CJR20" s="23"/>
      <c r="CJS20" s="23"/>
      <c r="CJT20" s="23"/>
      <c r="CJU20" s="23"/>
      <c r="CJV20" s="23"/>
      <c r="CJW20" s="23"/>
      <c r="CJX20" s="23"/>
      <c r="CJY20" s="23"/>
      <c r="CJZ20" s="23"/>
      <c r="CKA20" s="23"/>
      <c r="CKB20" s="23"/>
      <c r="CKC20" s="23"/>
      <c r="CKD20" s="23"/>
      <c r="CKE20" s="23"/>
      <c r="CKF20" s="23"/>
      <c r="CKG20" s="23"/>
      <c r="CKH20" s="23"/>
      <c r="CKI20" s="23"/>
      <c r="CKJ20" s="23"/>
      <c r="CKK20" s="23"/>
      <c r="CKL20" s="23"/>
      <c r="CKM20" s="23"/>
      <c r="CKN20" s="23"/>
      <c r="CKO20" s="23"/>
      <c r="CKP20" s="23"/>
      <c r="CKQ20" s="23"/>
      <c r="CKR20" s="23"/>
      <c r="CKS20" s="23"/>
      <c r="CKT20" s="23"/>
      <c r="CKU20" s="23"/>
      <c r="CKV20" s="23"/>
      <c r="CKW20" s="23"/>
      <c r="CKX20" s="23"/>
      <c r="CKY20" s="23"/>
      <c r="CKZ20" s="23"/>
      <c r="CLA20" s="23"/>
      <c r="CLB20" s="23"/>
      <c r="CLC20" s="23"/>
      <c r="CLD20" s="23"/>
      <c r="CLE20" s="23"/>
      <c r="CLF20" s="23"/>
      <c r="CLG20" s="23"/>
      <c r="CLH20" s="23"/>
      <c r="CLI20" s="23"/>
      <c r="CLJ20" s="23"/>
      <c r="CLK20" s="23"/>
      <c r="CLL20" s="23"/>
      <c r="CLM20" s="23"/>
      <c r="CLN20" s="23"/>
      <c r="CLO20" s="23"/>
      <c r="CLP20" s="23"/>
      <c r="CLQ20" s="23"/>
      <c r="CLR20" s="23"/>
      <c r="CLS20" s="23"/>
      <c r="CLT20" s="23"/>
      <c r="CLU20" s="23"/>
      <c r="CLV20" s="23"/>
    </row>
    <row r="21" spans="2:2362" x14ac:dyDescent="0.25">
      <c r="B21" s="4" t="s">
        <v>3</v>
      </c>
      <c r="C21" s="13">
        <v>490</v>
      </c>
      <c r="D21" s="13">
        <v>492</v>
      </c>
      <c r="E21" s="13">
        <v>494</v>
      </c>
      <c r="F21" s="13">
        <v>496</v>
      </c>
      <c r="G21" s="13">
        <v>498</v>
      </c>
      <c r="H21" s="13">
        <v>500</v>
      </c>
      <c r="I21" s="13">
        <v>501</v>
      </c>
      <c r="J21" s="13">
        <v>501</v>
      </c>
      <c r="K21" s="13">
        <v>502</v>
      </c>
      <c r="L21" s="13">
        <v>503</v>
      </c>
      <c r="M21" s="13">
        <v>504</v>
      </c>
      <c r="N21" s="13">
        <v>505</v>
      </c>
      <c r="O21" s="13">
        <v>506</v>
      </c>
      <c r="P21" s="13">
        <v>509</v>
      </c>
      <c r="Q21" s="13">
        <v>512</v>
      </c>
      <c r="R21" s="13">
        <v>513</v>
      </c>
      <c r="S21" s="13">
        <v>513</v>
      </c>
      <c r="T21" s="13">
        <v>514</v>
      </c>
      <c r="U21" s="13">
        <v>515</v>
      </c>
      <c r="V21" s="13">
        <v>516</v>
      </c>
      <c r="W21" s="13">
        <v>10171</v>
      </c>
      <c r="X21" s="13">
        <v>10175</v>
      </c>
      <c r="Y21" s="13">
        <v>10331</v>
      </c>
      <c r="Z21" s="13">
        <v>10308</v>
      </c>
      <c r="AA21" s="13">
        <v>10347</v>
      </c>
      <c r="AB21" s="13">
        <v>10449</v>
      </c>
      <c r="AC21" s="13">
        <v>10558</v>
      </c>
      <c r="AD21" s="13">
        <v>10610</v>
      </c>
      <c r="AE21" s="13">
        <f>AA21*1.02</f>
        <v>10553.94</v>
      </c>
      <c r="AF21" s="13">
        <f t="shared" ref="AF21:AH21" si="72">AB21*1.02</f>
        <v>10657.98</v>
      </c>
      <c r="AG21" s="13">
        <f t="shared" si="72"/>
        <v>10769.16</v>
      </c>
      <c r="AH21" s="13">
        <f t="shared" si="72"/>
        <v>10822.2</v>
      </c>
      <c r="AI21" s="13"/>
      <c r="AJ21" s="13"/>
      <c r="AK21" s="13"/>
      <c r="AL21" s="13"/>
      <c r="AM21" s="13"/>
      <c r="AN21" s="13"/>
      <c r="AO21" s="13">
        <f>F21</f>
        <v>496</v>
      </c>
      <c r="AP21" s="13">
        <f>J21</f>
        <v>501</v>
      </c>
      <c r="AQ21" s="13">
        <f>N21</f>
        <v>505</v>
      </c>
      <c r="AR21" s="13">
        <f>R21</f>
        <v>513</v>
      </c>
      <c r="AS21" s="13">
        <f>V21</f>
        <v>516</v>
      </c>
      <c r="AT21" s="13">
        <f>Z21</f>
        <v>10308</v>
      </c>
      <c r="AU21" s="13">
        <f>AD21</f>
        <v>10610</v>
      </c>
      <c r="AV21" s="13">
        <f>AH21</f>
        <v>10822.2</v>
      </c>
      <c r="AW21" s="13">
        <f t="shared" ref="AW21" si="73">AV21*1.01</f>
        <v>10930.422</v>
      </c>
      <c r="AX21" s="13">
        <f t="shared" ref="AX21" si="74">AW21*1.01</f>
        <v>11039.72622</v>
      </c>
      <c r="AY21" s="13">
        <f t="shared" ref="AY21" si="75">AX21*1.01</f>
        <v>11150.123482200001</v>
      </c>
      <c r="AZ21" s="13">
        <f t="shared" ref="AZ21" si="76">AY21*1.01</f>
        <v>11261.624717022001</v>
      </c>
      <c r="BA21" s="13"/>
    </row>
    <row r="22" spans="2:2362" x14ac:dyDescent="0.25">
      <c r="B22" s="4" t="s">
        <v>51</v>
      </c>
      <c r="C22" s="24">
        <f t="shared" ref="C22:P22" si="77">C20/C21</f>
        <v>1.4775510204081632</v>
      </c>
      <c r="D22" s="24">
        <f t="shared" si="77"/>
        <v>0.40040650406504064</v>
      </c>
      <c r="E22" s="24">
        <f t="shared" si="77"/>
        <v>0.51821862348178138</v>
      </c>
      <c r="F22" s="24">
        <f t="shared" si="77"/>
        <v>3.7419354838709675</v>
      </c>
      <c r="G22" s="24">
        <f t="shared" si="77"/>
        <v>3.2710843373493974</v>
      </c>
      <c r="H22" s="24">
        <f t="shared" si="77"/>
        <v>5.0679999999999996</v>
      </c>
      <c r="I22" s="24">
        <f t="shared" si="77"/>
        <v>5.7544910179640718</v>
      </c>
      <c r="J22" s="24">
        <f t="shared" si="77"/>
        <v>6.0419161676646711</v>
      </c>
      <c r="K22" s="24">
        <f t="shared" si="77"/>
        <v>7.0936254980079685</v>
      </c>
      <c r="L22" s="24">
        <f t="shared" si="77"/>
        <v>5.2186878727634198</v>
      </c>
      <c r="M22" s="24">
        <f t="shared" si="77"/>
        <v>4.2341269841269842</v>
      </c>
      <c r="N22" s="24">
        <f t="shared" si="77"/>
        <v>6.4712871287128717</v>
      </c>
      <c r="O22" s="24">
        <f t="shared" si="77"/>
        <v>5.0098814229249014</v>
      </c>
      <c r="P22" s="24">
        <f t="shared" si="77"/>
        <v>10.300589390962672</v>
      </c>
      <c r="Q22" s="24">
        <f t="shared" ref="Q22:AH22" si="78">Q20/Q21</f>
        <v>12.365234375</v>
      </c>
      <c r="R22" s="24">
        <f t="shared" si="78"/>
        <v>14.077972709551657</v>
      </c>
      <c r="S22" s="24">
        <f t="shared" si="78"/>
        <v>15.803118908382066</v>
      </c>
      <c r="T22" s="24">
        <f t="shared" si="78"/>
        <v>15.132295719844358</v>
      </c>
      <c r="U22" s="24">
        <f t="shared" si="78"/>
        <v>6.1281553398058248</v>
      </c>
      <c r="V22" s="24">
        <f t="shared" si="78"/>
        <v>27.757751937984494</v>
      </c>
      <c r="W22" s="24">
        <f t="shared" si="78"/>
        <v>-0.37793727263789206</v>
      </c>
      <c r="X22" s="24">
        <f t="shared" si="78"/>
        <v>-0.19931203931203931</v>
      </c>
      <c r="Y22" s="24">
        <f t="shared" si="78"/>
        <v>0.27857903397541378</v>
      </c>
      <c r="Z22" s="24">
        <f t="shared" si="78"/>
        <v>2.6969344198680637E-2</v>
      </c>
      <c r="AA22" s="24">
        <f t="shared" si="78"/>
        <v>0.3065622885860636</v>
      </c>
      <c r="AB22" s="24">
        <f t="shared" si="78"/>
        <v>0.64599483204134367</v>
      </c>
      <c r="AC22" s="24">
        <f t="shared" si="78"/>
        <v>0.93568857738207989</v>
      </c>
      <c r="AD22" s="24">
        <f t="shared" si="78"/>
        <v>1.0013195098963241</v>
      </c>
      <c r="AE22" s="24">
        <f t="shared" si="78"/>
        <v>0.51839565602988091</v>
      </c>
      <c r="AF22" s="24">
        <f t="shared" si="78"/>
        <v>0.75533097735218102</v>
      </c>
      <c r="AG22" s="24">
        <f t="shared" si="78"/>
        <v>1.1327432362412673</v>
      </c>
      <c r="AH22" s="24">
        <f t="shared" si="78"/>
        <v>1.2686545850196802</v>
      </c>
      <c r="AI22" s="24"/>
      <c r="AJ22" s="24"/>
      <c r="AK22" s="24"/>
      <c r="AL22" s="24"/>
      <c r="AM22" s="13"/>
      <c r="AN22" s="13"/>
      <c r="AO22" s="24">
        <f>AO20/AO21</f>
        <v>6.11491935483871</v>
      </c>
      <c r="AP22" s="24">
        <f>AP20/AP21</f>
        <v>20.105788423153694</v>
      </c>
      <c r="AQ22" s="24">
        <f>AQ20/AQ21</f>
        <v>12.425742574257425</v>
      </c>
      <c r="AR22" s="24">
        <f t="shared" ref="AR22:AZ22" si="79">AR20/AR21</f>
        <v>41.580896686159846</v>
      </c>
      <c r="AS22" s="24">
        <f t="shared" si="79"/>
        <v>64.658914728682177</v>
      </c>
      <c r="AT22" s="24">
        <f t="shared" si="79"/>
        <v>-0.26348467209934034</v>
      </c>
      <c r="AU22" s="24">
        <f t="shared" si="79"/>
        <v>2.8675777568331764</v>
      </c>
      <c r="AV22" s="24">
        <f t="shared" si="79"/>
        <v>3.6452612130620365</v>
      </c>
      <c r="AW22" s="24">
        <f t="shared" si="79"/>
        <v>5.0875046203998098</v>
      </c>
      <c r="AX22" s="24">
        <f t="shared" si="79"/>
        <v>6.4342160411117142</v>
      </c>
      <c r="AY22" s="24">
        <f t="shared" si="79"/>
        <v>7.5246708912911959</v>
      </c>
      <c r="AZ22" s="24">
        <f t="shared" si="79"/>
        <v>8.8762424879928155</v>
      </c>
      <c r="BA22" s="24"/>
    </row>
    <row r="23" spans="2:2362" x14ac:dyDescent="0.25">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row>
    <row r="24" spans="2:2362" x14ac:dyDescent="0.25">
      <c r="BE24" s="19" t="s">
        <v>55</v>
      </c>
      <c r="BF24" s="25">
        <v>-0.01</v>
      </c>
    </row>
    <row r="25" spans="2:2362" x14ac:dyDescent="0.25">
      <c r="B25" s="29" t="s">
        <v>71</v>
      </c>
      <c r="C25" s="13"/>
      <c r="D25" s="13"/>
      <c r="E25" s="13"/>
      <c r="F25" s="13"/>
      <c r="G25" s="30">
        <f t="shared" ref="G25:U25" si="80">G3/C3-1</f>
        <v>0.33163394286677339</v>
      </c>
      <c r="H25" s="30">
        <f t="shared" si="80"/>
        <v>0.28769448373408779</v>
      </c>
      <c r="I25" s="30">
        <f t="shared" si="80"/>
        <v>0.17303948832035587</v>
      </c>
      <c r="J25" s="30">
        <f t="shared" si="80"/>
        <v>8.166969147005454E-2</v>
      </c>
      <c r="K25" s="30">
        <f t="shared" si="80"/>
        <v>8.4733428255022947E-2</v>
      </c>
      <c r="L25" s="30">
        <f t="shared" si="80"/>
        <v>0.12528245041426067</v>
      </c>
      <c r="M25" s="30">
        <f t="shared" si="80"/>
        <v>0.17720618739998817</v>
      </c>
      <c r="N25" s="30">
        <f t="shared" si="80"/>
        <v>0.13069351230425053</v>
      </c>
      <c r="O25" s="30">
        <f t="shared" si="80"/>
        <v>0.22045911968030807</v>
      </c>
      <c r="P25" s="30">
        <f t="shared" si="80"/>
        <v>0.40127175368139234</v>
      </c>
      <c r="Q25" s="30">
        <f t="shared" si="80"/>
        <v>0.32844988168957356</v>
      </c>
      <c r="R25" s="30">
        <f t="shared" si="80"/>
        <v>0.40588025800324479</v>
      </c>
      <c r="S25" s="30">
        <f t="shared" si="80"/>
        <v>0.37403503740350375</v>
      </c>
      <c r="T25" s="30">
        <f t="shared" si="80"/>
        <v>0.15444630204601539</v>
      </c>
      <c r="U25" s="30">
        <f t="shared" si="80"/>
        <v>3.9830219426232549E-2</v>
      </c>
      <c r="V25" s="30">
        <f t="shared" ref="V25:V26" si="81">V3/R3-1</f>
        <v>5.0664264805224679E-3</v>
      </c>
      <c r="W25" s="30">
        <f t="shared" ref="W25:W26" si="82">W3/S3-1</f>
        <v>-1.8020211859247515E-2</v>
      </c>
      <c r="X25" s="30">
        <f t="shared" ref="X25:X26" si="83">X3/T3-1</f>
        <v>-2.4636231984001111E-2</v>
      </c>
      <c r="Y25" s="30">
        <f t="shared" ref="Y25:Y26" si="84">Y3/U3-1</f>
        <v>8.1347036956046281E-2</v>
      </c>
      <c r="Z25" s="30">
        <f t="shared" ref="Z25:Z26" si="85">Z3/V3-1</f>
        <v>-1.2392181023860194E-2</v>
      </c>
      <c r="AA25" s="30">
        <f t="shared" ref="AA25:AA26" si="86">AA3/W3-1</f>
        <v>9.317155256398868E-3</v>
      </c>
      <c r="AB25" s="30">
        <f t="shared" ref="AB25:AB26" si="87">AB3/X3-1</f>
        <v>4.342907644719407E-2</v>
      </c>
      <c r="AC25" s="30">
        <f t="shared" ref="AC25:AC26" si="88">AC3/Y3-1</f>
        <v>6.4560161779575242E-2</v>
      </c>
      <c r="AD25" s="30">
        <f t="shared" ref="AD25:AD26" si="89">AD3/Z3-1</f>
        <v>8.7507620762501626E-2</v>
      </c>
      <c r="AE25" s="30">
        <f t="shared" ref="AE25:AE26" si="90">AE3/AA3-1</f>
        <v>0.10000000000000009</v>
      </c>
      <c r="AF25" s="30">
        <f t="shared" ref="AF25:AF26" si="91">AF3/AB3-1</f>
        <v>0.10000000000000009</v>
      </c>
      <c r="AG25" s="30">
        <f t="shared" ref="AG25:AG26" si="92">AG3/AC3-1</f>
        <v>0.10000000000000009</v>
      </c>
      <c r="AH25" s="30">
        <f t="shared" ref="AH25:AH26" si="93">AH3/AD3-1</f>
        <v>0.10000000000000009</v>
      </c>
      <c r="AI25" s="30"/>
      <c r="AJ25" s="30"/>
      <c r="AK25" s="30"/>
      <c r="AL25" s="30"/>
      <c r="AM25" s="13"/>
      <c r="AN25" s="13"/>
      <c r="AO25" s="13"/>
      <c r="AP25" s="18">
        <f>AP3/AO3-1</f>
        <v>0.19686772593867019</v>
      </c>
      <c r="AQ25" s="18">
        <f t="shared" ref="AQ25:AW25" si="94">AQ3/AP3-1</f>
        <v>-5.8859176267484048E-2</v>
      </c>
      <c r="AR25" s="18">
        <f t="shared" si="94"/>
        <v>0.61659004806756412</v>
      </c>
      <c r="AS25" s="18">
        <f t="shared" si="94"/>
        <v>0.11982493110714865</v>
      </c>
      <c r="AT25" s="18">
        <f t="shared" si="94"/>
        <v>4.6073610243726471E-3</v>
      </c>
      <c r="AU25" s="18">
        <f t="shared" si="94"/>
        <v>5.3462110077768354E-2</v>
      </c>
      <c r="AV25" s="18">
        <f t="shared" si="94"/>
        <v>0.10000000000000009</v>
      </c>
      <c r="AW25" s="18">
        <f t="shared" si="94"/>
        <v>8.0000000000000071E-2</v>
      </c>
      <c r="AX25" s="18">
        <f t="shared" ref="AX25:AX28" si="95">AX3/AW3-1</f>
        <v>5.0000000000000044E-2</v>
      </c>
      <c r="AY25" s="18">
        <f t="shared" ref="AY25:AY28" si="96">AY3/AX3-1</f>
        <v>4.0000000000000036E-2</v>
      </c>
      <c r="AZ25" s="18">
        <f t="shared" ref="AZ25:AZ28" si="97">AZ3/AY3-1</f>
        <v>4.0000000000000036E-2</v>
      </c>
      <c r="BE25" s="19" t="s">
        <v>19</v>
      </c>
      <c r="BF25" s="34">
        <f>WACC!C18</f>
        <v>6.9881909557268029E-2</v>
      </c>
    </row>
    <row r="26" spans="2:2362" x14ac:dyDescent="0.25">
      <c r="B26" s="29" t="s">
        <v>72</v>
      </c>
      <c r="C26" s="13"/>
      <c r="D26" s="13"/>
      <c r="E26" s="13"/>
      <c r="F26" s="13"/>
      <c r="G26" s="30">
        <f t="shared" ref="G26:U26" si="98">G4/C4-1</f>
        <v>0.62245409015025044</v>
      </c>
      <c r="H26" s="30">
        <f t="shared" si="98"/>
        <v>0.5913701741105224</v>
      </c>
      <c r="I26" s="30">
        <f t="shared" si="98"/>
        <v>0.52443910256410264</v>
      </c>
      <c r="J26" s="30">
        <f t="shared" si="98"/>
        <v>0.44725010455876202</v>
      </c>
      <c r="K26" s="30">
        <f t="shared" si="98"/>
        <v>0.30766064721922115</v>
      </c>
      <c r="L26" s="30">
        <f t="shared" si="98"/>
        <v>0.3104366853772238</v>
      </c>
      <c r="M26" s="30">
        <f t="shared" si="98"/>
        <v>0.32522996057818654</v>
      </c>
      <c r="N26" s="30">
        <f t="shared" si="98"/>
        <v>0.33276740237691005</v>
      </c>
      <c r="O26" s="30">
        <f t="shared" si="98"/>
        <v>0.32238265727662596</v>
      </c>
      <c r="P26" s="30">
        <f t="shared" si="98"/>
        <v>0.40365906780891536</v>
      </c>
      <c r="Q26" s="30">
        <f t="shared" si="98"/>
        <v>0.43351512146752613</v>
      </c>
      <c r="R26" s="30">
        <f t="shared" si="98"/>
        <v>0.47713782355332701</v>
      </c>
      <c r="S26" s="30">
        <f t="shared" si="98"/>
        <v>0.5181636964089138</v>
      </c>
      <c r="T26" s="30">
        <f t="shared" si="98"/>
        <v>0.42433019551049966</v>
      </c>
      <c r="U26" s="30">
        <f t="shared" si="98"/>
        <v>0.28970971386410271</v>
      </c>
      <c r="V26" s="30">
        <f t="shared" si="81"/>
        <v>0.21095799922934355</v>
      </c>
      <c r="W26" s="30">
        <f t="shared" si="82"/>
        <v>0.17563250827993016</v>
      </c>
      <c r="X26" s="30">
        <f t="shared" si="83"/>
        <v>0.17399593289273008</v>
      </c>
      <c r="Y26" s="30">
        <f t="shared" si="84"/>
        <v>0.21140231693363853</v>
      </c>
      <c r="Z26" s="30">
        <f t="shared" si="85"/>
        <v>0.19208739923631746</v>
      </c>
      <c r="AA26" s="30">
        <f t="shared" si="86"/>
        <v>0.17316508026471511</v>
      </c>
      <c r="AB26" s="30">
        <f t="shared" si="87"/>
        <v>0.16535981069920669</v>
      </c>
      <c r="AC26" s="30">
        <f t="shared" si="88"/>
        <v>0.179321438585617</v>
      </c>
      <c r="AD26" s="30">
        <f t="shared" si="89"/>
        <v>0.1853876170986235</v>
      </c>
      <c r="AE26" s="30">
        <f t="shared" si="90"/>
        <v>0.1100000000000001</v>
      </c>
      <c r="AF26" s="30">
        <f t="shared" si="91"/>
        <v>0.1100000000000001</v>
      </c>
      <c r="AG26" s="30">
        <f t="shared" si="92"/>
        <v>0.1100000000000001</v>
      </c>
      <c r="AH26" s="30">
        <f t="shared" si="93"/>
        <v>0.1100000000000001</v>
      </c>
      <c r="AI26" s="30"/>
      <c r="AJ26" s="30"/>
      <c r="AK26" s="30"/>
      <c r="AL26" s="30"/>
      <c r="AM26" s="13"/>
      <c r="AN26" s="13"/>
      <c r="AO26" s="13"/>
      <c r="AP26" s="18">
        <f>AP4/AO4-1</f>
        <v>0.53425304415286545</v>
      </c>
      <c r="AQ26" s="18">
        <f t="shared" ref="AQ26:AW26" si="99">AQ4/AP4-1</f>
        <v>-0.18037418106670189</v>
      </c>
      <c r="AR26" s="18">
        <f t="shared" si="99"/>
        <v>1.281949492375575</v>
      </c>
      <c r="AS26" s="18">
        <f t="shared" si="99"/>
        <v>0.34020770030972858</v>
      </c>
      <c r="AT26" s="18">
        <f t="shared" si="99"/>
        <v>0.18877365316727701</v>
      </c>
      <c r="AU26" s="18">
        <f t="shared" si="99"/>
        <v>0.17638943197999124</v>
      </c>
      <c r="AV26" s="18">
        <f t="shared" si="99"/>
        <v>0.1100000000000001</v>
      </c>
      <c r="AW26" s="18">
        <f t="shared" si="99"/>
        <v>0.1399999999999999</v>
      </c>
      <c r="AX26" s="18">
        <f t="shared" si="95"/>
        <v>0.14999999999999991</v>
      </c>
      <c r="AY26" s="18">
        <f t="shared" si="96"/>
        <v>0.1399999999999999</v>
      </c>
      <c r="AZ26" s="18">
        <f t="shared" si="97"/>
        <v>0.1399999999999999</v>
      </c>
      <c r="BE26" s="19" t="s">
        <v>3</v>
      </c>
      <c r="BF26" s="20">
        <f>Main!C5</f>
        <v>10308</v>
      </c>
    </row>
    <row r="27" spans="2:2362" s="14" customFormat="1" x14ac:dyDescent="0.25">
      <c r="B27" s="14" t="s">
        <v>70</v>
      </c>
      <c r="C27" s="23"/>
      <c r="D27" s="23"/>
      <c r="E27" s="23"/>
      <c r="F27" s="23"/>
      <c r="G27" s="36">
        <f>G3/C3-1</f>
        <v>0.33163394286677339</v>
      </c>
      <c r="H27" s="36">
        <f t="shared" ref="H27:O27" si="100">H3/D3-1</f>
        <v>0.28769448373408779</v>
      </c>
      <c r="I27" s="36">
        <f t="shared" si="100"/>
        <v>0.17303948832035587</v>
      </c>
      <c r="J27" s="36">
        <f t="shared" si="100"/>
        <v>8.166969147005454E-2</v>
      </c>
      <c r="K27" s="36">
        <f t="shared" si="100"/>
        <v>8.4733428255022947E-2</v>
      </c>
      <c r="L27" s="36">
        <f t="shared" si="100"/>
        <v>0.12528245041426067</v>
      </c>
      <c r="M27" s="36">
        <f t="shared" si="100"/>
        <v>0.17720618739998817</v>
      </c>
      <c r="N27" s="36">
        <f t="shared" si="100"/>
        <v>0.13069351230425053</v>
      </c>
      <c r="O27" s="36">
        <f t="shared" si="100"/>
        <v>0.22045911968030807</v>
      </c>
      <c r="P27" s="36">
        <f>P3/L3-1</f>
        <v>0.40127175368139234</v>
      </c>
      <c r="Q27" s="36">
        <f>Q3/M3-1</f>
        <v>0.32844988168957356</v>
      </c>
      <c r="R27" s="36">
        <f t="shared" ref="R27" si="101">R3/N3-1</f>
        <v>0.40588025800324479</v>
      </c>
      <c r="S27" s="36">
        <f t="shared" ref="S27" si="102">S3/O3-1</f>
        <v>0.37403503740350375</v>
      </c>
      <c r="T27" s="36">
        <f t="shared" ref="T27" si="103">T3/P3-1</f>
        <v>0.15444630204601539</v>
      </c>
      <c r="U27" s="36">
        <f t="shared" ref="U27" si="104">U3/Q3-1</f>
        <v>3.9830219426232549E-2</v>
      </c>
      <c r="V27" s="36">
        <f t="shared" ref="V27" si="105">V3/R3-1</f>
        <v>5.0664264805224679E-3</v>
      </c>
      <c r="W27" s="36">
        <f t="shared" ref="W27" si="106">W3/S3-1</f>
        <v>-1.8020211859247515E-2</v>
      </c>
      <c r="X27" s="36">
        <f t="shared" ref="X27" si="107">X3/T3-1</f>
        <v>-2.4636231984001111E-2</v>
      </c>
      <c r="Y27" s="36">
        <f t="shared" ref="Y27" si="108">Y3/U3-1</f>
        <v>8.1347036956046281E-2</v>
      </c>
      <c r="Z27" s="36">
        <f t="shared" ref="Z27" si="109">Z3/V3-1</f>
        <v>-1.2392181023860194E-2</v>
      </c>
      <c r="AA27" s="36">
        <f t="shared" ref="AA27" si="110">AA3/W3-1</f>
        <v>9.317155256398868E-3</v>
      </c>
      <c r="AB27" s="36">
        <f t="shared" ref="AB27" si="111">AB3/X3-1</f>
        <v>4.342907644719407E-2</v>
      </c>
      <c r="AC27" s="36">
        <f t="shared" ref="AC27" si="112">AC3/Y3-1</f>
        <v>6.4560161779575242E-2</v>
      </c>
      <c r="AD27" s="36">
        <f t="shared" ref="AD27" si="113">AD3/Z3-1</f>
        <v>8.7507620762501626E-2</v>
      </c>
      <c r="AE27" s="36">
        <f t="shared" ref="AE27" si="114">AE3/AA3-1</f>
        <v>0.10000000000000009</v>
      </c>
      <c r="AF27" s="36">
        <f t="shared" ref="AF27" si="115">AF3/AB3-1</f>
        <v>0.10000000000000009</v>
      </c>
      <c r="AG27" s="36">
        <f t="shared" ref="AG27" si="116">AG3/AC3-1</f>
        <v>0.10000000000000009</v>
      </c>
      <c r="AH27" s="36">
        <f t="shared" ref="AH27" si="117">AH3/AD3-1</f>
        <v>0.10000000000000009</v>
      </c>
      <c r="AI27" s="36"/>
      <c r="AJ27" s="36"/>
      <c r="AK27" s="36"/>
      <c r="AL27" s="36"/>
      <c r="AM27" s="23"/>
      <c r="AN27" s="23"/>
      <c r="AO27" s="23"/>
      <c r="AP27" s="36">
        <f>AP5/AO5-1</f>
        <v>0.3093396152159491</v>
      </c>
      <c r="AQ27" s="36">
        <f t="shared" ref="AQ27:AW27" si="118">AQ5/AP5-1</f>
        <v>-0.10632624405827718</v>
      </c>
      <c r="AR27" s="36">
        <f>AR5/AQ5-1</f>
        <v>0.85496216216216214</v>
      </c>
      <c r="AS27" s="36">
        <f t="shared" si="118"/>
        <v>0.21695366571345676</v>
      </c>
      <c r="AT27" s="36">
        <f t="shared" si="118"/>
        <v>9.399517263985091E-2</v>
      </c>
      <c r="AU27" s="36">
        <f t="shared" si="118"/>
        <v>0.1182957412988368</v>
      </c>
      <c r="AV27" s="36">
        <f t="shared" si="118"/>
        <v>0.10554812669084956</v>
      </c>
      <c r="AW27" s="36">
        <f t="shared" si="118"/>
        <v>0.11342280889359357</v>
      </c>
      <c r="AX27" s="36">
        <f t="shared" si="95"/>
        <v>0.10703434166301173</v>
      </c>
      <c r="AY27" s="36">
        <f t="shared" si="96"/>
        <v>9.9247929756120845E-2</v>
      </c>
      <c r="AZ27" s="36">
        <f t="shared" si="97"/>
        <v>0.10144440948545852</v>
      </c>
      <c r="BE27" s="22" t="s">
        <v>56</v>
      </c>
      <c r="BF27" s="21">
        <f>NPV(BF25,AU20:JP20)</f>
        <v>1115071.4655356791</v>
      </c>
    </row>
    <row r="28" spans="2:2362" x14ac:dyDescent="0.25">
      <c r="B28" s="4" t="s">
        <v>53</v>
      </c>
      <c r="C28" s="13"/>
      <c r="D28" s="13"/>
      <c r="E28" s="13"/>
      <c r="F28" s="13"/>
      <c r="G28" s="26">
        <f t="shared" ref="G28:Q28" si="119">G6/C6-1</f>
        <v>0.36965240641711228</v>
      </c>
      <c r="H28" s="26">
        <f t="shared" si="119"/>
        <v>0.30621295467144249</v>
      </c>
      <c r="I28" s="26">
        <f t="shared" si="119"/>
        <v>0.19797451813132971</v>
      </c>
      <c r="J28" s="26">
        <f t="shared" si="119"/>
        <v>0.16345404478620051</v>
      </c>
      <c r="K28" s="26">
        <f t="shared" si="119"/>
        <v>0.10362778591182686</v>
      </c>
      <c r="L28" s="26">
        <f t="shared" si="119"/>
        <v>0.1862431444241317</v>
      </c>
      <c r="M28" s="26">
        <f t="shared" si="119"/>
        <v>0.25146198830409361</v>
      </c>
      <c r="N28" s="26">
        <f t="shared" si="119"/>
        <v>0.20522038136917797</v>
      </c>
      <c r="O28" s="26">
        <f t="shared" si="119"/>
        <v>0.30474646226415092</v>
      </c>
      <c r="P28" s="26">
        <f t="shared" si="119"/>
        <v>0.44921154745851344</v>
      </c>
      <c r="Q28" s="26">
        <f t="shared" si="119"/>
        <v>0.38264490823688924</v>
      </c>
      <c r="R28" s="26">
        <f>R6/N6-1</f>
        <v>0.46884784259962586</v>
      </c>
      <c r="S28" s="26">
        <f t="shared" ref="S28:U28" si="120">S6/O6-1</f>
        <v>0.41001423503626544</v>
      </c>
      <c r="T28" s="26">
        <f t="shared" si="120"/>
        <v>0.21868590960881118</v>
      </c>
      <c r="U28" s="26">
        <f t="shared" si="120"/>
        <v>0.10198578082863441</v>
      </c>
      <c r="V28" s="26">
        <f t="shared" ref="V28" si="121">V6/R6-1</f>
        <v>4.4788355784269207E-2</v>
      </c>
      <c r="W28" s="26">
        <f t="shared" ref="W28" si="122">W6/S6-1</f>
        <v>6.5637869974199958E-2</v>
      </c>
      <c r="X28" s="26">
        <f t="shared" ref="X28" si="123">X6/T6-1</f>
        <v>3.5028671154325508E-2</v>
      </c>
      <c r="Y28" s="26">
        <f t="shared" ref="Y28" si="124">Y6/U6-1</f>
        <v>0.11660575242332749</v>
      </c>
      <c r="Z28" s="26">
        <f t="shared" ref="Z28" si="125">Z6/V6-1</f>
        <v>3.3862497736464103E-2</v>
      </c>
      <c r="AA28" s="26">
        <f t="shared" ref="AA28" si="126">AA6/W6-1</f>
        <v>1.9428863591933743E-2</v>
      </c>
      <c r="AB28" s="26">
        <f t="shared" ref="AB28" si="127">AB6/X6-1</f>
        <v>4.4396603637239629E-2</v>
      </c>
      <c r="AC28" s="26">
        <f t="shared" ref="AC28" si="128">AC6/Y6-1</f>
        <v>6.7655262708487429E-2</v>
      </c>
      <c r="AD28" s="26">
        <f t="shared" ref="AD28" si="129">AD6/Z6-1</f>
        <v>8.0721625408687547E-2</v>
      </c>
      <c r="AE28" s="26">
        <f t="shared" ref="AE28" si="130">AE6/AA6-1</f>
        <v>0.10000000000000009</v>
      </c>
      <c r="AF28" s="26">
        <f t="shared" ref="AF28" si="131">AF6/AB6-1</f>
        <v>0.10000000000000009</v>
      </c>
      <c r="AG28" s="26">
        <f t="shared" ref="AG28" si="132">AG6/AC6-1</f>
        <v>0.10000000000000009</v>
      </c>
      <c r="AH28" s="26">
        <f t="shared" ref="AH28" si="133">AH6/AD6-1</f>
        <v>0.10000000000000009</v>
      </c>
      <c r="AI28" s="26"/>
      <c r="AJ28" s="26"/>
      <c r="AK28" s="26"/>
      <c r="AL28" s="26"/>
      <c r="AM28" s="13"/>
      <c r="AN28" s="13"/>
      <c r="AO28" s="13"/>
      <c r="AP28" s="26">
        <f>AP6/AO6-1</f>
        <v>0.24319688387799943</v>
      </c>
      <c r="AQ28" s="26">
        <f>AQ6/AP6-1</f>
        <v>-8.4408864871079903E-2</v>
      </c>
      <c r="AR28" s="26">
        <f>AR6/AQ6-1</f>
        <v>0.83115140098893336</v>
      </c>
      <c r="AS28" s="26">
        <f t="shared" ref="AS28:AW28" si="134">AS6/AR6-1</f>
        <v>0.16732031186376739</v>
      </c>
      <c r="AT28" s="26">
        <f t="shared" si="134"/>
        <v>6.0537408571512463E-2</v>
      </c>
      <c r="AU28" s="26">
        <f t="shared" si="134"/>
        <v>5.5077190467782255E-2</v>
      </c>
      <c r="AV28" s="26">
        <f t="shared" si="134"/>
        <v>0.10000000000000009</v>
      </c>
      <c r="AW28" s="26">
        <f t="shared" si="134"/>
        <v>0.10000000000000009</v>
      </c>
      <c r="AX28" s="26">
        <f t="shared" si="95"/>
        <v>0.10000000000000009</v>
      </c>
      <c r="AY28" s="26">
        <f t="shared" si="96"/>
        <v>0.10000000000000009</v>
      </c>
      <c r="AZ28" s="26">
        <f t="shared" si="97"/>
        <v>0.10000000000000009</v>
      </c>
      <c r="BE28" s="19" t="s">
        <v>61</v>
      </c>
      <c r="BF28" s="13">
        <f>Main!C7-Main!C8</f>
        <v>37750</v>
      </c>
    </row>
    <row r="29" spans="2:2362" x14ac:dyDescent="0.25">
      <c r="B29" s="29" t="s">
        <v>54</v>
      </c>
      <c r="G29" s="18">
        <f>G13/C13-1</f>
        <v>0.49808460347216554</v>
      </c>
      <c r="H29" s="18">
        <f t="shared" ref="H29:AD29" si="135">H13/D13-1</f>
        <v>0.38880080714903431</v>
      </c>
      <c r="I29" s="18">
        <f t="shared" si="135"/>
        <v>0.25246087834427056</v>
      </c>
      <c r="J29" s="18">
        <f t="shared" si="135"/>
        <v>0.20063533682936674</v>
      </c>
      <c r="K29" s="18">
        <f t="shared" si="135"/>
        <v>0.16213275299238306</v>
      </c>
      <c r="L29" s="18">
        <f t="shared" si="135"/>
        <v>0.2445124798920657</v>
      </c>
      <c r="M29" s="18">
        <f t="shared" si="135"/>
        <v>0.28580784926192759</v>
      </c>
      <c r="N29" s="18">
        <f t="shared" si="135"/>
        <v>0.24232497585149715</v>
      </c>
      <c r="O29" s="18">
        <f t="shared" si="135"/>
        <v>0.27368913857677901</v>
      </c>
      <c r="P29" s="18">
        <f t="shared" si="135"/>
        <v>0.26793979068506868</v>
      </c>
      <c r="Q29" s="18">
        <f t="shared" si="135"/>
        <v>0.28692892406551218</v>
      </c>
      <c r="R29" s="18">
        <f t="shared" si="135"/>
        <v>0.33186842905919334</v>
      </c>
      <c r="S29" s="18">
        <f t="shared" si="135"/>
        <v>0.36918326839667714</v>
      </c>
      <c r="T29" s="18">
        <f t="shared" si="135"/>
        <v>0.3549278174224737</v>
      </c>
      <c r="U29" s="18">
        <f t="shared" si="135"/>
        <v>0.31009286040493222</v>
      </c>
      <c r="V29" s="18">
        <f t="shared" si="135"/>
        <v>0.29745164729174078</v>
      </c>
      <c r="W29" s="18">
        <f t="shared" si="135"/>
        <v>0.24230872483221466</v>
      </c>
      <c r="X29" s="18">
        <f t="shared" si="135"/>
        <v>0.24976942866851126</v>
      </c>
      <c r="Y29" s="18">
        <f t="shared" si="135"/>
        <v>0.26209621194515464</v>
      </c>
      <c r="Z29" s="18">
        <f t="shared" si="135"/>
        <v>0.18995637459162307</v>
      </c>
      <c r="AA29" s="18">
        <f t="shared" si="135"/>
        <v>0.18404788659348248</v>
      </c>
      <c r="AB29" s="18">
        <f t="shared" si="135"/>
        <v>0.11333579321461174</v>
      </c>
      <c r="AC29" s="18">
        <f t="shared" si="135"/>
        <v>4.7230610591441513E-2</v>
      </c>
      <c r="AD29" s="18">
        <f t="shared" si="135"/>
        <v>5.543590839594259E-2</v>
      </c>
      <c r="AE29" s="18">
        <f t="shared" ref="AE29:AE30" si="136">AE13/AA13-1</f>
        <v>8.4999999999999964E-2</v>
      </c>
      <c r="AF29" s="18">
        <f t="shared" ref="AF29:AF30" si="137">AF13/AB13-1</f>
        <v>8.4999999999999964E-2</v>
      </c>
      <c r="AG29" s="18">
        <f t="shared" ref="AG29:AG30" si="138">AG13/AC13-1</f>
        <v>8.4999999999999964E-2</v>
      </c>
      <c r="AH29" s="18">
        <f t="shared" ref="AH29:AH30" si="139">AH13/AD13-1</f>
        <v>8.5000000000000187E-2</v>
      </c>
      <c r="AP29" s="18">
        <f>AP13/AO13-1</f>
        <v>0.31517994338859689</v>
      </c>
      <c r="AQ29" s="18">
        <f t="shared" ref="AQ29:AZ29" si="140">AQ13/AP13-1</f>
        <v>-9.8141702844633527E-2</v>
      </c>
      <c r="AR29" s="18">
        <f t="shared" si="140"/>
        <v>0.77084725423081646</v>
      </c>
      <c r="AS29" s="18">
        <f t="shared" si="140"/>
        <v>0.32913644134362152</v>
      </c>
      <c r="AT29" s="18">
        <f t="shared" si="140"/>
        <v>0.23351815479811577</v>
      </c>
      <c r="AU29" s="18">
        <f t="shared" si="140"/>
        <v>9.5301168601811037E-2</v>
      </c>
      <c r="AV29" s="18">
        <f t="shared" si="140"/>
        <v>8.4999999999999964E-2</v>
      </c>
      <c r="AW29" s="18">
        <f t="shared" si="140"/>
        <v>7.2673096220314592E-2</v>
      </c>
      <c r="AX29" s="18">
        <f t="shared" si="140"/>
        <v>7.2827965019559127E-2</v>
      </c>
      <c r="AY29" s="18">
        <f t="shared" si="140"/>
        <v>7.2980573796540327E-2</v>
      </c>
      <c r="AZ29" s="18">
        <f t="shared" si="140"/>
        <v>7.3130912438093665E-2</v>
      </c>
      <c r="BE29" s="19" t="s">
        <v>60</v>
      </c>
      <c r="BF29" s="13">
        <f>BF27+BF28</f>
        <v>1152821.4655356791</v>
      </c>
    </row>
    <row r="30" spans="2:2362" x14ac:dyDescent="0.25">
      <c r="B30" s="29" t="s">
        <v>82</v>
      </c>
      <c r="G30" s="18">
        <f>G14/C14-1</f>
        <v>0.91741293532338308</v>
      </c>
      <c r="H30" s="18">
        <f t="shared" ref="H30:AD30" si="141">H14/D14-1</f>
        <v>3.75</v>
      </c>
      <c r="I30" s="18">
        <f t="shared" si="141"/>
        <v>9.7319884726224792</v>
      </c>
      <c r="J30" s="18">
        <f t="shared" si="141"/>
        <v>0.77997179125528904</v>
      </c>
      <c r="K30" s="18">
        <f t="shared" si="141"/>
        <v>1.2937208095485211</v>
      </c>
      <c r="L30" s="18">
        <f t="shared" si="141"/>
        <v>3.3858531679517245E-2</v>
      </c>
      <c r="M30" s="18">
        <f t="shared" si="141"/>
        <v>-0.15225563909774431</v>
      </c>
      <c r="N30" s="18">
        <f t="shared" si="141"/>
        <v>2.4564183835182218E-2</v>
      </c>
      <c r="O30" s="18">
        <f t="shared" si="141"/>
        <v>-9.7511312217194557E-2</v>
      </c>
      <c r="P30" s="18">
        <f t="shared" si="141"/>
        <v>0.89461738002594027</v>
      </c>
      <c r="Q30" s="18">
        <f t="shared" si="141"/>
        <v>0.9619892302819133</v>
      </c>
      <c r="R30" s="18">
        <f t="shared" si="141"/>
        <v>0.77184841453982989</v>
      </c>
      <c r="S30" s="18">
        <f t="shared" si="141"/>
        <v>1.222361494108799</v>
      </c>
      <c r="T30" s="18">
        <f t="shared" si="141"/>
        <v>0.31815848023275706</v>
      </c>
      <c r="U30" s="18">
        <f t="shared" si="141"/>
        <v>-0.21666128511462701</v>
      </c>
      <c r="V30" s="18">
        <f t="shared" si="141"/>
        <v>-0.49658082351229449</v>
      </c>
      <c r="W30" s="18">
        <f t="shared" si="141"/>
        <v>-0.58612521150592212</v>
      </c>
      <c r="X30" s="18">
        <f t="shared" si="141"/>
        <v>-0.56933264087250057</v>
      </c>
      <c r="Y30" s="18">
        <f t="shared" si="141"/>
        <v>-0.47959604286891999</v>
      </c>
      <c r="Z30" s="18">
        <f t="shared" si="141"/>
        <v>-0.20895953757225438</v>
      </c>
      <c r="AA30" s="18">
        <f t="shared" si="141"/>
        <v>0.30117198146633961</v>
      </c>
      <c r="AB30" s="18">
        <f t="shared" si="141"/>
        <v>1.3156466686765151</v>
      </c>
      <c r="AC30" s="18">
        <f t="shared" si="141"/>
        <v>3.4308910891089113</v>
      </c>
      <c r="AD30" s="18">
        <f t="shared" si="141"/>
        <v>3.8260869565217392</v>
      </c>
      <c r="AE30" s="18">
        <f t="shared" si="136"/>
        <v>0.41957792207792255</v>
      </c>
      <c r="AF30" s="18">
        <f t="shared" si="137"/>
        <v>0.31005663325087851</v>
      </c>
      <c r="AG30" s="18">
        <f t="shared" si="138"/>
        <v>0.24767742223811284</v>
      </c>
      <c r="AH30" s="18">
        <f t="shared" si="139"/>
        <v>0.24350556438791604</v>
      </c>
      <c r="AP30" s="18">
        <f>AP14/AO14-1</f>
        <v>2.0241051862673483</v>
      </c>
      <c r="AQ30" s="18">
        <f t="shared" ref="AQ30:AZ30" si="142">AQ14/AP14-1</f>
        <v>-0.40547504025764891</v>
      </c>
      <c r="AR30" s="18">
        <f t="shared" si="142"/>
        <v>2.1011646803900326</v>
      </c>
      <c r="AS30" s="18">
        <f t="shared" si="142"/>
        <v>8.6466657932660729E-2</v>
      </c>
      <c r="AT30" s="18">
        <f t="shared" si="142"/>
        <v>-0.50769725471281002</v>
      </c>
      <c r="AU30" s="18">
        <f t="shared" si="142"/>
        <v>2.0088177661659046</v>
      </c>
      <c r="AV30" s="18">
        <f t="shared" si="142"/>
        <v>0.28145256702485533</v>
      </c>
      <c r="AW30" s="18">
        <f t="shared" si="142"/>
        <v>0.4270298517133948</v>
      </c>
      <c r="AX30" s="18">
        <f t="shared" si="142"/>
        <v>0.28328422436773315</v>
      </c>
      <c r="AY30" s="18">
        <f t="shared" si="142"/>
        <v>0.18415912175530424</v>
      </c>
      <c r="AZ30" s="18">
        <f t="shared" si="142"/>
        <v>0.19411488584110659</v>
      </c>
      <c r="BE30" s="19" t="s">
        <v>57</v>
      </c>
      <c r="BF30" s="27">
        <f>BF29/Main!C5</f>
        <v>111.83755001316251</v>
      </c>
    </row>
    <row r="31" spans="2:2362" x14ac:dyDescent="0.25">
      <c r="B31" s="29" t="s">
        <v>83</v>
      </c>
      <c r="G31" s="18">
        <f>G20/C20-1</f>
        <v>1.25</v>
      </c>
      <c r="H31" s="18">
        <f t="shared" ref="H31:AD31" si="143">H20/D20-1</f>
        <v>11.862944162436548</v>
      </c>
      <c r="I31" s="18">
        <f t="shared" si="143"/>
        <v>10.26171875</v>
      </c>
      <c r="J31" s="18">
        <f t="shared" si="143"/>
        <v>0.63092672413793105</v>
      </c>
      <c r="K31" s="18">
        <f t="shared" si="143"/>
        <v>1.1860036832412524</v>
      </c>
      <c r="L31" s="18">
        <f t="shared" si="143"/>
        <v>3.5911602209944826E-2</v>
      </c>
      <c r="M31" s="18">
        <f t="shared" si="143"/>
        <v>-0.25979882067291016</v>
      </c>
      <c r="N31" s="18">
        <f t="shared" si="143"/>
        <v>7.9616782292698973E-2</v>
      </c>
      <c r="O31" s="18">
        <f t="shared" si="143"/>
        <v>-0.2881213142375737</v>
      </c>
      <c r="P31" s="18">
        <f t="shared" si="143"/>
        <v>0.9973333333333334</v>
      </c>
      <c r="Q31" s="18">
        <f t="shared" si="143"/>
        <v>1.9667291471415185</v>
      </c>
      <c r="R31" s="18">
        <f t="shared" si="143"/>
        <v>1.2099143206854346</v>
      </c>
      <c r="S31" s="18">
        <f t="shared" si="143"/>
        <v>2.1980276134122287</v>
      </c>
      <c r="T31" s="18">
        <f t="shared" si="143"/>
        <v>0.48350181193972919</v>
      </c>
      <c r="U31" s="18">
        <f t="shared" si="143"/>
        <v>-0.50150055283525508</v>
      </c>
      <c r="V31" s="18">
        <f t="shared" si="143"/>
        <v>0.98324563832733314</v>
      </c>
      <c r="W31" s="18">
        <f t="shared" si="143"/>
        <v>-1.4741581349451092</v>
      </c>
      <c r="X31" s="18">
        <f t="shared" si="143"/>
        <v>-1.2607354075597841</v>
      </c>
      <c r="Y31" s="18">
        <f t="shared" si="143"/>
        <v>-8.8086185044359944E-2</v>
      </c>
      <c r="Z31" s="18">
        <f t="shared" si="143"/>
        <v>-0.98059065838162396</v>
      </c>
      <c r="AA31" s="18">
        <f t="shared" si="143"/>
        <v>-1.8251821019771071</v>
      </c>
      <c r="AB31" s="18">
        <f t="shared" si="143"/>
        <v>-4.3284023668639051</v>
      </c>
      <c r="AC31" s="18">
        <f t="shared" si="143"/>
        <v>2.4325920778318277</v>
      </c>
      <c r="AD31" s="18">
        <f t="shared" si="143"/>
        <v>37.215827338129493</v>
      </c>
      <c r="AE31" s="18">
        <f t="shared" ref="AE31" si="144">AE20/AA20-1</f>
        <v>0.72481609394703717</v>
      </c>
      <c r="AF31" s="18">
        <f t="shared" ref="AF31" si="145">AF20/AB20-1</f>
        <v>0.19263739999999951</v>
      </c>
      <c r="AG31" s="18">
        <f t="shared" ref="AG31" si="146">AG20/AC20-1</f>
        <v>0.2348105223200736</v>
      </c>
      <c r="AH31" s="18">
        <f t="shared" ref="AH31" si="147">AH20/AD20-1</f>
        <v>0.29232244446536004</v>
      </c>
      <c r="AP31" s="18">
        <f>AP20/AO20-1</f>
        <v>2.3211341905703922</v>
      </c>
      <c r="AQ31" s="18">
        <f t="shared" ref="AQ31:AZ31" si="148">AQ20/AP20-1</f>
        <v>-0.37704755286409208</v>
      </c>
      <c r="AR31" s="18">
        <f t="shared" si="148"/>
        <v>2.3993625498007969</v>
      </c>
      <c r="AS31" s="18">
        <f t="shared" si="148"/>
        <v>0.56410857437532225</v>
      </c>
      <c r="AT31" s="18">
        <f t="shared" si="148"/>
        <v>-1.0814051073012829</v>
      </c>
      <c r="AU31" s="18">
        <f t="shared" si="148"/>
        <v>-12.202135493372607</v>
      </c>
      <c r="AV31" s="18">
        <f t="shared" si="148"/>
        <v>0.29662270829909532</v>
      </c>
      <c r="AW31" s="18">
        <f t="shared" si="148"/>
        <v>0.4096053386219598</v>
      </c>
      <c r="AX31" s="18">
        <f t="shared" si="148"/>
        <v>0.27735671737083001</v>
      </c>
      <c r="AY31" s="18">
        <f t="shared" si="148"/>
        <v>0.18117227516827095</v>
      </c>
      <c r="AZ31" s="18">
        <f t="shared" si="148"/>
        <v>0.19141488609801449</v>
      </c>
      <c r="BE31" s="19" t="s">
        <v>58</v>
      </c>
      <c r="BF31" s="19">
        <f>Main!C4</f>
        <v>178.22</v>
      </c>
    </row>
    <row r="32" spans="2:2362" x14ac:dyDescent="0.25">
      <c r="B32" s="29" t="s">
        <v>84</v>
      </c>
      <c r="G32" s="18">
        <f>G22/C22-1</f>
        <v>1.213855421686747</v>
      </c>
      <c r="H32" s="18">
        <f t="shared" ref="H32:AD32" si="149">H22/D22-1</f>
        <v>11.657137055837563</v>
      </c>
      <c r="I32" s="18">
        <f t="shared" si="149"/>
        <v>10.104369386227544</v>
      </c>
      <c r="J32" s="18">
        <f t="shared" si="149"/>
        <v>0.61465001032417943</v>
      </c>
      <c r="K32" s="18">
        <f t="shared" si="149"/>
        <v>1.1685853271994895</v>
      </c>
      <c r="L32" s="18">
        <f t="shared" si="149"/>
        <v>2.9733202991993002E-2</v>
      </c>
      <c r="M32" s="18">
        <f t="shared" si="149"/>
        <v>-0.26420478007366666</v>
      </c>
      <c r="N32" s="18">
        <f t="shared" si="149"/>
        <v>7.1065362234935092E-2</v>
      </c>
      <c r="O32" s="18">
        <f t="shared" si="149"/>
        <v>-0.2937488137297668</v>
      </c>
      <c r="P32" s="18">
        <f t="shared" si="149"/>
        <v>0.9737891290111329</v>
      </c>
      <c r="Q32" s="18">
        <f t="shared" si="149"/>
        <v>1.920374004217432</v>
      </c>
      <c r="R32" s="18">
        <f t="shared" si="149"/>
        <v>1.1754517191932639</v>
      </c>
      <c r="S32" s="18">
        <f t="shared" si="149"/>
        <v>2.1543898097204437</v>
      </c>
      <c r="T32" s="18">
        <f t="shared" si="149"/>
        <v>0.4690708604617162</v>
      </c>
      <c r="U32" s="18">
        <f t="shared" si="149"/>
        <v>-0.50440443311000127</v>
      </c>
      <c r="V32" s="18">
        <f t="shared" si="149"/>
        <v>0.971715140430081</v>
      </c>
      <c r="W32" s="18">
        <f t="shared" si="149"/>
        <v>-1.0239153596722881</v>
      </c>
      <c r="X32" s="18">
        <f t="shared" si="149"/>
        <v>-1.0131713021607596</v>
      </c>
      <c r="Y32" s="18">
        <f t="shared" si="149"/>
        <v>-0.95454112721884088</v>
      </c>
      <c r="Z32" s="18">
        <f t="shared" si="149"/>
        <v>-0.99902840315530828</v>
      </c>
      <c r="AA32" s="18">
        <f t="shared" si="149"/>
        <v>-1.8111459514070898</v>
      </c>
      <c r="AB32" s="18">
        <f t="shared" si="149"/>
        <v>-4.2411229862034876</v>
      </c>
      <c r="AC32" s="18">
        <f t="shared" si="149"/>
        <v>2.3587903728055135</v>
      </c>
      <c r="AD32" s="18">
        <f t="shared" si="149"/>
        <v>36.128062978457947</v>
      </c>
      <c r="AE32" s="18">
        <f t="shared" ref="AE32" si="150">AE22/AA22-1</f>
        <v>0.69099617053631079</v>
      </c>
      <c r="AF32" s="18">
        <f t="shared" ref="AF32" si="151">AF22/AB22-1</f>
        <v>0.16925235294117624</v>
      </c>
      <c r="AG32" s="18">
        <f t="shared" ref="AG32" si="152">AG22/AC22-1</f>
        <v>0.2105985512941897</v>
      </c>
      <c r="AH32" s="18">
        <f t="shared" ref="AH32" si="153">AH22/AD22-1</f>
        <v>0.26698278869152947</v>
      </c>
      <c r="AP32" s="18">
        <f>AP22/AO22-1</f>
        <v>2.2879891387682925</v>
      </c>
      <c r="AQ32" s="18">
        <f t="shared" ref="AQ32:AZ32" si="154">AQ22/AP22-1</f>
        <v>-0.38198182967308947</v>
      </c>
      <c r="AR32" s="18">
        <f t="shared" si="154"/>
        <v>2.3463510480495176</v>
      </c>
      <c r="AS32" s="18">
        <f t="shared" si="154"/>
        <v>0.55501491987314022</v>
      </c>
      <c r="AT32" s="18">
        <f t="shared" si="154"/>
        <v>-1.0040749937298663</v>
      </c>
      <c r="AU32" s="18">
        <f t="shared" si="154"/>
        <v>-11.883281118349183</v>
      </c>
      <c r="AV32" s="18">
        <f t="shared" si="154"/>
        <v>0.27119873362656377</v>
      </c>
      <c r="AW32" s="18">
        <f t="shared" si="154"/>
        <v>0.39564885012075224</v>
      </c>
      <c r="AX32" s="18">
        <f t="shared" si="154"/>
        <v>0.26470962115923768</v>
      </c>
      <c r="AY32" s="18">
        <f t="shared" si="154"/>
        <v>0.16947750016660468</v>
      </c>
      <c r="AZ32" s="18">
        <f t="shared" si="154"/>
        <v>0.17961869910694483</v>
      </c>
      <c r="BE32" s="19" t="s">
        <v>59</v>
      </c>
      <c r="BF32" s="25">
        <f>BF30/BF31-1</f>
        <v>-0.37247475023475196</v>
      </c>
    </row>
    <row r="33" spans="2:52" x14ac:dyDescent="0.25">
      <c r="B33" s="29" t="s">
        <v>85</v>
      </c>
      <c r="C33" s="13"/>
      <c r="D33" s="13"/>
      <c r="E33" s="13"/>
      <c r="F33" s="13"/>
      <c r="G33" s="18">
        <f>G21/C21-1</f>
        <v>1.6326530612244872E-2</v>
      </c>
      <c r="H33" s="18">
        <f t="shared" ref="H33:AD33" si="155">H21/D21-1</f>
        <v>1.6260162601626105E-2</v>
      </c>
      <c r="I33" s="18">
        <f t="shared" si="155"/>
        <v>1.4170040485830038E-2</v>
      </c>
      <c r="J33" s="18">
        <f t="shared" si="155"/>
        <v>1.0080645161290258E-2</v>
      </c>
      <c r="K33" s="18">
        <f t="shared" si="155"/>
        <v>8.0321285140563248E-3</v>
      </c>
      <c r="L33" s="18">
        <f t="shared" si="155"/>
        <v>6.0000000000000053E-3</v>
      </c>
      <c r="M33" s="18">
        <f t="shared" si="155"/>
        <v>5.9880239520957446E-3</v>
      </c>
      <c r="N33" s="18">
        <f t="shared" si="155"/>
        <v>7.9840319361277334E-3</v>
      </c>
      <c r="O33" s="18">
        <f t="shared" si="155"/>
        <v>7.9681274900398336E-3</v>
      </c>
      <c r="P33" s="18">
        <f t="shared" si="155"/>
        <v>1.1928429423459175E-2</v>
      </c>
      <c r="Q33" s="18">
        <f t="shared" si="155"/>
        <v>1.5873015873015817E-2</v>
      </c>
      <c r="R33" s="18">
        <f t="shared" si="155"/>
        <v>1.5841584158415856E-2</v>
      </c>
      <c r="S33" s="18">
        <f t="shared" si="155"/>
        <v>1.383399209486158E-2</v>
      </c>
      <c r="T33" s="18">
        <f t="shared" si="155"/>
        <v>9.8231827111985304E-3</v>
      </c>
      <c r="U33" s="18">
        <f t="shared" si="155"/>
        <v>5.859375E-3</v>
      </c>
      <c r="V33" s="18">
        <f t="shared" si="155"/>
        <v>5.8479532163742132E-3</v>
      </c>
      <c r="W33" s="18">
        <f t="shared" si="155"/>
        <v>18.826510721247562</v>
      </c>
      <c r="X33" s="18">
        <f t="shared" si="155"/>
        <v>18.795719844357976</v>
      </c>
      <c r="Y33" s="18">
        <f t="shared" si="155"/>
        <v>19.060194174757282</v>
      </c>
      <c r="Z33" s="18">
        <f t="shared" si="155"/>
        <v>18.976744186046513</v>
      </c>
      <c r="AA33" s="18">
        <f t="shared" si="155"/>
        <v>1.7304099891849445E-2</v>
      </c>
      <c r="AB33" s="18">
        <f t="shared" si="155"/>
        <v>2.6928746928746916E-2</v>
      </c>
      <c r="AC33" s="18">
        <f t="shared" si="155"/>
        <v>2.1972703513696734E-2</v>
      </c>
      <c r="AD33" s="18">
        <f t="shared" si="155"/>
        <v>2.9297632906480464E-2</v>
      </c>
      <c r="AE33" s="18">
        <f t="shared" ref="AE33" si="156">AE21/AA21-1</f>
        <v>2.0000000000000018E-2</v>
      </c>
      <c r="AF33" s="18">
        <f t="shared" ref="AF33" si="157">AF21/AB21-1</f>
        <v>2.0000000000000018E-2</v>
      </c>
      <c r="AG33" s="18">
        <f t="shared" ref="AG33" si="158">AG21/AC21-1</f>
        <v>2.0000000000000018E-2</v>
      </c>
      <c r="AH33" s="18">
        <f t="shared" ref="AH33" si="159">AH21/AD21-1</f>
        <v>2.0000000000000018E-2</v>
      </c>
      <c r="AI33" s="13"/>
      <c r="AJ33" s="13"/>
      <c r="AK33" s="13"/>
      <c r="AL33" s="13"/>
      <c r="AM33" s="13"/>
      <c r="AN33" s="13"/>
      <c r="AO33" s="13"/>
      <c r="AP33" s="18">
        <f>AP21/AO21-1</f>
        <v>1.0080645161290258E-2</v>
      </c>
      <c r="AQ33" s="18">
        <f t="shared" ref="AQ33:AZ33" si="160">AQ21/AP21-1</f>
        <v>7.9840319361277334E-3</v>
      </c>
      <c r="AR33" s="18">
        <f t="shared" si="160"/>
        <v>1.5841584158415856E-2</v>
      </c>
      <c r="AS33" s="18">
        <f t="shared" si="160"/>
        <v>5.8479532163742132E-3</v>
      </c>
      <c r="AT33" s="18">
        <f t="shared" si="160"/>
        <v>18.976744186046513</v>
      </c>
      <c r="AU33" s="18">
        <f t="shared" si="160"/>
        <v>2.9297632906480464E-2</v>
      </c>
      <c r="AV33" s="18">
        <f t="shared" si="160"/>
        <v>2.0000000000000018E-2</v>
      </c>
      <c r="AW33" s="18">
        <f t="shared" si="160"/>
        <v>1.0000000000000009E-2</v>
      </c>
      <c r="AX33" s="18">
        <f t="shared" si="160"/>
        <v>1.0000000000000009E-2</v>
      </c>
      <c r="AY33" s="18">
        <f t="shared" si="160"/>
        <v>1.0000000000000009E-2</v>
      </c>
      <c r="AZ33" s="18">
        <f t="shared" si="160"/>
        <v>1.0000000000000009E-2</v>
      </c>
    </row>
    <row r="34" spans="2:52" x14ac:dyDescent="0.25">
      <c r="B34" s="4" t="s">
        <v>45</v>
      </c>
      <c r="C34" s="26">
        <f t="shared" ref="C34:AD34" si="161">C7/C5</f>
        <v>0.37167497339978722</v>
      </c>
      <c r="D34" s="26">
        <f t="shared" si="161"/>
        <v>0.38213674087735477</v>
      </c>
      <c r="E34" s="26">
        <f t="shared" si="161"/>
        <v>0.37022220190197513</v>
      </c>
      <c r="F34" s="26">
        <f t="shared" si="161"/>
        <v>0.36324086480406265</v>
      </c>
      <c r="G34" s="26">
        <f t="shared" si="161"/>
        <v>0.39784883037498531</v>
      </c>
      <c r="H34" s="26">
        <f t="shared" si="161"/>
        <v>0.4207918919941005</v>
      </c>
      <c r="I34" s="26">
        <f t="shared" si="161"/>
        <v>0.4166607748868778</v>
      </c>
      <c r="J34" s="26">
        <f t="shared" si="161"/>
        <v>0.38126355635991876</v>
      </c>
      <c r="K34" s="26">
        <f t="shared" si="161"/>
        <v>0.4318257956448911</v>
      </c>
      <c r="L34" s="26">
        <f t="shared" si="161"/>
        <v>0.42689735663365086</v>
      </c>
      <c r="M34" s="26">
        <f t="shared" si="161"/>
        <v>0.40981123447792972</v>
      </c>
      <c r="N34" s="26">
        <f t="shared" si="161"/>
        <v>0.38267552637899288</v>
      </c>
      <c r="O34" s="26">
        <f t="shared" si="161"/>
        <v>0.41344165827280921</v>
      </c>
      <c r="P34" s="26">
        <f t="shared" si="161"/>
        <v>0.40772899046247973</v>
      </c>
      <c r="Q34" s="26">
        <f t="shared" si="161"/>
        <v>0.40604295595194756</v>
      </c>
      <c r="R34" s="26">
        <f t="shared" si="161"/>
        <v>0.36853171916689897</v>
      </c>
      <c r="S34" s="26">
        <f t="shared" si="161"/>
        <v>0.42495254243535635</v>
      </c>
      <c r="T34" s="26">
        <f t="shared" si="161"/>
        <v>0.43247258577997877</v>
      </c>
      <c r="U34" s="26">
        <f t="shared" si="161"/>
        <v>0.43210121647475003</v>
      </c>
      <c r="V34" s="26">
        <f t="shared" si="161"/>
        <v>0.39717783017494834</v>
      </c>
      <c r="W34" s="26">
        <f t="shared" si="161"/>
        <v>0.42891862182680085</v>
      </c>
      <c r="X34" s="26">
        <f t="shared" si="161"/>
        <v>0.4521008957883102</v>
      </c>
      <c r="Y34" s="26">
        <f t="shared" si="161"/>
        <v>0.44714833085498934</v>
      </c>
      <c r="Z34" s="26">
        <f t="shared" si="161"/>
        <v>0.42602075011393797</v>
      </c>
      <c r="AA34" s="26">
        <f t="shared" si="161"/>
        <v>0.46771306082067871</v>
      </c>
      <c r="AB34" s="26">
        <f t="shared" si="161"/>
        <v>0.48376654785203488</v>
      </c>
      <c r="AC34" s="26">
        <f t="shared" si="161"/>
        <v>0.47567495789157344</v>
      </c>
      <c r="AD34" s="26">
        <f t="shared" si="161"/>
        <v>0.45544566106342044</v>
      </c>
      <c r="AE34" s="26">
        <f t="shared" ref="AE34:AH34" si="162">AE7/AE5</f>
        <v>0.47037367193198004</v>
      </c>
      <c r="AF34" s="26">
        <f t="shared" si="162"/>
        <v>0.48638467045658679</v>
      </c>
      <c r="AG34" s="26">
        <f t="shared" si="162"/>
        <v>0.47832365575614499</v>
      </c>
      <c r="AH34" s="26">
        <f t="shared" si="162"/>
        <v>0.45814852630543623</v>
      </c>
      <c r="AI34" s="26"/>
      <c r="AJ34" s="26"/>
      <c r="AK34" s="26"/>
      <c r="AL34" s="26"/>
      <c r="AM34" s="13"/>
      <c r="AN34" s="13"/>
      <c r="AO34" s="26">
        <f t="shared" ref="AO34:AZ34" si="163">AO7/AO5</f>
        <v>0.3706835482891615</v>
      </c>
      <c r="AP34" s="26">
        <f t="shared" si="163"/>
        <v>0.40247416128852193</v>
      </c>
      <c r="AQ34" s="26">
        <f t="shared" si="163"/>
        <v>0.38781981981981983</v>
      </c>
      <c r="AR34" s="26">
        <f t="shared" si="163"/>
        <v>0.3956779186870571</v>
      </c>
      <c r="AS34" s="26">
        <f t="shared" si="163"/>
        <v>0.42032514441639601</v>
      </c>
      <c r="AT34" s="26">
        <f t="shared" si="163"/>
        <v>0.43805339865326287</v>
      </c>
      <c r="AU34" s="26">
        <f t="shared" si="163"/>
        <v>0.46982088955000567</v>
      </c>
      <c r="AV34" s="26">
        <f t="shared" si="163"/>
        <v>0.47248156148513254</v>
      </c>
      <c r="AW34" s="26">
        <f t="shared" si="163"/>
        <v>0.47884103169849024</v>
      </c>
      <c r="AX34" s="26">
        <f t="shared" si="163"/>
        <v>0.48215259133653027</v>
      </c>
      <c r="AY34" s="26">
        <f t="shared" si="163"/>
        <v>0.48179829671710611</v>
      </c>
      <c r="AZ34" s="26">
        <f t="shared" si="163"/>
        <v>0.48247785480388433</v>
      </c>
    </row>
    <row r="35" spans="2:52" x14ac:dyDescent="0.25">
      <c r="B35" s="4" t="s">
        <v>52</v>
      </c>
      <c r="C35" s="26">
        <f>C14/C5</f>
        <v>2.8140225121800973E-2</v>
      </c>
      <c r="D35" s="26">
        <f>D14/D5</f>
        <v>1.6545909629824794E-2</v>
      </c>
      <c r="E35" s="26">
        <f>E14/E5</f>
        <v>7.932516459400147E-3</v>
      </c>
      <c r="F35" s="26">
        <f>F14/F5</f>
        <v>3.5184358096372388E-2</v>
      </c>
      <c r="G35" s="26">
        <f>G14/G5</f>
        <v>3.7753222836095765E-2</v>
      </c>
      <c r="H35" s="26">
        <f>H14/H5</f>
        <v>5.6404341413606625E-2</v>
      </c>
      <c r="I35" s="26">
        <f>I14/I5</f>
        <v>6.5822963800904979E-2</v>
      </c>
      <c r="J35" s="26">
        <f>J14/J5</f>
        <v>5.230509926363925E-2</v>
      </c>
      <c r="K35" s="26">
        <f>K14/K5</f>
        <v>7.4036850921273031E-2</v>
      </c>
      <c r="L35" s="26">
        <f>L14/L5</f>
        <v>4.8640464324017411E-2</v>
      </c>
      <c r="M35" s="26">
        <f>M14/M5</f>
        <v>4.5112244752147014E-2</v>
      </c>
      <c r="N35" s="26">
        <f>N14/N5</f>
        <v>4.4363370197971111E-2</v>
      </c>
      <c r="O35" s="26">
        <f>O14/O5</f>
        <v>5.2868048560674334E-2</v>
      </c>
      <c r="P35" s="26">
        <f>P14/P5</f>
        <v>6.5716663667446468E-2</v>
      </c>
      <c r="Q35" s="26">
        <f>Q14/Q5</f>
        <v>6.4423526964480726E-2</v>
      </c>
      <c r="R35" s="26">
        <f>R14/R5</f>
        <v>5.4740950181195493E-2</v>
      </c>
      <c r="S35" s="26">
        <f>S14/S5</f>
        <v>8.1691516614755155E-2</v>
      </c>
      <c r="T35" s="26">
        <f>T14/T5</f>
        <v>6.8111071807569867E-2</v>
      </c>
      <c r="U35" s="26">
        <f>U14/U5</f>
        <v>4.3785871566256365E-2</v>
      </c>
      <c r="V35" s="26">
        <f>V14/V5</f>
        <v>2.5179751404535267E-2</v>
      </c>
      <c r="W35" s="26">
        <f>W14/W5</f>
        <v>3.1508708048504003E-2</v>
      </c>
      <c r="X35" s="26">
        <f>X14/X5</f>
        <v>2.7360311463780786E-2</v>
      </c>
      <c r="Y35" s="26">
        <f>Y14/Y5</f>
        <v>1.986609074672898E-2</v>
      </c>
      <c r="Z35" s="26">
        <f>Z14/Z5</f>
        <v>1.8344012224873328E-2</v>
      </c>
      <c r="AA35" s="26">
        <f>AA14/AA5</f>
        <v>3.7484885126964934E-2</v>
      </c>
      <c r="AB35" s="26">
        <f>AB14/AB5</f>
        <v>5.7157527365812637E-2</v>
      </c>
      <c r="AC35" s="26">
        <f>AC14/AC5</f>
        <v>7.8192377850618167E-2</v>
      </c>
      <c r="AD35" s="26">
        <f>AD14/AD5</f>
        <v>7.771782938438819E-2</v>
      </c>
      <c r="AE35" s="26">
        <f>AE14/AE5</f>
        <v>4.8133394631739754E-2</v>
      </c>
      <c r="AF35" s="26">
        <f>AF14/AF5</f>
        <v>6.7727126825873091E-2</v>
      </c>
      <c r="AG35" s="26">
        <f>AG14/AG5</f>
        <v>8.824184802088525E-2</v>
      </c>
      <c r="AH35" s="26">
        <f>AH14/AH5</f>
        <v>8.7420793946745678E-2</v>
      </c>
      <c r="AI35" s="26"/>
      <c r="AJ35" s="26"/>
      <c r="AK35" s="26"/>
      <c r="AL35" s="26"/>
      <c r="AM35" s="13"/>
      <c r="AN35" s="13"/>
      <c r="AO35" s="26">
        <f>AO14/AO5</f>
        <v>2.3090416380870993E-2</v>
      </c>
      <c r="AP35" s="26">
        <f>AP14/AP5</f>
        <v>5.3330585219441187E-2</v>
      </c>
      <c r="AQ35" s="26">
        <f>AQ14/AQ5</f>
        <v>3.5478678678678675E-2</v>
      </c>
      <c r="AR35" s="26">
        <f>AR14/AR5</f>
        <v>5.9313999751336569E-2</v>
      </c>
      <c r="AS35" s="26">
        <f>AS14/AS5</f>
        <v>5.2954097509269465E-2</v>
      </c>
      <c r="AT35" s="26">
        <f>AT14/AT5</f>
        <v>2.3829581912242232E-2</v>
      </c>
      <c r="AU35" s="26">
        <f>AU14/AU5</f>
        <v>6.4114407996033296E-2</v>
      </c>
      <c r="AV35" s="26">
        <f>AV14/AV5</f>
        <v>7.4315690765735881E-2</v>
      </c>
      <c r="AW35" s="26">
        <f>AW14/AW5</f>
        <v>9.5247473220697723E-2</v>
      </c>
      <c r="AX35" s="26">
        <f>AX14/AX5</f>
        <v>0.11041173267614582</v>
      </c>
      <c r="AY35" s="26">
        <f>AY14/AY5</f>
        <v>0.11894046543828685</v>
      </c>
      <c r="AZ35" s="26">
        <f>AZ14/AZ5</f>
        <v>0.12894757019564598</v>
      </c>
    </row>
    <row r="36" spans="2:52" x14ac:dyDescent="0.25">
      <c r="B36" s="4" t="s">
        <v>49</v>
      </c>
      <c r="C36" s="26">
        <f>C19/C18</f>
        <v>0.2402938090241343</v>
      </c>
      <c r="D36" s="26">
        <f>D19/D18</f>
        <v>0.70420420420420415</v>
      </c>
      <c r="E36" s="26">
        <f>E19/E18</f>
        <v>0.189873417721519</v>
      </c>
      <c r="F36" s="26">
        <f>F19/F18</f>
        <v>8.5470085470085479E-3</v>
      </c>
      <c r="G36" s="26">
        <f>G19/G18</f>
        <v>0.14979123173277661</v>
      </c>
      <c r="H36" s="26">
        <f>H19/H18</f>
        <v>2.72552783109405E-2</v>
      </c>
      <c r="I36" s="26">
        <f>I19/I18</f>
        <v>0.14955752212389381</v>
      </c>
      <c r="J36" s="26">
        <f>J19/J18</f>
        <v>9.6417910447761199E-2</v>
      </c>
      <c r="K36" s="26">
        <f>K19/K18</f>
        <v>0.19086571233810498</v>
      </c>
      <c r="L36" s="26">
        <f>L19/L18</f>
        <v>9.138110072689512E-2</v>
      </c>
      <c r="M36" s="26">
        <f>M19/M18</f>
        <v>0.18920972644376899</v>
      </c>
      <c r="N36" s="26">
        <f>N19/N18</f>
        <v>0.19368369109301753</v>
      </c>
      <c r="O36" s="26">
        <f>O19/O18</f>
        <v>0.25066509015666566</v>
      </c>
      <c r="P36" s="26">
        <f>P19/P18</f>
        <v>0.1572094518566147</v>
      </c>
      <c r="Q36" s="26">
        <f>Q19/Q18</f>
        <v>7.0201204288441774E-2</v>
      </c>
      <c r="R36" s="26">
        <f>R19/R18</f>
        <v>6.9929169349645853E-2</v>
      </c>
      <c r="S36" s="26">
        <f>S19/S18</f>
        <v>0.21045968056096612</v>
      </c>
      <c r="T36" s="26">
        <f>T19/T18</f>
        <v>9.9142923326384066E-2</v>
      </c>
      <c r="U36" s="26">
        <f>U19/U18</f>
        <v>0.26859791425260721</v>
      </c>
      <c r="V36" s="26">
        <f>V19/V18</f>
        <v>4.0913352082496315E-2</v>
      </c>
      <c r="W36" s="26">
        <f>W19/W18</f>
        <v>0.26989553656220322</v>
      </c>
      <c r="X36" s="26">
        <f>X19/X18</f>
        <v>0.23558235959291368</v>
      </c>
      <c r="Y36" s="26">
        <f>Y19/Y18</f>
        <v>2.2418478260869564E-2</v>
      </c>
      <c r="Z36" s="26">
        <f>Z19/Z18</f>
        <v>1.2889812889812891</v>
      </c>
      <c r="AA36" s="26">
        <f>AA19/AA18</f>
        <v>0.22991017237193492</v>
      </c>
      <c r="AB36" s="26">
        <f>AB19/AB18</f>
        <v>0.1074970249900833</v>
      </c>
      <c r="AC36" s="26">
        <f>AC19/AC18</f>
        <v>0.18951513659857247</v>
      </c>
      <c r="AD36" s="26">
        <f>AD19/AD18</f>
        <v>0.22373228116323249</v>
      </c>
      <c r="AE36" s="26">
        <f>AE19/AE18</f>
        <v>0.19</v>
      </c>
      <c r="AF36" s="26">
        <f>AF19/AF18</f>
        <v>0.19</v>
      </c>
      <c r="AG36" s="26">
        <f>AG19/AG18</f>
        <v>0.19</v>
      </c>
      <c r="AH36" s="26">
        <f>AH19/AH18</f>
        <v>0.19</v>
      </c>
      <c r="AI36" s="26"/>
      <c r="AJ36" s="26"/>
      <c r="AK36" s="26"/>
      <c r="AL36" s="26"/>
      <c r="AM36" s="13"/>
      <c r="AN36" s="13"/>
      <c r="AO36" s="26">
        <f>AO19/AO18</f>
        <v>0.20330969267139479</v>
      </c>
      <c r="AP36" s="26">
        <f>AP19/AP18</f>
        <v>0.10549684752686263</v>
      </c>
      <c r="AQ36" s="26">
        <f>AQ19/AQ18</f>
        <v>6.4689223431211806E-2</v>
      </c>
      <c r="AR36" s="26">
        <f>AR19/AR18</f>
        <v>0.11775167507651584</v>
      </c>
      <c r="AS36" s="26">
        <f>AS19/AS18</f>
        <v>0.12547508584309716</v>
      </c>
      <c r="AT36" s="26">
        <f>AT19/AT18</f>
        <v>0.54245283018867929</v>
      </c>
      <c r="AU36" s="26">
        <f>AU19/AU18</f>
        <v>0.18989802167372261</v>
      </c>
      <c r="AV36" s="26">
        <f>AV19/AV18</f>
        <v>0.19000000000000006</v>
      </c>
      <c r="AW36" s="26">
        <f>AW19/AW18</f>
        <v>0.1927247680587835</v>
      </c>
      <c r="AX36" s="26">
        <f>AX19/AX18</f>
        <v>0.1927247680587835</v>
      </c>
      <c r="AY36" s="26">
        <f>AY19/AY18</f>
        <v>0.1927247680587835</v>
      </c>
      <c r="AZ36" s="26">
        <f>AZ19/AZ18</f>
        <v>0.1927247680587835</v>
      </c>
    </row>
    <row r="37" spans="2:52" x14ac:dyDescent="0.25">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row>
    <row r="38" spans="2:52" x14ac:dyDescent="0.25">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row>
    <row r="40" spans="2:52" x14ac:dyDescent="0.25">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row>
    <row r="41" spans="2:52" x14ac:dyDescent="0.25">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row>
    <row r="42" spans="2:52" x14ac:dyDescent="0.25">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row>
    <row r="43" spans="2:52" x14ac:dyDescent="0.25">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row>
    <row r="44" spans="2:52" x14ac:dyDescent="0.25">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row>
    <row r="45" spans="2:52" x14ac:dyDescent="0.25">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row>
    <row r="46" spans="2:52" x14ac:dyDescent="0.25">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row>
    <row r="47" spans="2:52" x14ac:dyDescent="0.25">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row>
    <row r="48" spans="2:52" x14ac:dyDescent="0.25">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row>
    <row r="49" spans="3:49" x14ac:dyDescent="0.25">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row>
  </sheetData>
  <phoneticPr fontId="5" type="noConversion"/>
  <conditionalFormatting sqref="BF32">
    <cfRule type="cellIs" dxfId="1" priority="1" operator="lessThan">
      <formula>0</formula>
    </cfRule>
    <cfRule type="cellIs" dxfId="0" priority="2" operator="greaterThan">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WACC</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2020-09-28T10:39:58Z</dcterms:created>
  <dcterms:modified xsi:type="dcterms:W3CDTF">2024-03-03T20:57:47Z</dcterms:modified>
</cp:coreProperties>
</file>