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Downloads\"/>
    </mc:Choice>
  </mc:AlternateContent>
  <xr:revisionPtr revIDLastSave="0" documentId="13_ncr:1_{D12AE347-83ED-4A29-A363-56C982C44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externalReferences>
    <externalReference r:id="rId2"/>
  </externalReferences>
  <definedNames>
    <definedName name="A.1.01.a1">[1]ANALISA_FIX!$H$25</definedName>
    <definedName name="A.1.01.b1.1">[1]ANALISA_FIX!$H$47</definedName>
    <definedName name="A.1.01.b1.2">[1]ANALISA_FIX!$H$69</definedName>
    <definedName name="A.1.01.b1.3">[1]ANALISA_FIX!$H$91</definedName>
    <definedName name="A.1.01.b2.1">[1]ANALISA_FIX!$H$113</definedName>
    <definedName name="A.1.02.1a.1">[1]ANALISA_FIX!$H$1552</definedName>
    <definedName name="A.1.02.1a.6">[1]ANALISA_FIX!$H$1577</definedName>
    <definedName name="A.1.02.1b.1">[1]ANALISA_FIX!$H$1652</definedName>
    <definedName name="A.1.02.1b.6">[1]ANALISA_FIX!$H$1677</definedName>
    <definedName name="A.1.02.1c.1">[1]ANALISA_FIX!$H$1752</definedName>
    <definedName name="A.1.02.1e.1">[1]ANALISA_FIX!$H$1803</definedName>
    <definedName name="A.1.02.2a.1">[1]ANALISA_FIX!$H$1828</definedName>
    <definedName name="A.1.02.2a.6">[1]ANALISA_FIX!$H$1853</definedName>
    <definedName name="A.1.02.2b.1">[1]ANALISA_FIX!$H$1928</definedName>
    <definedName name="A.1.02.2c.1">[1]ANALISA_FIX!$H$1978</definedName>
    <definedName name="A.1.02.2e.1">[1]ANALISA_FIX!$H$2028</definedName>
    <definedName name="A.1.02.3a.1">[1]ANALISA_FIX!$H$2053</definedName>
    <definedName name="A.1.02.3a.2">[1]ANALISA_FIX!$H$2078</definedName>
    <definedName name="A.1.02.3b.1">[1]ANALISA_FIX!$H$2103</definedName>
    <definedName name="A.1.02.3b.2">[1]ANALISA_FIX!$H$2128</definedName>
    <definedName name="A.1.02.3b.5">[1]ANALISA_FIX!$H$2153</definedName>
    <definedName name="A.1.02.3b.7">[1]ANALISA_FIX!$H$2178</definedName>
    <definedName name="A.1.02.3b.8">[1]ANALISA_FIX!$H$2203</definedName>
    <definedName name="A.1.02.3b.9">[1]ANALISA_FIX!$H$2228</definedName>
    <definedName name="A.1.02.3c">[1]ANALISA_FIX!$H$2252</definedName>
    <definedName name="A.1.02.4a.1.a">[1]ANALISA_FIX!$H$2277</definedName>
    <definedName name="A.1.02.4a.1.d">[1]ANALISA_FIX!$H$2302</definedName>
    <definedName name="A.1.02.4a.2.a">[1]ANALISA_FIX!$H$2327</definedName>
    <definedName name="A.1.02.4a.2.d">[1]ANALISA_FIX!$H$2352</definedName>
    <definedName name="A.1.02.4b.2.a">[1]ANALISA_FIX!$H$2377</definedName>
    <definedName name="A.1.02.4b.2.d">[1]ANALISA_FIX!$H$2404</definedName>
    <definedName name="A.1.02.5a.1">[1]ANALISA_FIX!$H$2432</definedName>
    <definedName name="A.1.02.5a.2">[1]ANALISA_FIX!$H$2458</definedName>
    <definedName name="A.1.02.5b.1">[1]ANALISA_FIX!$H$2483</definedName>
    <definedName name="A.1.02.5b.2">[1]ANALISA_FIX!$H$2508</definedName>
    <definedName name="A.1.02.5b.4a">[1]ANALISA_FIX!$H$2533</definedName>
    <definedName name="A.1.02.5b.4b">[1]ANALISA_FIX!$H$2558</definedName>
    <definedName name="A.1.02.5c.1">[1]ANALISA_FIX!$H$2642</definedName>
    <definedName name="A.1.03.1a.1">[1]ANALISA_FIX!$H$2694</definedName>
    <definedName name="A.1.03.1a.2">[1]ANALISA_FIX!$H$2720</definedName>
    <definedName name="A.1.03.1b.1">[1]ANALISA_FIX!$H$2746</definedName>
    <definedName name="A.1.03.1b.2">[1]ANALISA_FIX!$H$2772</definedName>
    <definedName name="A.1.03.1c.1">[1]ANALISA_FIX!$H$2825</definedName>
    <definedName name="A.1.03.2b.1">[1]ANALISA_FIX!$H$2878</definedName>
    <definedName name="A.1.03.2b.2">[1]ANALISA_FIX!$H$2905</definedName>
    <definedName name="A.1.03.2b.4">[1]ANALISA_FIX!$H$2932</definedName>
    <definedName name="A.1.03.2b.5">[1]ANALISA_FIX!$H$2958</definedName>
    <definedName name="A.1.03.2b.6">[1]ANALISA_FIX!$H$2984</definedName>
    <definedName name="A.1.03.2d.1">[1]ANALISA_FIX!$H$3011</definedName>
    <definedName name="A.1.03.2d.2">[1]ANALISA_FIX!$H$3038</definedName>
    <definedName name="A.1.03.2d.4">[1]ANALISA_FIX!$H$3064</definedName>
    <definedName name="A.1.03.2d.5">[1]ANALISA_FIX!$H$3090</definedName>
    <definedName name="A.1.03.2d.6">[1]ANALISA_FIX!$H$3116</definedName>
    <definedName name="A.1.03.2e.1">[1]ANALISA_FIX!$H$3143</definedName>
    <definedName name="A.1.03.2e.2">[1]ANALISA_FIX!$H$3170</definedName>
    <definedName name="A.1.03.2e.4">[1]ANALISA_FIX!$H$3196</definedName>
    <definedName name="A.1.03.2e.5">[1]ANALISA_FIX!$H$3222</definedName>
    <definedName name="A.1.03.2e.6">[1]ANALISA_FIX!$H$3248</definedName>
    <definedName name="A.1.03.2f.1">[1]ANALISA_FIX!$H$3275</definedName>
    <definedName name="A.1.03.2f.2">[1]ANALISA_FIX!$H$3302</definedName>
    <definedName name="A.1.03.2f.4">[1]ANALISA_FIX!$H$3328</definedName>
    <definedName name="A.1.03.2g.1">[1]ANALISA_FIX!$H$3381</definedName>
    <definedName name="A.1.03.2g.3">[1]ANALISA_FIX!$H$3407</definedName>
    <definedName name="A.1.03.2i.1">[1]ANALISA_FIX!$H$3431</definedName>
    <definedName name="A.1.03.2i.2">[1]ANALISA_FIX!$H$3454</definedName>
    <definedName name="A.1.04.1a">[1]ANALISA_FIX!$H$3500</definedName>
    <definedName name="A.1.04.2">[1]ANALISA_FIX!$H$3525</definedName>
    <definedName name="A.1.04.3">[1]ANALISA_FIX!$H$3551</definedName>
    <definedName name="A.1.07.7a">[1]ANALISA_FIX!$H$3658</definedName>
    <definedName name="A.1.08.1a">[1]ANALISA_FIX!$H$3685</definedName>
    <definedName name="A.1.08.1b">[1]ANALISA_FIX!$H$3713</definedName>
    <definedName name="A.1.08.2a">[1]ANALISA_FIX!$H$3739</definedName>
    <definedName name="A.1.08.2b">[1]ANALISA_FIX!$H$3763</definedName>
    <definedName name="A.1.08.3a">[1]ANALISA_FIX!$H$3783</definedName>
    <definedName name="A.1.08.4a">[1]ANALISA_FIX!$H$3803</definedName>
    <definedName name="A.2.01.b1.1">[1]ANALISA_FIX!$H$137</definedName>
    <definedName name="A.2.01.b1.2">[1]ANALISA_FIX!$H$161</definedName>
    <definedName name="A.2.01.b1.3">[1]ANALISA_FIX!$H$185</definedName>
    <definedName name="A.2.01.c1.1">[1]ANALISA_FIX!$H$209</definedName>
    <definedName name="A.2.01.c1.2">[1]ANALISA_FIX!$H$233</definedName>
    <definedName name="A.2.02.1a.1">[1]ANALISA_FIX!$H$1602</definedName>
    <definedName name="A.2.02.1a.6">[1]ANALISA_FIX!$H$1627</definedName>
    <definedName name="A.2.02.1b.1">[1]ANALISA_FIX!$H$1702</definedName>
    <definedName name="A.2.02.1b.6">[1]ANALISA_FIX!$H$1727</definedName>
    <definedName name="A.2.02.1c.2">[1]ANALISA_FIX!$H$1777</definedName>
    <definedName name="A.2.02.2a.1">[1]ANALISA_FIX!$H$1878</definedName>
    <definedName name="A.2.02.2a.6">[1]ANALISA_FIX!$H$1903</definedName>
    <definedName name="A.2.02.2b.1">[1]ANALISA_FIX!$H$1953</definedName>
    <definedName name="A.2.02.2c.1">[1]ANALISA_FIX!$H$2003</definedName>
    <definedName name="A.2.02.5c.1">[1]ANALISA_FIX!$H$2586</definedName>
    <definedName name="A.2.02.5c.2">[1]ANALISA_FIX!$H$2614</definedName>
    <definedName name="A.2.02.5d.3">[1]ANALISA_FIX!$H$2668</definedName>
    <definedName name="A.2.03.1b.1">[1]ANALISA_FIX!$H$2800</definedName>
    <definedName name="A.2.03.1c.1">[1]ANALISA_FIX!$H$2851</definedName>
    <definedName name="A.2.03.2j.2">[1]ANALISA_FIX!$H$3477</definedName>
    <definedName name="A.2.06.1">[1]ANALISA_FIX!$H$3580</definedName>
    <definedName name="A.2.06.2">[1]ANALISA_FIX!$H$3607</definedName>
    <definedName name="A.2.06.3">[1]ANALISA_FIX!$H$3635</definedName>
    <definedName name="A.2.08.4a">[1]ANALISA_FIX!$H$3824</definedName>
    <definedName name="A.2.08.6a">[1]ANALISA_FIX!$H$3848</definedName>
    <definedName name="A.3.01.1a.2">[1]ANALISA_FIX!$H$257</definedName>
    <definedName name="A.3.01.1b.1">[1]ANALISA_FIX!$H$281</definedName>
    <definedName name="A.3.01.1b.2">[1]ANALISA_FIX!$H$305</definedName>
    <definedName name="A.3.01.1b.3">[1]ANALISA_FIX!$H$329</definedName>
    <definedName name="A.3.01.1b.4">[1]ANALISA_FIX!$H$353</definedName>
    <definedName name="A.3.01.1b.5">[1]ANALISA_FIX!$H$377</definedName>
    <definedName name="A.3.01.1b.6">[1]ANALISA_FIX!$H$401</definedName>
    <definedName name="A.3.01.1b.7">[1]ANALISA_FIX!$H$425</definedName>
    <definedName name="A.3.01.1c.1">[1]ANALISA_FIX!$H$449</definedName>
    <definedName name="A.3.01.1c.2">[1]ANALISA_FIX!$H$473</definedName>
    <definedName name="A.3.01.1c.3">[1]ANALISA_FIX!$H$497</definedName>
    <definedName name="A.3.01.1c.4">[1]ANALISA_FIX!$H$521</definedName>
    <definedName name="A.3.01.1c.5">[1]ANALISA_FIX!$H$545</definedName>
    <definedName name="A.3.01.1c.6">[1]ANALISA_FIX!$H$569</definedName>
    <definedName name="A.3.01.1d.1">[1]ANALISA_FIX!$H$593</definedName>
    <definedName name="A.3.01.1d.2">[1]ANALISA_FIX!$H$617</definedName>
    <definedName name="A.3.01.1d.3">[1]ANALISA_FIX!$H$641</definedName>
    <definedName name="A.3.01.1d.4">[1]ANALISA_FIX!$H$665</definedName>
    <definedName name="A.3.01.1d.5">[1]ANALISA_FIX!$H$689</definedName>
    <definedName name="A.3.01.1d.6">[1]ANALISA_FIX!$H$713</definedName>
    <definedName name="A.3.01.1e.1">[1]ANALISA_FIX!$H$737</definedName>
    <definedName name="A.3.01.1e.2">[1]ANALISA_FIX!$H$761</definedName>
    <definedName name="A.3.01.1e.3">[1]ANALISA_FIX!$H$785</definedName>
    <definedName name="A.3.01.1f.1">[1]ANALISA_FIX!$H$809</definedName>
    <definedName name="A.3.01.1f.2">[1]ANALISA_FIX!$H$833</definedName>
    <definedName name="A.3.01.1f.3">[1]ANALISA_FIX!$H$857</definedName>
    <definedName name="A.3.01.1g.1.a">[1]ANALISA_FIX!$H$881</definedName>
    <definedName name="A.3.01.1g.1.b">[1]ANALISA_FIX!$H$905</definedName>
    <definedName name="A.3.01.1g.2.a">[1]ANALISA_FIX!$H$929</definedName>
    <definedName name="A.3.01.1g.2.b">[1]ANALISA_FIX!$H$953</definedName>
    <definedName name="A.3.01.1g.3.a">[1]ANALISA_FIX!$H$977</definedName>
    <definedName name="A.3.01.1g.3.b">[1]ANALISA_FIX!$H$1001</definedName>
    <definedName name="A.3.01.2b.1">[1]ANALISA_FIX!$H$1025</definedName>
    <definedName name="A.3.01.2b.2">[1]ANALISA_FIX!$H$1049</definedName>
    <definedName name="A.3.01.2b.3">[1]ANALISA_FIX!$H$1073</definedName>
    <definedName name="A.3.01.2d.2">[1]ANALISA_FIX!$H$1097</definedName>
    <definedName name="A.3.01.2d.3">[1]ANALISA_FIX!$H$1121</definedName>
    <definedName name="A.3.01.2d.5">[1]ANALISA_FIX!$H$1145</definedName>
    <definedName name="A.3.02.1a">[1]ANALISA_FIX!$H$1170</definedName>
    <definedName name="A.3.02.1b">[1]ANALISA_FIX!$H$1195</definedName>
    <definedName name="A.3.02.1c">[1]ANALISA_FIX!$H$1220</definedName>
    <definedName name="A.3.02.1d.1">[1]ANALISA_FIX!$H$1245</definedName>
    <definedName name="A.3.02.1d.2">[1]ANALISA_FIX!$H$1270</definedName>
    <definedName name="A.3.02.1d.3">[1]ANALISA_FIX!$H$1297</definedName>
    <definedName name="A.3.02.1e.1">[1]ANALISA_FIX!$H$1322</definedName>
    <definedName name="A.3.02.2a.1">[1]ANALISA_FIX!$H$1347</definedName>
    <definedName name="A.3.02.2b.1">[1]ANALISA_FIX!$H$1397</definedName>
    <definedName name="A.3.02.2b.3">[1]ANALISA_FIX!$H$1422</definedName>
    <definedName name="A.3.02.3a">[1]ANALISA_FIX!$H$1447</definedName>
    <definedName name="A.3.02.3b">[1]ANALISA_FIX!$H$1472</definedName>
    <definedName name="A.3.03.2c">[1]ANALISA_FIX!$H$1501</definedName>
    <definedName name="A.3.03.4a">[1]ANALISA_FIX!$H$1527</definedName>
    <definedName name="A.3.05.3a.1.b">[1]ANALISA_FIX!$H$4002</definedName>
    <definedName name="A.3.05.3a.1.c">[1]ANALISA_FIX!$H$4023</definedName>
    <definedName name="A.3.09.2a.1.a">[1]ANALISA_FIX!$H$3876</definedName>
    <definedName name="A.3.09.2a.2.a">[1]ANALISA_FIX!$H$3903</definedName>
    <definedName name="A.3.09.2b.1.a">[1]ANALISA_FIX!$H$3929</definedName>
    <definedName name="A.3.09.2b.2.a">[1]ANALISA_FIX!$H$3955</definedName>
    <definedName name="A.3.09.2b.3.a">[1]ANALISA_FIX!$H$3981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9" i="2" l="1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 a="1"/>
  <c r="D80" i="2" s="1"/>
  <c r="D79" i="2"/>
  <c r="D78" i="2"/>
  <c r="D77" i="2"/>
  <c r="D76" i="2"/>
  <c r="D75" i="2"/>
  <c r="D74" i="2"/>
  <c r="D73" i="2"/>
  <c r="D72" i="2"/>
  <c r="D71" i="2"/>
  <c r="D70" i="2"/>
  <c r="D69" i="2"/>
  <c r="D68" i="2"/>
  <c r="D67" i="2" a="1"/>
  <c r="D67" i="2" s="1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 a="1"/>
  <c r="D38" i="2" s="1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<sst xmlns="http://schemas.openxmlformats.org/spreadsheetml/2006/main" count="336" uniqueCount="328">
  <si>
    <t>DAFTAR HARGA SATUAN PEKERJAAN</t>
  </si>
  <si>
    <t>SURVEI, INVESTIGASI DAN DESAIN (SID) 
OPTIMALISASI LAHAN RAWA UNTUK PENGEMBANGAN PERTANIAN</t>
  </si>
  <si>
    <t>NO</t>
  </si>
  <si>
    <t>KODE</t>
  </si>
  <si>
    <t>JENIS PEKERJAAN</t>
  </si>
  <si>
    <t>A.1.01.b1.1</t>
  </si>
  <si>
    <t>1 m3 Galian Batu sedalam 0 s.d. 1 m, manual</t>
  </si>
  <si>
    <t>A.1.01.b1.2</t>
  </si>
  <si>
    <t>1 m3 Galian Batu sedalam 1 s.d. 2 m, manual</t>
  </si>
  <si>
    <t>A.1.01.b1.3</t>
  </si>
  <si>
    <t>1 m3 Galian Batu sedalam 2 s.d. 3 m, manual</t>
  </si>
  <si>
    <t>A.1.01.b2.1</t>
  </si>
  <si>
    <t>1 m2 Pembabadan rumput (tidak diketahui kondisi medan secara detail)</t>
  </si>
  <si>
    <t>A.2.01.b1.1</t>
  </si>
  <si>
    <t>1 m3 Galian Batu sedalam 0 s.d. 1 m, semi mekanis</t>
  </si>
  <si>
    <t>A.2.01.b1.2</t>
  </si>
  <si>
    <t>1 m3 Galian Batu sedalam 1 s.d. 2 m, semi mekanis</t>
  </si>
  <si>
    <t>A.2.01.b1.3</t>
  </si>
  <si>
    <t>1 m3 Galian Batu sedalam 2 s.d. 3 m, semi mekanis</t>
  </si>
  <si>
    <t>A.2.01.c1.1</t>
  </si>
  <si>
    <t>1 m3 Pemadatan Pasangan campuran Tanah dan Semen PC +
Pemadat Timbris</t>
  </si>
  <si>
    <t>A.2.01.c1.2</t>
  </si>
  <si>
    <t>1 m3 Pemadatan Pasangan campuran Tanah dan Semen PC dengan
Pemadat Stamper VRR</t>
  </si>
  <si>
    <t>A.3.01.1a.2</t>
  </si>
  <si>
    <t>1 m3 Pengerukan sampah / lumpur / sedimen di saluran/sungai</t>
  </si>
  <si>
    <t>A.3.01.1b.1</t>
  </si>
  <si>
    <t>1 m3 Galian tanah biasa di Stockpile nomal tinggi &gt; 1 m, muat ke DT pakai Excavator std</t>
  </si>
  <si>
    <t>A.3.01.1b.2</t>
  </si>
  <si>
    <t>1 m3 Galian pasir di Stockpile nomal tinggi &gt; 1 m, muat ke DT pakai Excavator std</t>
  </si>
  <si>
    <t>A.3.01.1b.3</t>
  </si>
  <si>
    <t>1 m3 Galian tanah liat/lempung di Stockpile nomal tinggi &gt; 1 m, muat ke DT pakai Excavator std</t>
  </si>
  <si>
    <t>A.3.01.1b.4</t>
  </si>
  <si>
    <t>1 m3 Galian cadas/tanah keras di Stockpile nomal tinggi &gt; 1 m, muat ke DT pakai Excavator std</t>
  </si>
  <si>
    <t>A.3.01.1b.5</t>
  </si>
  <si>
    <t>1 m3 angkat dan muat batu belah 12-&lt;25 cm di Stockpile nomal tinggi &gt; 1 m, muat ke DT pakai Excavator std</t>
  </si>
  <si>
    <t>A.3.01.1b.6</t>
  </si>
  <si>
    <t>1 m3 angkat dan muat batu belah 25-&lt;50 cm di Stockpile nomal tinggi &gt; 1 m, muat ke DT pakai Excavator std</t>
  </si>
  <si>
    <t>A.3.01.1b.7</t>
  </si>
  <si>
    <t>1 m3 angkat dan muat batu belah 50-100 cm di Stockpile nomal tinggi &gt; 1 m, muat ke DT pakai Excavator std</t>
  </si>
  <si>
    <t>A.3.01.1c.1</t>
  </si>
  <si>
    <t>1 m3 Galian tanah biasa di BA/saluran sedalam (0-40%) Dm, atau (0-2,64)m dimuat ke DT dengan Excavator std</t>
  </si>
  <si>
    <t>A.3.01.1c.2</t>
  </si>
  <si>
    <t>1 m3 Galian tanah biasa di BA/saluran sedalam (40-75%) Dm, atau (2,64-&lt;5,0)m dimuat ke DT dengan Excavator std</t>
  </si>
  <si>
    <t>A.3.01.1c.3</t>
  </si>
  <si>
    <t>1 m3 Galian tanah biasa di BA/saluran sedalam (75-100%) Dm, atau (5,0-&lt;6,6)m dimuat ke DT dengan Excavator std</t>
  </si>
  <si>
    <t>A.3.01.1c.4</t>
  </si>
  <si>
    <t>1 m3 Galian tanah biasa di BA/saluran sedalam (0-40%) Dm, atau (0-&lt;5,4)m dimuat ke DT dengan Excavator long arm</t>
  </si>
  <si>
    <t>A.3.01.1c.5</t>
  </si>
  <si>
    <t>1 m3 Galian tanah biasa di BA/saluran sedalam (40-75%) Dm, atau (5,4-&lt;10)m dimuat ke DT dengan Excavator long arm</t>
  </si>
  <si>
    <t>A.3.01.1c.6</t>
  </si>
  <si>
    <t>1 m3 Galian tanah biasa di BA/saluran sedalam (75-100%) Dm, atau (10-&lt;13,4)m dimuat ke DT dengan Excavator long arm</t>
  </si>
  <si>
    <t>A.3.01.1d.1</t>
  </si>
  <si>
    <t>1 m3 Galian pasir di BA/saluran sedalam (0-40%) Dm, atau (0-2,64)m dimuat ke DT dengan Excavator std</t>
  </si>
  <si>
    <t>A.3.01.1d.2</t>
  </si>
  <si>
    <t>1 m3 Galian pasir di BA/saluran sedalam (40-75%) Dm, atau (2,64-&lt;5,0)m dimuat ke DT dengan Excavator std</t>
  </si>
  <si>
    <t>A.3.01.1d.3</t>
  </si>
  <si>
    <t>1 m3 Galian pasir di BA/saluran sedalam (75-100%) Dm, atau (5,0-&lt;6,6)m dimuat ke DT dengan Excavator std</t>
  </si>
  <si>
    <t>A.3.01.1d.4</t>
  </si>
  <si>
    <t>1 m3 Galian pasir di BA/saluran sedalam (0-40%) Dm, atau (0-&lt;5,4)m dimuat ke DT dengan Excavator long arm</t>
  </si>
  <si>
    <t>A.3.01.1d.5</t>
  </si>
  <si>
    <t>1 m3 Galian pasir di BA/saluran sedalam (40-75%) Dm, atau (5,4-&lt;10)m dimuat ke DT dengan Excavator long arm</t>
  </si>
  <si>
    <t>A.3.01.1d.6</t>
  </si>
  <si>
    <t>1 m3 Galian pasir di BA/saluran sedalam (75-100%) Dm, atau (10-&lt;13,4)m dimuat ke DT dengan Excavator long arm</t>
  </si>
  <si>
    <t>A.3.01.1e.1</t>
  </si>
  <si>
    <t>1 m3 Galian tanah liat/lempung di BA/saluran sedalam (0-40%) Dm, atau (0-2,64)m dimuat ke DT dengan Excavator std</t>
  </si>
  <si>
    <t>A.3.01.1e.2</t>
  </si>
  <si>
    <t>1 m3 Galian tanah liat/lempung di BA/saluran sedalam (40-75%) Dm, atau (2,64-&lt;5,0)m dimuat ke DT dengan Excavator std</t>
  </si>
  <si>
    <t>A.3.01.1e.3</t>
  </si>
  <si>
    <t>1 m3 Galian tanah liat/lempung di BA/saluran sedalam (75-100%) Dm, atau (5,0-&lt;6,6)m dimuat ke DT dengan Excavator std</t>
  </si>
  <si>
    <t>A.3.01.1f.1</t>
  </si>
  <si>
    <t>1 m3 Galian cadas/tanah keras di BA/saluran sedalam (0-40%) Dm, atau (0-2,64)m dimuat ke DT dengan Excavator std</t>
  </si>
  <si>
    <t>A.3.01.1f.2</t>
  </si>
  <si>
    <t>1 m3 Galian cadas/tanah keras di BA/saluran sedalam (40-75%) Dm, atau (2,64-&lt;5,0)m dimuat ke DT dengan Excavator std</t>
  </si>
  <si>
    <t>A.3.01.1f.3</t>
  </si>
  <si>
    <t>1 m3 Galian cadas/tanah keras di BA/saluran sedalam (75-100%) Dm, atau (5,0-&lt;6,6)m dimuat ke DT dengan Excavator std</t>
  </si>
  <si>
    <t>A.3.01.1g.1.a</t>
  </si>
  <si>
    <t>1 m3 Memuat tanah biasa dari SP/hasil galian ke DT dengan Excavator std, dan angkut 1 km</t>
  </si>
  <si>
    <t>A.3.01.1g.1.b</t>
  </si>
  <si>
    <t>1 m3 Gali dan memuat tanah biasa dari SP/hasil galian ke DT dengan Excavator std, dan angkut 1 km</t>
  </si>
  <si>
    <t>A.3.01.1g.2.a</t>
  </si>
  <si>
    <t>1 m3 Memuat tanah liat/lempung dari SP/hasil galian ke DT dengan Excavator std, dan angkut 1 km</t>
  </si>
  <si>
    <t>A.3.01.1g.2.b</t>
  </si>
  <si>
    <t>A.3.01.1g.3.a</t>
  </si>
  <si>
    <t>1 m3 Memuat cadas/tanah keras dari SP/hasil galian ke DT dengan Excavator std, dan angkut 1 km</t>
  </si>
  <si>
    <t>A.3.01.1g.3.b</t>
  </si>
  <si>
    <t>1 m3 Gali dan memuat cadas/tanah keras dari SP/hasil galian ke DT dengan Excavator std, dan angkut 1 km</t>
  </si>
  <si>
    <t>A.3.01.2b.1</t>
  </si>
  <si>
    <t>1 m3 Memuat dan angkut tanah biasa menggunakan DT dengan jarak angkut 1 km</t>
  </si>
  <si>
    <t>A.3.01.2b.2</t>
  </si>
  <si>
    <t>1 m3 Memuat dan angkut cadas/tanah keras menggunakan DT dengan jarak angkut 1 km</t>
  </si>
  <si>
    <t>A.3.01.2b.3</t>
  </si>
  <si>
    <t>1 m3 Memuat dan angkut batu pecah menggunakan DT dengan jarak angkut 1 km</t>
  </si>
  <si>
    <t>A.3.01.2d.2</t>
  </si>
  <si>
    <t>1 m3 Memuat pakai excavator dan membuang limbah pohon/tunggul/akar menggunakan DT dengan jarak angkut 2 km</t>
  </si>
  <si>
    <t>A.3.01.2d.3</t>
  </si>
  <si>
    <t>1 m3 Menggali dan memuat pakai excavator dan angkut material yang tidak terpakai menggunakan DT dengan jarak angkut 2 km</t>
  </si>
  <si>
    <t>A.3.01.2d.5</t>
  </si>
  <si>
    <t>1 m3 Menggali dan memuat tanah biasa dari BA pakai excavator dan angkut material yang tidak terpakai menggunakan DT dengan jarak angkut 2 km</t>
  </si>
  <si>
    <t>A.3.02.1a</t>
  </si>
  <si>
    <t>1 m3 Stripping/kupas top soil di BA, gali dengan Excavator dan angkut ke lokasi pekerjaan</t>
  </si>
  <si>
    <t>A.3.02.1b</t>
  </si>
  <si>
    <t>1 m3 Pembuangan material yang tidak terpakai menggunakan DT dan diangkut ke dumpsite</t>
  </si>
  <si>
    <t>A.3.02.1c</t>
  </si>
  <si>
    <t>1 m3 Penambahan tanah bahan tanggul dari BA menggunakan DT ke lokasi pekerjaan</t>
  </si>
  <si>
    <t>A.3.02.1d.1</t>
  </si>
  <si>
    <t>1 m3 Urugan tanah di tempat sempit, tidak menggunakan vibro roller</t>
  </si>
  <si>
    <t>A.3.02.1d.2</t>
  </si>
  <si>
    <t xml:space="preserve">1 m3 Penghamparan, perataan dan pemadatan tanah ringan </t>
  </si>
  <si>
    <t>A.3.02.1d.3</t>
  </si>
  <si>
    <t>1 m3 Penghamparan, perataan dan pemadatan tanah berat</t>
  </si>
  <si>
    <t>A.3.02.1e.1</t>
  </si>
  <si>
    <t>1 m2 Finishing badan tanggul, dipapras pakai excavator</t>
  </si>
  <si>
    <t>A.3.02.2a.1</t>
  </si>
  <si>
    <t>1 m' Pemasangan atau pengambilan gambangan secara semi mekanis</t>
  </si>
  <si>
    <t>1 m' Pemasangan atau pengambilan gambangan secara mekanis</t>
  </si>
  <si>
    <t>A.3.02.2b.1</t>
  </si>
  <si>
    <t>1 m3 Galian Tanah di Rawa menggunakan Excavator Standar</t>
  </si>
  <si>
    <t>A.3.02.2b.3</t>
  </si>
  <si>
    <t>1 m3 Angkut material hasil galian di rawa menggunakan DT sejauh 1,5 km</t>
  </si>
  <si>
    <t>A.3.02.3a</t>
  </si>
  <si>
    <t>1 m3 Gali dan urug posisi dekat</t>
  </si>
  <si>
    <t>A.3.02.3b</t>
  </si>
  <si>
    <t>1 m3 Gali dan urug posisi jauh</t>
  </si>
  <si>
    <t>A.3.03.2c</t>
  </si>
  <si>
    <t>1 m2 Tempat penirisan sedimen (TPS)</t>
  </si>
  <si>
    <t>A.3.03.4a</t>
  </si>
  <si>
    <t>1 m3 Pemanenan gulma air</t>
  </si>
  <si>
    <t>A.1.02.1a.1</t>
  </si>
  <si>
    <t>1 m3 Pasangan batu belah dengan mortar tipe M (17,2 Mpa) / 1PC : 2PS / 1PC : 2PS, manual, beda tinggi 0 s.d. 1 m</t>
  </si>
  <si>
    <t>A.1.02.1a.6</t>
  </si>
  <si>
    <t>1 m3 Pasangan batu belah dengan mortar tipe M (17,2 Mpa) / 1PC : 2PS / 1PC : 2PS, manual, beda tinggi 5 s.d. 6 m</t>
  </si>
  <si>
    <t>A.2.02.1a.1</t>
  </si>
  <si>
    <t>1 m3 Pasangan batu belah dengan mortar tipe M (17,2 Mpa) / 1PC : 2PS / 1PC : 2PS, semi mekanis, beda tinggi 0 s.d. 1 m</t>
  </si>
  <si>
    <t>A.2.02.1a.6</t>
  </si>
  <si>
    <t>1 m3 Pasangan batu belah dengan mortar tipe M (17,2 Mpa) / 1PC : 2PS / 1PC : 2PS, semi mekanis, beda tinggi 5 s.d. 6 m</t>
  </si>
  <si>
    <t>A.1.02.1b.1</t>
  </si>
  <si>
    <t>1 m3 Pasangan batu belah dengan mortar tipe S (12,5 Mpa) / 1PC : 3PS, manual, beda tinggi 0 s.d. 1 m</t>
  </si>
  <si>
    <t>A.1.02.1b.6</t>
  </si>
  <si>
    <t>1 m3 Pasangan batu belah dengan mortar tipe S (12,5 Mpa) / 1PC : 3PS, manual, beda tinggi 5 s.d. 6 m</t>
  </si>
  <si>
    <t>A.2.02.1b.1</t>
  </si>
  <si>
    <t>1 m3 Pasangan batu belah dengan mortar tipe S (12,5 Mpa) / 1PC : 3PS, semi mekanis, beda tinggi 0 s.d. 1 m</t>
  </si>
  <si>
    <t>A.2.02.1b.6</t>
  </si>
  <si>
    <t>1 m3 Pasangan batu belah dengan mortar tipe S (12,5 Mpa) / 1PC : 3PS, semi mekanis, beda tinggi 5 s.d. 6 m</t>
  </si>
  <si>
    <t>A.1.02.1c.1</t>
  </si>
  <si>
    <t>1 m3 Pasangan batu belah dengan mortar tipe N (5,2 Mpa) / 1PC : 4PS, manual, beda tinggi 0 s.d. 1 m</t>
  </si>
  <si>
    <t>A.2.02.1c.2</t>
  </si>
  <si>
    <t>1 m3 Pasangan batu belah dengan mortar tipe N (5,2 Mpa) / 1PC : 4PS, semi mekanis, beda tinggi 0 s.d. 1 m</t>
  </si>
  <si>
    <t>A.1.02.1e.1</t>
  </si>
  <si>
    <t>1 m3 Pembersihan bongkaran pasangan batu untuk dimanfaatkan kembali material batu</t>
  </si>
  <si>
    <t>A.1.02.2a.1</t>
  </si>
  <si>
    <t>1 m3 Pasangan batu merah dengan mortar tipe M (17,2 Mpa) / 1PC : 2PS, manual, beda tinggi 0 s.d. 1 m</t>
  </si>
  <si>
    <t>A.1.02.2a.6</t>
  </si>
  <si>
    <t>A.2.02.2a.1</t>
  </si>
  <si>
    <t>1 m3 Pasangan batu merah dengan mortar tipe M (17,2 Mpa) / 1PC : 2PS , semi mekanis, beda tinggi 0 s.d. 1 m</t>
  </si>
  <si>
    <t>A.2.02.2a.6</t>
  </si>
  <si>
    <t>1 m3 Pasangan batu merah dengan mortar tipe M (17,2 Mpa) / 1PC : 2PS , semi mekanis, beda tinggi 5 s.d. 6 m</t>
  </si>
  <si>
    <t>A.1.02.2b.1</t>
  </si>
  <si>
    <t>1 m3 Pasangan batu merah dengan mortar tipe S (12,5 Mpa) / 1PC : 3PS, manual, beda tinggi 0 s.d. 1 m</t>
  </si>
  <si>
    <t>A.2.02.2b.1</t>
  </si>
  <si>
    <t>1 m3 Pasangan batu merah dengan mortar tipe S (12,5 Mpa) / 1PC : 3PS, semi mekanis, beda tinggi 0 s.d. 1 m</t>
  </si>
  <si>
    <t>A.1.02.2c.1</t>
  </si>
  <si>
    <t>1 m3 Pasangan batu merah dengan mortar tipe N (5,2 Mpa) / 1PC : 4PS, manual, beda tinggi 0 s.d. 1 m</t>
  </si>
  <si>
    <t>A.2.02.2c.1</t>
  </si>
  <si>
    <t>1 m3 Pasangan batu merah dengan mortar tipe N (5,2 Mpa) / 1PC : 4PS, semi mekanis, beda tinggi 0 s.d. 1 m</t>
  </si>
  <si>
    <t>A.1.02.2e.1</t>
  </si>
  <si>
    <t>1 m3 Bongkar pasangan bata merah dengan jack hammer</t>
  </si>
  <si>
    <t>A.1.02.3a.1</t>
  </si>
  <si>
    <t xml:space="preserve">1 m2 Pekerjaan siaran pasangan dinding dengan mortar tipe M (17,2 Mpa) / 1PC : 2PS </t>
  </si>
  <si>
    <t>A.1.02.3a.2</t>
  </si>
  <si>
    <t xml:space="preserve">1 m2 Pekerjaan siaran pasangan dinding dengan mortar tipe S (12,5 Mpa) / 1PC : 3PS </t>
  </si>
  <si>
    <t>A.1.02.3b.1</t>
  </si>
  <si>
    <t>1 m2 Pekerjaan plesteran trasraam tebal 1 cm dengan mortar tipe M (17,2 Mpa) / 1PC : 2PS</t>
  </si>
  <si>
    <t>A.1.02.3b.2</t>
  </si>
  <si>
    <t>1 m2 Pekerjaan plesteran trasraam tebal 1 cm dengan mortar tipe S (12,5 Mpa) / 1PC : 3PS</t>
  </si>
  <si>
    <t>A.1.02.3b.5</t>
  </si>
  <si>
    <t>1 m2 Pekerjaan plesteran trasraam tebal 1 cm dengan mortar tipe N (5,2 Mpa) / 1PC : 4PS</t>
  </si>
  <si>
    <t>A.1.02.3b.7</t>
  </si>
  <si>
    <t>1 m2 Pekerjaan plesteran trasraam tebal 1,5 cm dengan mortar tipe M (17,2 Mpa) / 1PC : 2PS</t>
  </si>
  <si>
    <t>A.1.02.3b.8</t>
  </si>
  <si>
    <t>1 m2 Pekerjaan plesteran trasraam tebal 1,5 cm dengan mortar tipe S (12,5 Mpa) / 1PC : 3PS</t>
  </si>
  <si>
    <t>A.1.02.3b.9</t>
  </si>
  <si>
    <t>1 m2 Pekerjaan plesteran trasraam tebal 1,5 cm dengan mortar tipe N (5,2 Mpa) / 1PC : 4PS</t>
  </si>
  <si>
    <t>A.1.02.3c</t>
  </si>
  <si>
    <t>1 m2 Pekerjaan acian</t>
  </si>
  <si>
    <t>A.1.02.4a.1.a</t>
  </si>
  <si>
    <t>1 m3 Pasangan batu kosong yang teratur dan padat - sedikit rongga, beda tinggi 0 s.d 1 m</t>
  </si>
  <si>
    <t>A.1.02.4a.1.d</t>
  </si>
  <si>
    <t>1 m3 Pasangan batu kosong yang teratur dan padat - sedikit rongga, beda tinggi 3 s.d 4 m</t>
  </si>
  <si>
    <t>A.1.02.4a.2.a</t>
  </si>
  <si>
    <t>1 m3 Pasangan batu kosong tidak teratur dan kurang padat - banyak rongga, beda tinggi 0 s.d 1 m</t>
  </si>
  <si>
    <t>A.1.02.4a.2.d</t>
  </si>
  <si>
    <t>1 m3 Pasangan batu kosong tidak teratur dan kurang padat - banyak rongga, beda tinggi 3 s.d 4 m</t>
  </si>
  <si>
    <t>A.1.02.4b.2.a</t>
  </si>
  <si>
    <t>1 m3 Pasangan batu bronjong kawat pabrikasi, lubang heksagonal 80x100mm beda tinggi 0 s.d. 1 m</t>
  </si>
  <si>
    <t>A.1.02.4b.2.d</t>
  </si>
  <si>
    <t>1 m3 Pasangan batu bronjong kawat pabrikasi, lubang heksagonal 80x100mm beda tinggi 3 s.d. 4 m</t>
  </si>
  <si>
    <t>A.1.02.5a.1</t>
  </si>
  <si>
    <t>1 m2 Pasangan Batu Muka</t>
  </si>
  <si>
    <t>A.1.02.5a.2</t>
  </si>
  <si>
    <t>1 m2 Pasangan Batu Candi</t>
  </si>
  <si>
    <t>A.1.02.5b.1</t>
  </si>
  <si>
    <t>1 m2 Pasangan Geotextile tipis 100 s.d. 400 gr/m2, secara manual</t>
  </si>
  <si>
    <t>A.1.02.5b.2</t>
  </si>
  <si>
    <t>1 m2 Pasangan Geotextile sedang 400 s.d. 800 gr/m2, secara manual</t>
  </si>
  <si>
    <t>A.1.02.5b.4a</t>
  </si>
  <si>
    <t>1 m' Penjahitan pada geotekstil tipis 100 s.d. 400 gr/m2, secara mekanis</t>
  </si>
  <si>
    <t>A.1.02.5b.4b</t>
  </si>
  <si>
    <t>1 m' Penjahitan pada geotekstil tipis 400 s.d. 800 gr/m2, secara mekanis</t>
  </si>
  <si>
    <t>A.2.02.5c.1</t>
  </si>
  <si>
    <t>1 m2 Pekerjaan bar screen / saringan kasar pada intake, pengukur - pengatur lainnya</t>
  </si>
  <si>
    <t>A.2.02.5c.2</t>
  </si>
  <si>
    <t>1 m' Ambang ukur pada bangunan pengukur dan/atau pengatur</t>
  </si>
  <si>
    <t>A.1.02.5c.1</t>
  </si>
  <si>
    <t>1 m' Mistar duga muka air</t>
  </si>
  <si>
    <t>A.2.02.5d.3</t>
  </si>
  <si>
    <t>1 m' Pasangan pipa suling - suling</t>
  </si>
  <si>
    <t>A.1.03.1a.1</t>
  </si>
  <si>
    <t>1 m3 Beton mutu rendah fc' 10 Mpa, slump (10±2,5)cm, agregat maks 19 mm secara manual</t>
  </si>
  <si>
    <t>A.1.03.1a.2</t>
  </si>
  <si>
    <t>1 m3 Beton mutu rendah fc' 15 Mpa, slump (10±2,5)cm, agregat maks 19 mm secara manual</t>
  </si>
  <si>
    <t>A.1.03.1b.1</t>
  </si>
  <si>
    <t>1 m3 Beton mutu sedang fc' 20 Mpa, slump (10±2,5)cm, agregat maks 19 mm secara manual</t>
  </si>
  <si>
    <t>A.1.03.1b.2</t>
  </si>
  <si>
    <t>1 m3 Beton mutu sedang fc' 25 Mpa, slump (10±2,5)cm, agregat maks 19 mm secara manual</t>
  </si>
  <si>
    <t>A.2.03.1b.1</t>
  </si>
  <si>
    <t>1 m3 Beton mutu sedang fc' 40 Mpa, slump (10±2,5)cm, agregat maks 19 mm secara semi mekanis</t>
  </si>
  <si>
    <t>A.1.03.1c.1</t>
  </si>
  <si>
    <t>1 m3 Beton readymix dicor secara manual</t>
  </si>
  <si>
    <t>disesuaikan mutu betonnya yang digunakan</t>
  </si>
  <si>
    <t>A.2.03.1c.1</t>
  </si>
  <si>
    <t>1 m3 Beton readymix dicor menggunakan pompa beton</t>
  </si>
  <si>
    <t>A.1.03.2b.1</t>
  </si>
  <si>
    <t>1 m2 Bekisting biasa lantai beton dengan multiplek 12 - 18 mm</t>
  </si>
  <si>
    <t>A.1.03.2b.2</t>
  </si>
  <si>
    <t>1 m2 Bekisting expose plat lantai beton dengan multiplek 18 mm, JaTm 0,60 m</t>
  </si>
  <si>
    <t>A.1.03.2b.4</t>
  </si>
  <si>
    <t>1 m2 Perancah bekisting lantai beton dengan kaso 5/7 tinggi 4 m, JaTm 0,60 m</t>
  </si>
  <si>
    <t>A.1.03.2b.5</t>
  </si>
  <si>
    <t>1 m2 Perancah bekisting lantai beton dengan dolken dia 8-10cm tinggi 4 m, JaTm 0,60 m</t>
  </si>
  <si>
    <t>A.1.03.2b.6</t>
  </si>
  <si>
    <t>1 m2 Perancah bekisting lantai beton dengan bambu dia 8-10cm tinggi 4 m, JaTm 0,60 m</t>
  </si>
  <si>
    <t>A.1.03.2d.1</t>
  </si>
  <si>
    <t>1 m2 Bekisting biasa balok beton dengan multiplek 12 - 18 mm</t>
  </si>
  <si>
    <t>A.1.03.2d.2</t>
  </si>
  <si>
    <t>1 m2 Bekisting expose balok beton dengan multiplek 18 mm, JaTm 1,0 m</t>
  </si>
  <si>
    <t>A.1.03.2d.4</t>
  </si>
  <si>
    <t>1 m2 Perancah bekisting balok beton dengan kaso 5/7 tinggi 4 m, JaTm 1,0 m</t>
  </si>
  <si>
    <t>A.1.03.2d.5</t>
  </si>
  <si>
    <t>1 m2 Perancah bekisting balok beton dengan dolken dia 8-10cm tinggi 4 m, JaTm 1,2 m</t>
  </si>
  <si>
    <t>A.1.03.2d.6</t>
  </si>
  <si>
    <t>1 m2 Perancah bekisting balok beton dengan bambu dia 8-10cm tinggi 4 m, JaTm 1,0 m</t>
  </si>
  <si>
    <t>A.1.03.2e.1</t>
  </si>
  <si>
    <t>1 m2 Bekisting biasa kolom beton dengan multiplek 12 - 18 mm</t>
  </si>
  <si>
    <t>A.1.03.2e.2</t>
  </si>
  <si>
    <t>1 m2 Bekisting expose kolom beton dengan multiplek 18 mm</t>
  </si>
  <si>
    <t>A.1.03.2e.4</t>
  </si>
  <si>
    <t>1 m2 Perancah bekisting kolom beton dengan kaso 5/7 tinggi 4 m, JaTm 1,0 m</t>
  </si>
  <si>
    <t>A.1.03.2e.5</t>
  </si>
  <si>
    <t>1 m2 Perancah bekisting kolom beton dengan dolken dia 8-10cm tinggi 4 m, JaTm 1,2 m</t>
  </si>
  <si>
    <t>A.1.03.2e.6</t>
  </si>
  <si>
    <t>1 m2 Perancah bekisting kolom beton dengan bambu dia 8-10cm tinggi 4 m, JaTm 1,0 m</t>
  </si>
  <si>
    <t>A.1.03.2f.1</t>
  </si>
  <si>
    <t>1 m2 Bekisting biasa dinding beton dengan multiplek 12 - 18 mm</t>
  </si>
  <si>
    <t>A.1.03.2f.2</t>
  </si>
  <si>
    <t>1 m2 Bekisting expose dinding beton dengan multiplek 18 mm</t>
  </si>
  <si>
    <t>A.1.03.2f.4</t>
  </si>
  <si>
    <t>1 m2 Perancah bekisting dinding beton dengan kaso 5/7 tinggi 4 m, JaTm 1,0 m</t>
  </si>
  <si>
    <t>1 m2 Perancah bekisting balok 8/12 untuk dinding beton Tm 4,5 m</t>
  </si>
  <si>
    <t>A.1.03.2g.1</t>
  </si>
  <si>
    <t>1 m2 Bekisting biasa untuk pondasi dan sloof beton dengan multiplek 12 - 18 mm</t>
  </si>
  <si>
    <t>A.1.03.2g.3</t>
  </si>
  <si>
    <t>1 m2 Perancah bekisting  kaso 5/7 untuk pondasi dan sloof beton , Tm 2,0 m</t>
  </si>
  <si>
    <t>A.1.03.2i.1</t>
  </si>
  <si>
    <t>1 m2 Bongkar bekisting dan perancah secara biasa (beserta membereskan puing)</t>
  </si>
  <si>
    <t>A.1.03.2i.2</t>
  </si>
  <si>
    <t>1 m2 Bongkar bekisting dan perancah secara hati - hati (beserta membereskan puing)</t>
  </si>
  <si>
    <t>A.2.03.2j.2</t>
  </si>
  <si>
    <t>1 m3 Bongkar beton dengan Jack Hammer kompressor 75HP</t>
  </si>
  <si>
    <t xml:space="preserve">A.1.04.1a </t>
  </si>
  <si>
    <t>1 buah Kisdam pasir/tanah, karung plastik/bagor/goni (karung 25kg) uk 43x65 cm</t>
  </si>
  <si>
    <t>A.1.04.2</t>
  </si>
  <si>
    <t>1 unit kerangka kayu untuk 1m3 kisdam pasir/tanah</t>
  </si>
  <si>
    <t>A.1.04.3</t>
  </si>
  <si>
    <t>1 unit kerangka profil siku L 40x40 untuk 1m3 kisdam pasir/tanah</t>
  </si>
  <si>
    <t>A.2.06.1</t>
  </si>
  <si>
    <t>1 unit Pemasangan pintu angkat</t>
  </si>
  <si>
    <t>disesuaikan jenis pintu</t>
  </si>
  <si>
    <t>A.2.06.2</t>
  </si>
  <si>
    <t>1 unit Pemasangan pintu sorong kayu</t>
  </si>
  <si>
    <t>A.2.06.3</t>
  </si>
  <si>
    <t>1 unit Pemasangan pintu sorong baja dengan roda gigi</t>
  </si>
  <si>
    <t>A.1.07.7a</t>
  </si>
  <si>
    <t>1 m2 Pasangan Geotekstil (land base)</t>
  </si>
  <si>
    <t>A.1.08.1a</t>
  </si>
  <si>
    <t>1 m' Rangka baja L.40.40.4 dengan tinggi 1,8 m</t>
  </si>
  <si>
    <t>A.1.08.1b</t>
  </si>
  <si>
    <t>1 m' Rangka kayu dengan tinggi 1,8 m</t>
  </si>
  <si>
    <t>A.1.08.2a</t>
  </si>
  <si>
    <t>Fasilitas</t>
  </si>
  <si>
    <t>A.1.08.2b</t>
  </si>
  <si>
    <t>Kebutuhan lain - lain</t>
  </si>
  <si>
    <t>A.1.08.3a</t>
  </si>
  <si>
    <t>1 m3 Pengangkatan gulma dan/atau sampah apung seccara manual</t>
  </si>
  <si>
    <t>A.1.08.4a</t>
  </si>
  <si>
    <t>1 m3 Pengangkatan gulma padat dan/atau sampah ketebalan 25 cm secara manual</t>
  </si>
  <si>
    <t>A.2.08.4a</t>
  </si>
  <si>
    <t>1 m3 Pengangkatan gulma padat dan/atau sampah ketebalan 25 cm secara semi mekanis</t>
  </si>
  <si>
    <t>A.2.08.6a</t>
  </si>
  <si>
    <t>1 kg Pemasangan besi biasa, profil siku, IWF, INP, UNP atau pipa</t>
  </si>
  <si>
    <t>A.3.09.2a.1.a</t>
  </si>
  <si>
    <t>1 m' Pasangan Uditch 40x60x120 cm (tanpa seal karet)</t>
  </si>
  <si>
    <t>A.3.09.2a.2.a</t>
  </si>
  <si>
    <t>1 m' Pasangan Uditch 100x100x120 cm (tanpa seal karet)</t>
  </si>
  <si>
    <t>A.3.09.2b.1.a</t>
  </si>
  <si>
    <t>1 m' Pasangan Box Culvert 40x40x100 cm (tanpa seal karet)</t>
  </si>
  <si>
    <t>A.3.09.2b.2.a</t>
  </si>
  <si>
    <t>1 m' Pasangan Box Culvert 60x60x100 cm (tanpa seal karet)</t>
  </si>
  <si>
    <t>A.3.09.2b.3.a</t>
  </si>
  <si>
    <t>1 m' Pasangan Box Culvert 100x100x100 cm (tanpa seal karet)</t>
  </si>
  <si>
    <t>A.3.05.3a.1.b</t>
  </si>
  <si>
    <t>1 m' Pemancangan dolken galam 8-10 cm</t>
  </si>
  <si>
    <t>A.3.05.3a.1.c</t>
  </si>
  <si>
    <t>1 m' Pemancangan cerucuk bambu 8-10 cm</t>
  </si>
  <si>
    <t>A.1.01.a1</t>
  </si>
  <si>
    <t>1 m2 Pembersihan dan pengupasan permukaan tanah (stripping) s.d. tanaman dia.</t>
  </si>
  <si>
    <t>A.1.04.1a</t>
  </si>
  <si>
    <t>1 buah Kisdam pasir/tanah, Karung plastik / bagor /bagor/goni (karung 25kg) uk 43x65 cm</t>
  </si>
  <si>
    <t>1 m' Pemasangan pipa PVC 8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</si>
</sst>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i/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9" fillId="0" borderId="0"/>
  </cellStyleXfs>
  <cellXfs count="22">
    <xf numFmtId="0" fontId="0" fillId="0" borderId="0" xfId="0"/>
    <xf numFmtId="43" fontId="0" fillId="0" borderId="0" xfId="1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4" fontId="6" fillId="2" borderId="3" xfId="2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164" fontId="6" fillId="2" borderId="6" xfId="2" applyNumberFormat="1" applyFont="1" applyFill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43" fontId="7" fillId="0" borderId="1" xfId="1" applyFont="1" applyBorder="1"/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0" fontId="8" fillId="0" borderId="0" xfId="0" applyFont="1"/>
    <xf numFmtId="0" fontId="10" fillId="3" borderId="1" xfId="3" applyFont="1" applyFill="1" applyBorder="1" applyAlignment="1">
      <alignment horizontal="left" vertical="center"/>
    </xf>
  </cellXfs>
  <cellStyles count="4">
    <cellStyle name="Comma" xfId="1" builtinId="3"/>
    <cellStyle name="Comma [0]" xfId="2" builtinId="6"/>
    <cellStyle name="Normal" xfId="0" builtinId="0"/>
    <cellStyle name="Normal 10" xfId="3" xr:uid="{5BACFFA2-7276-420D-8A43-D7A5D277A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AHSP_SID_OPLAH-CSR_KALTARA_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/>
      <sheetData sheetId="1"/>
      <sheetData sheetId="2"/>
      <sheetData sheetId="3"/>
      <sheetData sheetId="4">
        <row r="25">
          <cell r="H25">
            <v>6750</v>
          </cell>
        </row>
        <row r="47">
          <cell r="H47">
            <v>456030</v>
          </cell>
        </row>
        <row r="69">
          <cell r="H69">
            <v>506250</v>
          </cell>
        </row>
        <row r="91">
          <cell r="H91">
            <v>556875</v>
          </cell>
        </row>
        <row r="113">
          <cell r="H113">
            <v>1687.5</v>
          </cell>
        </row>
        <row r="137">
          <cell r="H137">
            <v>124049.98980000001</v>
          </cell>
        </row>
        <row r="161">
          <cell r="H161">
            <v>144505.46110000001</v>
          </cell>
        </row>
        <row r="185">
          <cell r="H185">
            <v>169693.32199999999</v>
          </cell>
        </row>
        <row r="209">
          <cell r="H209">
            <v>104000</v>
          </cell>
        </row>
        <row r="233">
          <cell r="H233">
            <v>18427.2</v>
          </cell>
        </row>
        <row r="257">
          <cell r="H257">
            <v>18190.193842600002</v>
          </cell>
        </row>
        <row r="281">
          <cell r="H281">
            <v>9819.3701180000007</v>
          </cell>
        </row>
        <row r="305">
          <cell r="H305">
            <v>9608.8596940000007</v>
          </cell>
        </row>
        <row r="329">
          <cell r="H329">
            <v>13681.771288000002</v>
          </cell>
        </row>
        <row r="353">
          <cell r="H353">
            <v>15115.557794000002</v>
          </cell>
        </row>
        <row r="377">
          <cell r="H377">
            <v>21406.198628000002</v>
          </cell>
        </row>
        <row r="401">
          <cell r="H401">
            <v>12910.078554000002</v>
          </cell>
        </row>
        <row r="425">
          <cell r="H425">
            <v>26150.453994000003</v>
          </cell>
        </row>
        <row r="449">
          <cell r="H449">
            <v>10704.599314000001</v>
          </cell>
        </row>
        <row r="473">
          <cell r="H473">
            <v>11918.062896000001</v>
          </cell>
        </row>
        <row r="497">
          <cell r="H497">
            <v>13130.026478000002</v>
          </cell>
        </row>
        <row r="521">
          <cell r="H521">
            <v>9726.5943520000001</v>
          </cell>
        </row>
        <row r="545">
          <cell r="H545">
            <v>10835.565543999999</v>
          </cell>
        </row>
        <row r="569">
          <cell r="H569">
            <v>11942.661736</v>
          </cell>
        </row>
        <row r="593">
          <cell r="H593">
            <v>7501.1044160000001</v>
          </cell>
        </row>
        <row r="617">
          <cell r="H617">
            <v>8276.1721500000003</v>
          </cell>
        </row>
        <row r="641">
          <cell r="H641">
            <v>12945.776478000002</v>
          </cell>
        </row>
        <row r="665">
          <cell r="H665">
            <v>4986.6203639999994</v>
          </cell>
        </row>
        <row r="689">
          <cell r="H689">
            <v>5541.105959999999</v>
          </cell>
        </row>
        <row r="713">
          <cell r="H713">
            <v>6081.7165560000003</v>
          </cell>
        </row>
        <row r="737">
          <cell r="H737">
            <v>12248.359782000001</v>
          </cell>
        </row>
        <row r="761">
          <cell r="H761">
            <v>13571.797326000002</v>
          </cell>
        </row>
        <row r="785">
          <cell r="H785">
            <v>15007.083832</v>
          </cell>
        </row>
        <row r="809">
          <cell r="H809">
            <v>12248.359782000001</v>
          </cell>
        </row>
        <row r="833">
          <cell r="H833">
            <v>13681.771288000002</v>
          </cell>
        </row>
        <row r="857">
          <cell r="H857">
            <v>15007.083832</v>
          </cell>
        </row>
        <row r="881">
          <cell r="H881">
            <v>39105.418183000002</v>
          </cell>
        </row>
        <row r="905">
          <cell r="H905">
            <v>43003.329776999999</v>
          </cell>
        </row>
        <row r="929">
          <cell r="H929">
            <v>39105.418183000002</v>
          </cell>
        </row>
        <row r="953">
          <cell r="H953">
            <v>44678.378272800001</v>
          </cell>
        </row>
        <row r="977">
          <cell r="H977">
            <v>57680.282088900007</v>
          </cell>
        </row>
        <row r="1001">
          <cell r="H1001">
            <v>65572.984458900013</v>
          </cell>
        </row>
        <row r="1025">
          <cell r="H1025">
            <v>36094.279775100003</v>
          </cell>
        </row>
        <row r="1049">
          <cell r="H1049">
            <v>50657.001597000002</v>
          </cell>
        </row>
        <row r="1073">
          <cell r="H1073">
            <v>40954.739781000004</v>
          </cell>
        </row>
        <row r="1097">
          <cell r="H1097">
            <v>56856.444247000007</v>
          </cell>
        </row>
        <row r="1121">
          <cell r="H1121">
            <v>63874.540953000003</v>
          </cell>
        </row>
        <row r="1145">
          <cell r="H1145">
            <v>179454.13444600001</v>
          </cell>
        </row>
        <row r="1170">
          <cell r="H1170">
            <v>131907.07818050002</v>
          </cell>
        </row>
        <row r="1195">
          <cell r="H1195">
            <v>90173.289344100005</v>
          </cell>
        </row>
        <row r="1220">
          <cell r="H1220">
            <v>221892.72620850001</v>
          </cell>
        </row>
        <row r="1245">
          <cell r="H1245">
            <v>14110.478755</v>
          </cell>
        </row>
        <row r="1270">
          <cell r="H1270">
            <v>16295.349559</v>
          </cell>
        </row>
        <row r="1297">
          <cell r="H1297">
            <v>17558.134566215816</v>
          </cell>
        </row>
        <row r="1322">
          <cell r="H1322">
            <v>21262.292400000002</v>
          </cell>
        </row>
        <row r="1347">
          <cell r="H1347">
            <v>50281.246194000007</v>
          </cell>
        </row>
        <row r="1397">
          <cell r="H1397">
            <v>6636.9846060000009</v>
          </cell>
        </row>
        <row r="1422">
          <cell r="H1422">
            <v>50053.658432999997</v>
          </cell>
        </row>
        <row r="1447">
          <cell r="H1447">
            <v>14784.771332</v>
          </cell>
        </row>
        <row r="1472">
          <cell r="H1472">
            <v>22178.000748000002</v>
          </cell>
        </row>
        <row r="1501">
          <cell r="H1501">
            <v>2117202.4382480001</v>
          </cell>
        </row>
        <row r="1527">
          <cell r="H1527">
            <v>312904.34900300001</v>
          </cell>
        </row>
        <row r="1552">
          <cell r="H1552">
            <v>1646535.2</v>
          </cell>
        </row>
        <row r="1577">
          <cell r="H1577">
            <v>1883928.2</v>
          </cell>
        </row>
        <row r="1602">
          <cell r="H1602">
            <v>1584660.5911999999</v>
          </cell>
        </row>
        <row r="1627">
          <cell r="H1627">
            <v>1867384.5911999999</v>
          </cell>
        </row>
        <row r="1652">
          <cell r="H1652">
            <v>1540374.8</v>
          </cell>
        </row>
        <row r="1677">
          <cell r="H1677">
            <v>1777767.8</v>
          </cell>
        </row>
        <row r="1702">
          <cell r="H1702">
            <v>1478500.1912</v>
          </cell>
        </row>
        <row r="1727">
          <cell r="H1727">
            <v>1761224.1912</v>
          </cell>
        </row>
        <row r="1752">
          <cell r="H1752">
            <v>1457546.6</v>
          </cell>
        </row>
        <row r="1777">
          <cell r="H1777">
            <v>1395671.9912</v>
          </cell>
        </row>
        <row r="1803">
          <cell r="H1803">
            <v>46723.16</v>
          </cell>
        </row>
        <row r="1828">
          <cell r="H1828">
            <v>1485290.352</v>
          </cell>
        </row>
        <row r="1853">
          <cell r="H1853">
            <v>1725595.852</v>
          </cell>
        </row>
        <row r="1878">
          <cell r="H1878">
            <v>1378274.456</v>
          </cell>
        </row>
        <row r="1903">
          <cell r="H1903">
            <v>1603087.9080000001</v>
          </cell>
        </row>
        <row r="1928">
          <cell r="H1928">
            <v>1408994.28</v>
          </cell>
        </row>
        <row r="1953">
          <cell r="H1953">
            <v>1286486.3360000001</v>
          </cell>
        </row>
        <row r="1978">
          <cell r="H1978">
            <v>1357841.4839999999</v>
          </cell>
        </row>
        <row r="2003">
          <cell r="H2003">
            <v>1235333.54</v>
          </cell>
        </row>
        <row r="2028">
          <cell r="H2028">
            <v>22154.76</v>
          </cell>
        </row>
        <row r="2053">
          <cell r="H2053">
            <v>86608.94</v>
          </cell>
        </row>
        <row r="2078">
          <cell r="H2078">
            <v>85489.172000000006</v>
          </cell>
        </row>
        <row r="2103">
          <cell r="H2103">
            <v>58981.887999999999</v>
          </cell>
        </row>
        <row r="2128">
          <cell r="H2128">
            <v>55639.455999999998</v>
          </cell>
        </row>
        <row r="2153">
          <cell r="H2153">
            <v>53552.656000000003</v>
          </cell>
        </row>
        <row r="2178">
          <cell r="H2178">
            <v>80449.744000000006</v>
          </cell>
        </row>
        <row r="2203">
          <cell r="H2203">
            <v>75436.09599999999</v>
          </cell>
        </row>
        <row r="2228">
          <cell r="H2228">
            <v>72317.440000000002</v>
          </cell>
        </row>
        <row r="2252">
          <cell r="H2252">
            <v>47575.75</v>
          </cell>
        </row>
        <row r="2277">
          <cell r="H2277">
            <v>864287.5</v>
          </cell>
        </row>
        <row r="2302">
          <cell r="H2302">
            <v>953142</v>
          </cell>
        </row>
        <row r="2327">
          <cell r="H2327">
            <v>734036</v>
          </cell>
        </row>
        <row r="2352">
          <cell r="H2352">
            <v>822890.5</v>
          </cell>
        </row>
        <row r="2377">
          <cell r="H2377">
            <v>886409.16</v>
          </cell>
        </row>
        <row r="2404">
          <cell r="H2404">
            <v>961013.66</v>
          </cell>
        </row>
        <row r="2432">
          <cell r="H2432">
            <v>456252</v>
          </cell>
        </row>
        <row r="2458">
          <cell r="H2458">
            <v>456252</v>
          </cell>
        </row>
        <row r="2483">
          <cell r="H2483">
            <v>150394.5</v>
          </cell>
        </row>
        <row r="2508">
          <cell r="H2508">
            <v>160751</v>
          </cell>
        </row>
        <row r="2533">
          <cell r="H2533">
            <v>2566.6499999999996</v>
          </cell>
        </row>
        <row r="2558">
          <cell r="H2558">
            <v>7250.7000000000007</v>
          </cell>
        </row>
        <row r="2586">
          <cell r="H2586">
            <v>541564</v>
          </cell>
        </row>
        <row r="2614">
          <cell r="H2614">
            <v>729654.4</v>
          </cell>
        </row>
        <row r="2642">
          <cell r="H2642">
            <v>622646.58519999997</v>
          </cell>
        </row>
        <row r="2668">
          <cell r="H2668">
            <v>136615.347996</v>
          </cell>
        </row>
        <row r="2694">
          <cell r="H2694">
            <v>1354556.49</v>
          </cell>
        </row>
        <row r="2720">
          <cell r="H2720">
            <v>1437548.49</v>
          </cell>
        </row>
        <row r="2746">
          <cell r="H2746">
            <v>1526924.49</v>
          </cell>
        </row>
        <row r="2772">
          <cell r="H2772">
            <v>1652476.49</v>
          </cell>
        </row>
        <row r="2800">
          <cell r="H2800">
            <v>1973375.0299999998</v>
          </cell>
        </row>
        <row r="2825">
          <cell r="H2825">
            <v>2497341.4</v>
          </cell>
        </row>
        <row r="2851">
          <cell r="H2851">
            <v>2299915.15</v>
          </cell>
        </row>
        <row r="2878">
          <cell r="H2878">
            <v>120801.52</v>
          </cell>
        </row>
        <row r="2905">
          <cell r="H2905">
            <v>208788.9</v>
          </cell>
        </row>
        <row r="2932">
          <cell r="H2932">
            <v>162556.5</v>
          </cell>
        </row>
        <row r="2958">
          <cell r="H2958">
            <v>154939.28</v>
          </cell>
        </row>
        <row r="2984">
          <cell r="H2984">
            <v>162278.6</v>
          </cell>
        </row>
        <row r="3011">
          <cell r="H3011">
            <v>144664.29999999999</v>
          </cell>
        </row>
        <row r="3038">
          <cell r="H3038">
            <v>238174.62</v>
          </cell>
        </row>
        <row r="3064">
          <cell r="H3064">
            <v>154157.24</v>
          </cell>
        </row>
        <row r="3090">
          <cell r="H3090">
            <v>144646.76</v>
          </cell>
        </row>
        <row r="3116">
          <cell r="H3116">
            <v>149522.08000000002</v>
          </cell>
        </row>
        <row r="3143">
          <cell r="H3143">
            <v>130589.3</v>
          </cell>
        </row>
        <row r="3170">
          <cell r="H3170">
            <v>207624.3</v>
          </cell>
        </row>
        <row r="3196">
          <cell r="H3196">
            <v>138107.24</v>
          </cell>
        </row>
        <row r="3222">
          <cell r="H3222">
            <v>135962.32</v>
          </cell>
        </row>
        <row r="3248">
          <cell r="H3248">
            <v>141126.24</v>
          </cell>
        </row>
        <row r="3275">
          <cell r="H3275">
            <v>131870.04</v>
          </cell>
        </row>
        <row r="3302">
          <cell r="H3302">
            <v>220545.6</v>
          </cell>
        </row>
        <row r="3328">
          <cell r="H3328">
            <v>139572.24</v>
          </cell>
        </row>
        <row r="3381">
          <cell r="H3381">
            <v>136894.29999999999</v>
          </cell>
        </row>
        <row r="3407">
          <cell r="H3407">
            <v>112496.5</v>
          </cell>
        </row>
        <row r="3431">
          <cell r="H3431">
            <v>5400</v>
          </cell>
        </row>
        <row r="3454">
          <cell r="H3454">
            <v>8100</v>
          </cell>
        </row>
        <row r="3477">
          <cell r="H3477">
            <v>53884.74</v>
          </cell>
        </row>
        <row r="3500">
          <cell r="H3500">
            <v>48084.1</v>
          </cell>
        </row>
        <row r="3525">
          <cell r="H3525">
            <v>173402.45</v>
          </cell>
        </row>
        <row r="3551">
          <cell r="H3551">
            <v>432825</v>
          </cell>
        </row>
        <row r="3580">
          <cell r="H3580">
            <v>779985.76118399994</v>
          </cell>
        </row>
        <row r="3607">
          <cell r="H3607">
            <v>6584730.9600799996</v>
          </cell>
        </row>
        <row r="3635">
          <cell r="H3635">
            <v>1400585.7611839999</v>
          </cell>
        </row>
        <row r="3658">
          <cell r="H3658">
            <v>1235336.598516</v>
          </cell>
        </row>
        <row r="3685">
          <cell r="H3685">
            <v>545405.99</v>
          </cell>
        </row>
        <row r="3713">
          <cell r="H3713">
            <v>899818.11</v>
          </cell>
        </row>
        <row r="3739">
          <cell r="H3739">
            <v>0</v>
          </cell>
        </row>
        <row r="3763">
          <cell r="H3763">
            <v>0</v>
          </cell>
        </row>
        <row r="3783">
          <cell r="H3783">
            <v>4050</v>
          </cell>
        </row>
        <row r="3803">
          <cell r="H3803">
            <v>67500</v>
          </cell>
        </row>
        <row r="3824">
          <cell r="H3824">
            <v>57153.2405</v>
          </cell>
        </row>
        <row r="3848">
          <cell r="H3848">
            <v>38438</v>
          </cell>
        </row>
        <row r="3876">
          <cell r="H3876">
            <v>735916.58849830367</v>
          </cell>
        </row>
        <row r="3903">
          <cell r="H3903">
            <v>1606408.1911277384</v>
          </cell>
        </row>
        <row r="3929">
          <cell r="H3929">
            <v>1336593.5915853572</v>
          </cell>
        </row>
        <row r="3955">
          <cell r="H3955">
            <v>2136105.9613139643</v>
          </cell>
        </row>
        <row r="3981">
          <cell r="H3981">
            <v>3959589.7915599467</v>
          </cell>
        </row>
        <row r="4002">
          <cell r="H4002">
            <v>98812.138416000002</v>
          </cell>
        </row>
        <row r="4023">
          <cell r="H4023">
            <v>105276.024148</v>
          </cell>
        </row>
        <row r="4075">
          <cell r="H4075">
            <v>117479.097996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4444-771C-4496-8F6B-C36B178AB94E}">
  <dimension ref="A2:J169"/>
  <sheetViews>
    <sheetView tabSelected="1" workbookViewId="0">
      <selection activeCell="I12" sqref="I12"/>
    </sheetView>
  </sheetViews>
  <sheetFormatPr defaultRowHeight="14.4" x14ac:dyDescent="0.3"/>
  <cols>
    <col min="2" max="2" width="12.44140625" customWidth="1"/>
    <col min="3" max="3" width="62.77734375" customWidth="1"/>
    <col min="4" max="4" width="21.109375" style="1" customWidth="1"/>
  </cols>
  <sheetData>
    <row r="2" spans="1:10" ht="17.399999999999999" x14ac:dyDescent="0.3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</row>
    <row r="3" spans="1:10" ht="26.4" x14ac:dyDescent="0.3">
      <c r="A3" s="2"/>
      <c r="B3" s="3"/>
      <c r="C3" s="6" t="s">
        <v>1</v>
      </c>
      <c r="D3" s="5"/>
      <c r="E3" s="5"/>
      <c r="F3" s="5"/>
      <c r="G3" s="5"/>
      <c r="H3" s="5"/>
      <c r="I3" s="5"/>
      <c r="J3" s="5"/>
    </row>
    <row r="4" spans="1:10" x14ac:dyDescent="0.3">
      <c r="A4" s="5"/>
      <c r="B4" s="5"/>
      <c r="C4" s="7"/>
      <c r="D4" s="5"/>
      <c r="E4" s="5"/>
      <c r="F4" s="5"/>
      <c r="G4" s="5"/>
      <c r="H4" s="5"/>
      <c r="I4" s="5"/>
      <c r="J4" s="5"/>
    </row>
    <row r="5" spans="1:10" ht="14.55" customHeight="1" x14ac:dyDescent="0.3">
      <c r="A5" s="8" t="s">
        <v>2</v>
      </c>
      <c r="B5" s="8" t="s">
        <v>3</v>
      </c>
      <c r="C5" s="9" t="s">
        <v>4</v>
      </c>
      <c r="D5" s="10" t="s">
        <v>0</v>
      </c>
    </row>
    <row r="6" spans="1:10" x14ac:dyDescent="0.3">
      <c r="A6" s="11"/>
      <c r="B6" s="11"/>
      <c r="C6" s="12"/>
      <c r="D6" s="13"/>
    </row>
    <row r="7" spans="1:10" x14ac:dyDescent="0.3">
      <c r="A7" s="14"/>
      <c r="B7" s="14" t="s">
        <v>5</v>
      </c>
      <c r="C7" s="15" t="s">
        <v>6</v>
      </c>
      <c r="D7" s="16">
        <f>A.1.01.b1.1</f>
        <v>456030</v>
      </c>
    </row>
    <row r="8" spans="1:10" x14ac:dyDescent="0.3">
      <c r="A8" s="14"/>
      <c r="B8" s="14" t="s">
        <v>7</v>
      </c>
      <c r="C8" s="15" t="s">
        <v>8</v>
      </c>
      <c r="D8" s="16">
        <f>A.1.01.b1.2</f>
        <v>506250</v>
      </c>
    </row>
    <row r="9" spans="1:10" x14ac:dyDescent="0.3">
      <c r="A9" s="14"/>
      <c r="B9" s="14" t="s">
        <v>9</v>
      </c>
      <c r="C9" s="15" t="s">
        <v>10</v>
      </c>
      <c r="D9" s="16">
        <f>A.1.01.b1.3</f>
        <v>556875</v>
      </c>
    </row>
    <row r="10" spans="1:10" x14ac:dyDescent="0.3">
      <c r="A10" s="14"/>
      <c r="B10" s="14" t="s">
        <v>11</v>
      </c>
      <c r="C10" s="15" t="s">
        <v>12</v>
      </c>
      <c r="D10" s="16">
        <f>A.1.01.b2.1</f>
        <v>1687.5</v>
      </c>
    </row>
    <row r="11" spans="1:10" x14ac:dyDescent="0.3">
      <c r="A11" s="14"/>
      <c r="B11" s="14" t="s">
        <v>13</v>
      </c>
      <c r="C11" s="15" t="s">
        <v>14</v>
      </c>
      <c r="D11" s="16">
        <f>A.2.01.b1.1</f>
        <v>124049.98980000001</v>
      </c>
    </row>
    <row r="12" spans="1:10" x14ac:dyDescent="0.3">
      <c r="A12" s="14"/>
      <c r="B12" s="14" t="s">
        <v>15</v>
      </c>
      <c r="C12" s="15" t="s">
        <v>16</v>
      </c>
      <c r="D12" s="16">
        <f>A.2.01.b1.2</f>
        <v>144505.46110000001</v>
      </c>
    </row>
    <row r="13" spans="1:10" x14ac:dyDescent="0.3">
      <c r="A13" s="14"/>
      <c r="B13" s="14" t="s">
        <v>17</v>
      </c>
      <c r="C13" s="15" t="s">
        <v>18</v>
      </c>
      <c r="D13" s="16">
        <f>A.2.01.b1.3</f>
        <v>169693.32199999999</v>
      </c>
    </row>
    <row r="14" spans="1:10" ht="27.6" x14ac:dyDescent="0.3">
      <c r="A14" s="14"/>
      <c r="B14" s="14" t="s">
        <v>19</v>
      </c>
      <c r="C14" s="15" t="s">
        <v>20</v>
      </c>
      <c r="D14" s="16">
        <f>A.2.01.c1.1</f>
        <v>104000</v>
      </c>
    </row>
    <row r="15" spans="1:10" ht="27.6" x14ac:dyDescent="0.3">
      <c r="A15" s="14"/>
      <c r="B15" s="14" t="s">
        <v>21</v>
      </c>
      <c r="C15" s="15" t="s">
        <v>22</v>
      </c>
      <c r="D15" s="16">
        <f>A.2.01.c1.2</f>
        <v>18427.2</v>
      </c>
    </row>
    <row r="16" spans="1:10" x14ac:dyDescent="0.3">
      <c r="A16" s="14"/>
      <c r="B16" s="14" t="s">
        <v>23</v>
      </c>
      <c r="C16" s="15" t="s">
        <v>24</v>
      </c>
      <c r="D16" s="16">
        <f>A.3.01.1a.2</f>
        <v>18190.193842600002</v>
      </c>
    </row>
    <row r="17" spans="1:4" ht="27.6" x14ac:dyDescent="0.3">
      <c r="A17" s="14"/>
      <c r="B17" s="14" t="s">
        <v>25</v>
      </c>
      <c r="C17" s="15" t="s">
        <v>26</v>
      </c>
      <c r="D17" s="16">
        <f>A.3.01.1b.1</f>
        <v>9819.3701180000007</v>
      </c>
    </row>
    <row r="18" spans="1:4" x14ac:dyDescent="0.3">
      <c r="A18" s="14"/>
      <c r="B18" s="14" t="s">
        <v>27</v>
      </c>
      <c r="C18" s="15" t="s">
        <v>28</v>
      </c>
      <c r="D18" s="16">
        <f>A.3.01.1b.2</f>
        <v>9608.8596940000007</v>
      </c>
    </row>
    <row r="19" spans="1:4" ht="27.6" x14ac:dyDescent="0.3">
      <c r="A19" s="14"/>
      <c r="B19" s="14" t="s">
        <v>29</v>
      </c>
      <c r="C19" s="15" t="s">
        <v>30</v>
      </c>
      <c r="D19" s="16">
        <f>A.3.01.1b.3</f>
        <v>13681.771288000002</v>
      </c>
    </row>
    <row r="20" spans="1:4" ht="27.6" x14ac:dyDescent="0.3">
      <c r="A20" s="14"/>
      <c r="B20" s="14" t="s">
        <v>31</v>
      </c>
      <c r="C20" s="15" t="s">
        <v>32</v>
      </c>
      <c r="D20" s="16">
        <f>A.3.01.1b.4</f>
        <v>15115.557794000002</v>
      </c>
    </row>
    <row r="21" spans="1:4" ht="27.6" x14ac:dyDescent="0.3">
      <c r="A21" s="14"/>
      <c r="B21" s="14" t="s">
        <v>33</v>
      </c>
      <c r="C21" s="15" t="s">
        <v>34</v>
      </c>
      <c r="D21" s="16">
        <f>A.3.01.1b.5</f>
        <v>21406.198628000002</v>
      </c>
    </row>
    <row r="22" spans="1:4" ht="27.6" x14ac:dyDescent="0.3">
      <c r="A22" s="14"/>
      <c r="B22" s="14" t="s">
        <v>35</v>
      </c>
      <c r="C22" s="15" t="s">
        <v>36</v>
      </c>
      <c r="D22" s="16">
        <f>A.3.01.1b.6</f>
        <v>12910.078554000002</v>
      </c>
    </row>
    <row r="23" spans="1:4" ht="27.6" x14ac:dyDescent="0.3">
      <c r="A23" s="14"/>
      <c r="B23" s="14" t="s">
        <v>37</v>
      </c>
      <c r="C23" s="15" t="s">
        <v>38</v>
      </c>
      <c r="D23" s="16">
        <f>A.3.01.1b.7</f>
        <v>26150.453994000003</v>
      </c>
    </row>
    <row r="24" spans="1:4" ht="27.6" x14ac:dyDescent="0.3">
      <c r="A24" s="14"/>
      <c r="B24" s="14" t="s">
        <v>39</v>
      </c>
      <c r="C24" s="15" t="s">
        <v>40</v>
      </c>
      <c r="D24" s="16">
        <f>A.3.01.1c.1</f>
        <v>10704.599314000001</v>
      </c>
    </row>
    <row r="25" spans="1:4" ht="27.6" x14ac:dyDescent="0.3">
      <c r="A25" s="14"/>
      <c r="B25" s="14" t="s">
        <v>41</v>
      </c>
      <c r="C25" s="15" t="s">
        <v>42</v>
      </c>
      <c r="D25" s="16">
        <f>A.3.01.1c.2</f>
        <v>11918.062896000001</v>
      </c>
    </row>
    <row r="26" spans="1:4" ht="27.6" x14ac:dyDescent="0.3">
      <c r="A26" s="14"/>
      <c r="B26" s="14" t="s">
        <v>43</v>
      </c>
      <c r="C26" s="15" t="s">
        <v>44</v>
      </c>
      <c r="D26" s="16">
        <f>A.3.01.1c.3</f>
        <v>13130.026478000002</v>
      </c>
    </row>
    <row r="27" spans="1:4" ht="27.6" x14ac:dyDescent="0.3">
      <c r="A27" s="14"/>
      <c r="B27" s="14" t="s">
        <v>45</v>
      </c>
      <c r="C27" s="15" t="s">
        <v>46</v>
      </c>
      <c r="D27" s="16">
        <f>A.3.01.1c.4</f>
        <v>9726.5943520000001</v>
      </c>
    </row>
    <row r="28" spans="1:4" ht="27.6" x14ac:dyDescent="0.3">
      <c r="A28" s="14"/>
      <c r="B28" s="14" t="s">
        <v>47</v>
      </c>
      <c r="C28" s="15" t="s">
        <v>48</v>
      </c>
      <c r="D28" s="16">
        <f>A.3.01.1c.5</f>
        <v>10835.565543999999</v>
      </c>
    </row>
    <row r="29" spans="1:4" ht="27.6" x14ac:dyDescent="0.3">
      <c r="A29" s="14"/>
      <c r="B29" s="14" t="s">
        <v>49</v>
      </c>
      <c r="C29" s="15" t="s">
        <v>50</v>
      </c>
      <c r="D29" s="16">
        <f>A.3.01.1c.6</f>
        <v>11942.661736</v>
      </c>
    </row>
    <row r="30" spans="1:4" ht="27.6" x14ac:dyDescent="0.3">
      <c r="A30" s="14"/>
      <c r="B30" s="14" t="s">
        <v>51</v>
      </c>
      <c r="C30" s="15" t="s">
        <v>52</v>
      </c>
      <c r="D30" s="16">
        <f>A.3.01.1d.1</f>
        <v>7501.1044160000001</v>
      </c>
    </row>
    <row r="31" spans="1:4" ht="27.6" x14ac:dyDescent="0.3">
      <c r="A31" s="14"/>
      <c r="B31" s="14" t="s">
        <v>53</v>
      </c>
      <c r="C31" s="15" t="s">
        <v>54</v>
      </c>
      <c r="D31" s="16">
        <f>A.3.01.1d.2</f>
        <v>8276.1721500000003</v>
      </c>
    </row>
    <row r="32" spans="1:4" ht="27.6" x14ac:dyDescent="0.3">
      <c r="A32" s="14"/>
      <c r="B32" s="14" t="s">
        <v>55</v>
      </c>
      <c r="C32" s="15" t="s">
        <v>56</v>
      </c>
      <c r="D32" s="16">
        <f>A.3.01.1d.3</f>
        <v>12945.776478000002</v>
      </c>
    </row>
    <row r="33" spans="1:4" ht="27.6" x14ac:dyDescent="0.3">
      <c r="A33" s="14"/>
      <c r="B33" s="14" t="s">
        <v>57</v>
      </c>
      <c r="C33" s="15" t="s">
        <v>58</v>
      </c>
      <c r="D33" s="16">
        <f>A.3.01.1d.4</f>
        <v>4986.6203639999994</v>
      </c>
    </row>
    <row r="34" spans="1:4" ht="27.6" x14ac:dyDescent="0.3">
      <c r="A34" s="14"/>
      <c r="B34" s="14" t="s">
        <v>59</v>
      </c>
      <c r="C34" s="15" t="s">
        <v>60</v>
      </c>
      <c r="D34" s="16">
        <f>A.3.01.1d.5</f>
        <v>5541.105959999999</v>
      </c>
    </row>
    <row r="35" spans="1:4" ht="27.6" x14ac:dyDescent="0.3">
      <c r="A35" s="14"/>
      <c r="B35" s="14" t="s">
        <v>61</v>
      </c>
      <c r="C35" s="15" t="s">
        <v>62</v>
      </c>
      <c r="D35" s="16">
        <f>A.3.01.1d.6</f>
        <v>6081.7165560000003</v>
      </c>
    </row>
    <row r="36" spans="1:4" ht="27.6" x14ac:dyDescent="0.3">
      <c r="A36" s="14"/>
      <c r="B36" s="14" t="s">
        <v>63</v>
      </c>
      <c r="C36" s="15" t="s">
        <v>64</v>
      </c>
      <c r="D36" s="16">
        <f>A.3.01.1e.1</f>
        <v>12248.359782000001</v>
      </c>
    </row>
    <row r="37" spans="1:4" ht="27.6" x14ac:dyDescent="0.3">
      <c r="A37" s="14"/>
      <c r="B37" s="14" t="s">
        <v>65</v>
      </c>
      <c r="C37" s="15" t="s">
        <v>66</v>
      </c>
      <c r="D37" s="16">
        <f>A.3.01.1e.2</f>
        <v>13571.797326000002</v>
      </c>
    </row>
    <row r="38" spans="1:4" ht="27.6" x14ac:dyDescent="0.3">
      <c r="A38" s="14"/>
      <c r="B38" s="14" t="s">
        <v>67</v>
      </c>
      <c r="C38" s="15" t="s">
        <v>68</v>
      </c>
      <c r="D38" s="16" cm="1">
        <f t="array" ref="D38">A.3.01.1e.3</f>
        <v>15007.083832</v>
      </c>
    </row>
    <row r="39" spans="1:4" ht="27.6" x14ac:dyDescent="0.3">
      <c r="A39" s="14"/>
      <c r="B39" s="14" t="s">
        <v>69</v>
      </c>
      <c r="C39" s="15" t="s">
        <v>70</v>
      </c>
      <c r="D39" s="16">
        <f>A.3.01.1f.1</f>
        <v>12248.359782000001</v>
      </c>
    </row>
    <row r="40" spans="1:4" ht="27.6" x14ac:dyDescent="0.3">
      <c r="A40" s="14"/>
      <c r="B40" s="14" t="s">
        <v>71</v>
      </c>
      <c r="C40" s="15" t="s">
        <v>72</v>
      </c>
      <c r="D40" s="16">
        <f>A.3.01.1f.2</f>
        <v>13681.771288000002</v>
      </c>
    </row>
    <row r="41" spans="1:4" ht="27.6" x14ac:dyDescent="0.3">
      <c r="A41" s="14"/>
      <c r="B41" s="14" t="s">
        <v>73</v>
      </c>
      <c r="C41" s="15" t="s">
        <v>74</v>
      </c>
      <c r="D41" s="16">
        <f>A.3.01.1f.3</f>
        <v>15007.083832</v>
      </c>
    </row>
    <row r="42" spans="1:4" ht="27.6" x14ac:dyDescent="0.3">
      <c r="A42" s="14"/>
      <c r="B42" s="14" t="s">
        <v>75</v>
      </c>
      <c r="C42" s="15" t="s">
        <v>76</v>
      </c>
      <c r="D42" s="16">
        <f>A.3.01.1g.1.a</f>
        <v>39105.418183000002</v>
      </c>
    </row>
    <row r="43" spans="1:4" ht="27.6" x14ac:dyDescent="0.3">
      <c r="A43" s="14"/>
      <c r="B43" s="14" t="s">
        <v>77</v>
      </c>
      <c r="C43" s="15" t="s">
        <v>78</v>
      </c>
      <c r="D43" s="16">
        <f>A.3.01.1g.1.b</f>
        <v>43003.329776999999</v>
      </c>
    </row>
    <row r="44" spans="1:4" ht="27.6" x14ac:dyDescent="0.3">
      <c r="A44" s="14"/>
      <c r="B44" s="14" t="s">
        <v>79</v>
      </c>
      <c r="C44" s="15" t="s">
        <v>80</v>
      </c>
      <c r="D44" s="16">
        <f>A.3.01.1g.2.a</f>
        <v>39105.418183000002</v>
      </c>
    </row>
    <row r="45" spans="1:4" ht="27.6" x14ac:dyDescent="0.3">
      <c r="A45" s="14"/>
      <c r="B45" s="14" t="s">
        <v>81</v>
      </c>
      <c r="C45" s="15" t="s">
        <v>78</v>
      </c>
      <c r="D45" s="16">
        <f>A.3.01.1g.2.b</f>
        <v>44678.378272800001</v>
      </c>
    </row>
    <row r="46" spans="1:4" ht="27.6" x14ac:dyDescent="0.3">
      <c r="A46" s="14"/>
      <c r="B46" s="14" t="s">
        <v>82</v>
      </c>
      <c r="C46" s="15" t="s">
        <v>83</v>
      </c>
      <c r="D46" s="16">
        <f>A.3.01.1g.3.a</f>
        <v>57680.282088900007</v>
      </c>
    </row>
    <row r="47" spans="1:4" ht="27.6" x14ac:dyDescent="0.3">
      <c r="A47" s="14"/>
      <c r="B47" s="14" t="s">
        <v>84</v>
      </c>
      <c r="C47" s="15" t="s">
        <v>85</v>
      </c>
      <c r="D47" s="16">
        <f>A.3.01.1g.3.b</f>
        <v>65572.984458900013</v>
      </c>
    </row>
    <row r="48" spans="1:4" x14ac:dyDescent="0.3">
      <c r="A48" s="14"/>
      <c r="B48" s="14" t="s">
        <v>86</v>
      </c>
      <c r="C48" s="15" t="s">
        <v>87</v>
      </c>
      <c r="D48" s="16">
        <f>A.3.01.2b.1</f>
        <v>36094.279775100003</v>
      </c>
    </row>
    <row r="49" spans="1:4" ht="27.6" x14ac:dyDescent="0.3">
      <c r="A49" s="14"/>
      <c r="B49" s="14" t="s">
        <v>88</v>
      </c>
      <c r="C49" s="15" t="s">
        <v>89</v>
      </c>
      <c r="D49" s="16">
        <f>A.3.01.2b.2</f>
        <v>50657.001597000002</v>
      </c>
    </row>
    <row r="50" spans="1:4" x14ac:dyDescent="0.3">
      <c r="A50" s="14"/>
      <c r="B50" s="14" t="s">
        <v>90</v>
      </c>
      <c r="C50" s="15" t="s">
        <v>91</v>
      </c>
      <c r="D50" s="16">
        <f>A.3.01.2b.3</f>
        <v>40954.739781000004</v>
      </c>
    </row>
    <row r="51" spans="1:4" ht="27.6" x14ac:dyDescent="0.3">
      <c r="A51" s="14"/>
      <c r="B51" s="14" t="s">
        <v>92</v>
      </c>
      <c r="C51" s="15" t="s">
        <v>93</v>
      </c>
      <c r="D51" s="16">
        <f>A.3.01.2d.2</f>
        <v>56856.444247000007</v>
      </c>
    </row>
    <row r="52" spans="1:4" ht="27.6" x14ac:dyDescent="0.3">
      <c r="A52" s="14"/>
      <c r="B52" s="14" t="s">
        <v>94</v>
      </c>
      <c r="C52" s="15" t="s">
        <v>95</v>
      </c>
      <c r="D52" s="16">
        <f>A.3.01.2d.3</f>
        <v>63874.540953000003</v>
      </c>
    </row>
    <row r="53" spans="1:4" ht="27.6" x14ac:dyDescent="0.3">
      <c r="A53" s="14"/>
      <c r="B53" s="14" t="s">
        <v>96</v>
      </c>
      <c r="C53" s="15" t="s">
        <v>97</v>
      </c>
      <c r="D53" s="16">
        <f>A.3.01.2d.5</f>
        <v>179454.13444600001</v>
      </c>
    </row>
    <row r="54" spans="1:4" ht="27.6" x14ac:dyDescent="0.3">
      <c r="A54" s="14"/>
      <c r="B54" s="14" t="s">
        <v>98</v>
      </c>
      <c r="C54" s="15" t="s">
        <v>99</v>
      </c>
      <c r="D54" s="16">
        <f>A.3.02.1a</f>
        <v>131907.07818050002</v>
      </c>
    </row>
    <row r="55" spans="1:4" s="5" customFormat="1" ht="27.6" x14ac:dyDescent="0.3">
      <c r="A55" s="17"/>
      <c r="B55" s="17" t="s">
        <v>100</v>
      </c>
      <c r="C55" s="18" t="s">
        <v>101</v>
      </c>
      <c r="D55" s="19">
        <f>A.3.02.1b</f>
        <v>90173.289344100005</v>
      </c>
    </row>
    <row r="56" spans="1:4" ht="27.6" x14ac:dyDescent="0.3">
      <c r="A56" s="14"/>
      <c r="B56" s="14" t="s">
        <v>102</v>
      </c>
      <c r="C56" s="15" t="s">
        <v>103</v>
      </c>
      <c r="D56" s="16">
        <f>A.3.02.1c</f>
        <v>221892.72620850001</v>
      </c>
    </row>
    <row r="57" spans="1:4" x14ac:dyDescent="0.3">
      <c r="A57" s="14"/>
      <c r="B57" s="14" t="s">
        <v>104</v>
      </c>
      <c r="C57" s="15" t="s">
        <v>105</v>
      </c>
      <c r="D57" s="16">
        <f>A.3.02.1d.1</f>
        <v>14110.478755</v>
      </c>
    </row>
    <row r="58" spans="1:4" x14ac:dyDescent="0.3">
      <c r="A58" s="14"/>
      <c r="B58" s="14" t="s">
        <v>106</v>
      </c>
      <c r="C58" s="15" t="s">
        <v>107</v>
      </c>
      <c r="D58" s="16">
        <f>A.3.02.1d.2</f>
        <v>16295.349559</v>
      </c>
    </row>
    <row r="59" spans="1:4" x14ac:dyDescent="0.3">
      <c r="A59" s="14"/>
      <c r="B59" s="14" t="s">
        <v>108</v>
      </c>
      <c r="C59" s="15" t="s">
        <v>109</v>
      </c>
      <c r="D59" s="16">
        <f>A.3.02.1d.3</f>
        <v>17558.134566215816</v>
      </c>
    </row>
    <row r="60" spans="1:4" x14ac:dyDescent="0.3">
      <c r="A60" s="14"/>
      <c r="B60" s="14" t="s">
        <v>110</v>
      </c>
      <c r="C60" s="15" t="s">
        <v>111</v>
      </c>
      <c r="D60" s="16">
        <f>A.3.02.1e.1</f>
        <v>21262.292400000002</v>
      </c>
    </row>
    <row r="61" spans="1:4" x14ac:dyDescent="0.3">
      <c r="A61" s="14"/>
      <c r="B61" s="14" t="s">
        <v>112</v>
      </c>
      <c r="C61" s="15" t="s">
        <v>113</v>
      </c>
      <c r="D61" s="16">
        <f>A.3.02.2a.1</f>
        <v>50281.246194000007</v>
      </c>
    </row>
    <row r="62" spans="1:4" x14ac:dyDescent="0.3">
      <c r="A62" s="14"/>
      <c r="B62" s="14" t="s">
        <v>112</v>
      </c>
      <c r="C62" s="15" t="s">
        <v>114</v>
      </c>
      <c r="D62" s="16">
        <f>A.3.02.2a.1</f>
        <v>50281.246194000007</v>
      </c>
    </row>
    <row r="63" spans="1:4" x14ac:dyDescent="0.3">
      <c r="A63" s="14"/>
      <c r="B63" s="14" t="s">
        <v>115</v>
      </c>
      <c r="C63" s="15" t="s">
        <v>116</v>
      </c>
      <c r="D63" s="16">
        <f>A.3.02.2b.1</f>
        <v>6636.9846060000009</v>
      </c>
    </row>
    <row r="64" spans="1:4" x14ac:dyDescent="0.3">
      <c r="A64" s="14"/>
      <c r="B64" s="14" t="s">
        <v>117</v>
      </c>
      <c r="C64" s="15" t="s">
        <v>118</v>
      </c>
      <c r="D64" s="16">
        <f>A.3.02.2b.3</f>
        <v>50053.658432999997</v>
      </c>
    </row>
    <row r="65" spans="1:4" x14ac:dyDescent="0.3">
      <c r="A65" s="14"/>
      <c r="B65" s="14" t="s">
        <v>119</v>
      </c>
      <c r="C65" s="15" t="s">
        <v>120</v>
      </c>
      <c r="D65" s="16">
        <f>A.3.02.3a</f>
        <v>14784.771332</v>
      </c>
    </row>
    <row r="66" spans="1:4" x14ac:dyDescent="0.3">
      <c r="A66" s="14"/>
      <c r="B66" s="14" t="s">
        <v>121</v>
      </c>
      <c r="C66" s="15" t="s">
        <v>122</v>
      </c>
      <c r="D66" s="16">
        <f>A.3.02.3b</f>
        <v>22178.000748000002</v>
      </c>
    </row>
    <row r="67" spans="1:4" x14ac:dyDescent="0.3">
      <c r="A67" s="14"/>
      <c r="B67" s="14" t="s">
        <v>123</v>
      </c>
      <c r="C67" s="15" t="s">
        <v>124</v>
      </c>
      <c r="D67" s="16" cm="1">
        <f t="array" ref="D67">A.3.03.2c</f>
        <v>2117202.4382480001</v>
      </c>
    </row>
    <row r="68" spans="1:4" x14ac:dyDescent="0.3">
      <c r="A68" s="14"/>
      <c r="B68" s="14" t="s">
        <v>125</v>
      </c>
      <c r="C68" s="15" t="s">
        <v>126</v>
      </c>
      <c r="D68" s="16">
        <f>A.3.03.4a</f>
        <v>312904.34900300001</v>
      </c>
    </row>
    <row r="69" spans="1:4" ht="27.6" x14ac:dyDescent="0.3">
      <c r="A69" s="14"/>
      <c r="B69" s="14" t="s">
        <v>127</v>
      </c>
      <c r="C69" s="15" t="s">
        <v>128</v>
      </c>
      <c r="D69" s="16">
        <f>A.1.02.1a.1</f>
        <v>1646535.2</v>
      </c>
    </row>
    <row r="70" spans="1:4" ht="27.6" x14ac:dyDescent="0.3">
      <c r="A70" s="14"/>
      <c r="B70" s="14" t="s">
        <v>129</v>
      </c>
      <c r="C70" s="15" t="s">
        <v>130</v>
      </c>
      <c r="D70" s="16">
        <f>A.1.02.1a.6</f>
        <v>1883928.2</v>
      </c>
    </row>
    <row r="71" spans="1:4" ht="27.6" x14ac:dyDescent="0.3">
      <c r="A71" s="14"/>
      <c r="B71" s="14" t="s">
        <v>131</v>
      </c>
      <c r="C71" s="15" t="s">
        <v>132</v>
      </c>
      <c r="D71" s="16">
        <f>A.2.02.1a.1</f>
        <v>1584660.5911999999</v>
      </c>
    </row>
    <row r="72" spans="1:4" ht="27.6" x14ac:dyDescent="0.3">
      <c r="A72" s="14"/>
      <c r="B72" s="14" t="s">
        <v>133</v>
      </c>
      <c r="C72" s="15" t="s">
        <v>134</v>
      </c>
      <c r="D72" s="16">
        <f>A.2.02.1a.6</f>
        <v>1867384.5911999999</v>
      </c>
    </row>
    <row r="73" spans="1:4" ht="27.6" x14ac:dyDescent="0.3">
      <c r="A73" s="14"/>
      <c r="B73" s="14" t="s">
        <v>135</v>
      </c>
      <c r="C73" s="15" t="s">
        <v>136</v>
      </c>
      <c r="D73" s="16">
        <f>A.1.02.1b.1</f>
        <v>1540374.8</v>
      </c>
    </row>
    <row r="74" spans="1:4" ht="27.6" x14ac:dyDescent="0.3">
      <c r="A74" s="14"/>
      <c r="B74" s="14" t="s">
        <v>137</v>
      </c>
      <c r="C74" s="15" t="s">
        <v>138</v>
      </c>
      <c r="D74" s="16">
        <f>A.1.02.1b.6</f>
        <v>1777767.8</v>
      </c>
    </row>
    <row r="75" spans="1:4" ht="27.6" x14ac:dyDescent="0.3">
      <c r="A75" s="14"/>
      <c r="B75" s="14" t="s">
        <v>139</v>
      </c>
      <c r="C75" s="15" t="s">
        <v>140</v>
      </c>
      <c r="D75" s="16">
        <f>A.2.02.1b.1</f>
        <v>1478500.1912</v>
      </c>
    </row>
    <row r="76" spans="1:4" ht="27.6" x14ac:dyDescent="0.3">
      <c r="A76" s="14"/>
      <c r="B76" s="14" t="s">
        <v>141</v>
      </c>
      <c r="C76" s="15" t="s">
        <v>142</v>
      </c>
      <c r="D76" s="16">
        <f>A.2.02.1b.6</f>
        <v>1761224.1912</v>
      </c>
    </row>
    <row r="77" spans="1:4" ht="27.6" x14ac:dyDescent="0.3">
      <c r="A77" s="14"/>
      <c r="B77" s="14" t="s">
        <v>143</v>
      </c>
      <c r="C77" s="15" t="s">
        <v>144</v>
      </c>
      <c r="D77" s="16">
        <f>A.1.02.1c.1</f>
        <v>1457546.6</v>
      </c>
    </row>
    <row r="78" spans="1:4" ht="27.6" x14ac:dyDescent="0.3">
      <c r="A78" s="14"/>
      <c r="B78" s="14" t="s">
        <v>145</v>
      </c>
      <c r="C78" s="15" t="s">
        <v>146</v>
      </c>
      <c r="D78" s="16">
        <f>A.2.02.1c.2</f>
        <v>1395671.9912</v>
      </c>
    </row>
    <row r="79" spans="1:4" ht="27.6" x14ac:dyDescent="0.3">
      <c r="A79" s="14"/>
      <c r="B79" s="14" t="s">
        <v>147</v>
      </c>
      <c r="C79" s="15" t="s">
        <v>148</v>
      </c>
      <c r="D79" s="16">
        <f>A.1.02.1e.1</f>
        <v>46723.16</v>
      </c>
    </row>
    <row r="80" spans="1:4" ht="27.6" x14ac:dyDescent="0.3">
      <c r="A80" s="14"/>
      <c r="B80" s="14" t="s">
        <v>149</v>
      </c>
      <c r="C80" s="15" t="s">
        <v>150</v>
      </c>
      <c r="D80" s="16" cm="1">
        <f t="array" ref="D80">A.1.02.2a.1</f>
        <v>1485290.352</v>
      </c>
    </row>
    <row r="81" spans="1:4" ht="27.6" x14ac:dyDescent="0.3">
      <c r="A81" s="14"/>
      <c r="B81" s="14" t="s">
        <v>151</v>
      </c>
      <c r="C81" s="15" t="s">
        <v>150</v>
      </c>
      <c r="D81" s="16">
        <f>A.1.02.2a.6</f>
        <v>1725595.852</v>
      </c>
    </row>
    <row r="82" spans="1:4" ht="27.6" x14ac:dyDescent="0.3">
      <c r="A82" s="14"/>
      <c r="B82" s="14" t="s">
        <v>152</v>
      </c>
      <c r="C82" s="15" t="s">
        <v>153</v>
      </c>
      <c r="D82" s="16">
        <f>A.2.02.2a.1</f>
        <v>1378274.456</v>
      </c>
    </row>
    <row r="83" spans="1:4" ht="27.6" x14ac:dyDescent="0.3">
      <c r="A83" s="14"/>
      <c r="B83" s="14" t="s">
        <v>154</v>
      </c>
      <c r="C83" s="15" t="s">
        <v>155</v>
      </c>
      <c r="D83" s="16">
        <f>A.2.02.2a.6</f>
        <v>1603087.9080000001</v>
      </c>
    </row>
    <row r="84" spans="1:4" ht="27.6" x14ac:dyDescent="0.3">
      <c r="A84" s="14"/>
      <c r="B84" s="14" t="s">
        <v>156</v>
      </c>
      <c r="C84" s="15" t="s">
        <v>157</v>
      </c>
      <c r="D84" s="16">
        <f>A.1.02.2b.1</f>
        <v>1408994.28</v>
      </c>
    </row>
    <row r="85" spans="1:4" ht="27.6" x14ac:dyDescent="0.3">
      <c r="A85" s="14"/>
      <c r="B85" s="14" t="s">
        <v>158</v>
      </c>
      <c r="C85" s="15" t="s">
        <v>159</v>
      </c>
      <c r="D85" s="16">
        <f>A.2.02.2b.1</f>
        <v>1286486.3360000001</v>
      </c>
    </row>
    <row r="86" spans="1:4" ht="27.6" x14ac:dyDescent="0.3">
      <c r="A86" s="14"/>
      <c r="B86" s="14" t="s">
        <v>160</v>
      </c>
      <c r="C86" s="15" t="s">
        <v>161</v>
      </c>
      <c r="D86" s="16">
        <f>A.1.02.2c.1</f>
        <v>1357841.4839999999</v>
      </c>
    </row>
    <row r="87" spans="1:4" ht="27.6" x14ac:dyDescent="0.3">
      <c r="A87" s="14"/>
      <c r="B87" s="14" t="s">
        <v>162</v>
      </c>
      <c r="C87" s="15" t="s">
        <v>163</v>
      </c>
      <c r="D87" s="16">
        <f>A.2.02.2c.1</f>
        <v>1235333.54</v>
      </c>
    </row>
    <row r="88" spans="1:4" x14ac:dyDescent="0.3">
      <c r="A88" s="14"/>
      <c r="B88" s="14" t="s">
        <v>164</v>
      </c>
      <c r="C88" s="15" t="s">
        <v>165</v>
      </c>
      <c r="D88" s="16">
        <f>A.1.02.2e.1</f>
        <v>22154.76</v>
      </c>
    </row>
    <row r="89" spans="1:4" ht="27.6" x14ac:dyDescent="0.3">
      <c r="A89" s="14"/>
      <c r="B89" s="14" t="s">
        <v>166</v>
      </c>
      <c r="C89" s="15" t="s">
        <v>167</v>
      </c>
      <c r="D89" s="16">
        <f>A.1.02.3a.1</f>
        <v>86608.94</v>
      </c>
    </row>
    <row r="90" spans="1:4" ht="27.6" x14ac:dyDescent="0.3">
      <c r="A90" s="14"/>
      <c r="B90" s="14" t="s">
        <v>168</v>
      </c>
      <c r="C90" s="15" t="s">
        <v>169</v>
      </c>
      <c r="D90" s="16">
        <f>A.1.02.3a.2</f>
        <v>85489.172000000006</v>
      </c>
    </row>
    <row r="91" spans="1:4" ht="32.4" customHeight="1" x14ac:dyDescent="0.3">
      <c r="A91" s="14"/>
      <c r="B91" s="14" t="s">
        <v>170</v>
      </c>
      <c r="C91" s="15" t="s">
        <v>171</v>
      </c>
      <c r="D91" s="16">
        <f>A.1.02.3b.1</f>
        <v>58981.887999999999</v>
      </c>
    </row>
    <row r="92" spans="1:4" ht="27.6" x14ac:dyDescent="0.3">
      <c r="A92" s="14"/>
      <c r="B92" s="14" t="s">
        <v>172</v>
      </c>
      <c r="C92" s="15" t="s">
        <v>173</v>
      </c>
      <c r="D92" s="16">
        <f>A.1.02.3b.2</f>
        <v>55639.455999999998</v>
      </c>
    </row>
    <row r="93" spans="1:4" ht="27.6" x14ac:dyDescent="0.3">
      <c r="A93" s="14"/>
      <c r="B93" s="14" t="s">
        <v>174</v>
      </c>
      <c r="C93" s="15" t="s">
        <v>175</v>
      </c>
      <c r="D93" s="16">
        <f>A.1.02.3b.5</f>
        <v>53552.656000000003</v>
      </c>
    </row>
    <row r="94" spans="1:4" ht="27.6" x14ac:dyDescent="0.3">
      <c r="A94" s="14"/>
      <c r="B94" s="14" t="s">
        <v>176</v>
      </c>
      <c r="C94" s="15" t="s">
        <v>177</v>
      </c>
      <c r="D94" s="16">
        <f>A.1.02.3b.7</f>
        <v>80449.744000000006</v>
      </c>
    </row>
    <row r="95" spans="1:4" ht="27.6" x14ac:dyDescent="0.3">
      <c r="A95" s="14"/>
      <c r="B95" s="14" t="s">
        <v>178</v>
      </c>
      <c r="C95" s="15" t="s">
        <v>179</v>
      </c>
      <c r="D95" s="16">
        <f>A.1.02.3b.8</f>
        <v>75436.09599999999</v>
      </c>
    </row>
    <row r="96" spans="1:4" ht="27.6" x14ac:dyDescent="0.3">
      <c r="A96" s="14"/>
      <c r="B96" s="14" t="s">
        <v>180</v>
      </c>
      <c r="C96" s="15" t="s">
        <v>181</v>
      </c>
      <c r="D96" s="16">
        <f>A.1.02.3b.9</f>
        <v>72317.440000000002</v>
      </c>
    </row>
    <row r="97" spans="1:4" x14ac:dyDescent="0.3">
      <c r="A97" s="14"/>
      <c r="B97" s="14" t="s">
        <v>182</v>
      </c>
      <c r="C97" s="15" t="s">
        <v>183</v>
      </c>
      <c r="D97" s="16">
        <f>A.1.02.3c</f>
        <v>47575.75</v>
      </c>
    </row>
    <row r="98" spans="1:4" ht="27.6" x14ac:dyDescent="0.3">
      <c r="A98" s="14"/>
      <c r="B98" s="14" t="s">
        <v>184</v>
      </c>
      <c r="C98" s="15" t="s">
        <v>185</v>
      </c>
      <c r="D98" s="16">
        <f>A.1.02.4a.1.a</f>
        <v>864287.5</v>
      </c>
    </row>
    <row r="99" spans="1:4" ht="27.6" x14ac:dyDescent="0.3">
      <c r="A99" s="14"/>
      <c r="B99" s="14" t="s">
        <v>186</v>
      </c>
      <c r="C99" s="15" t="s">
        <v>187</v>
      </c>
      <c r="D99" s="16">
        <f>A.1.02.4a.1.d</f>
        <v>953142</v>
      </c>
    </row>
    <row r="100" spans="1:4" ht="27.6" x14ac:dyDescent="0.3">
      <c r="A100" s="14"/>
      <c r="B100" s="14" t="s">
        <v>188</v>
      </c>
      <c r="C100" s="15" t="s">
        <v>189</v>
      </c>
      <c r="D100" s="16">
        <f>A.1.02.4a.2.a</f>
        <v>734036</v>
      </c>
    </row>
    <row r="101" spans="1:4" ht="27.6" x14ac:dyDescent="0.3">
      <c r="A101" s="14"/>
      <c r="B101" s="14" t="s">
        <v>190</v>
      </c>
      <c r="C101" s="15" t="s">
        <v>191</v>
      </c>
      <c r="D101" s="16">
        <f>A.1.02.4a.2.d</f>
        <v>822890.5</v>
      </c>
    </row>
    <row r="102" spans="1:4" ht="27.6" x14ac:dyDescent="0.3">
      <c r="A102" s="14"/>
      <c r="B102" s="14" t="s">
        <v>192</v>
      </c>
      <c r="C102" s="15" t="s">
        <v>193</v>
      </c>
      <c r="D102" s="16">
        <f>A.1.02.4b.2.a</f>
        <v>886409.16</v>
      </c>
    </row>
    <row r="103" spans="1:4" ht="27.6" x14ac:dyDescent="0.3">
      <c r="A103" s="14"/>
      <c r="B103" s="14" t="s">
        <v>194</v>
      </c>
      <c r="C103" s="15" t="s">
        <v>195</v>
      </c>
      <c r="D103" s="16">
        <f>A.1.02.4b.2.d</f>
        <v>961013.66</v>
      </c>
    </row>
    <row r="104" spans="1:4" x14ac:dyDescent="0.3">
      <c r="A104" s="14"/>
      <c r="B104" s="14" t="s">
        <v>196</v>
      </c>
      <c r="C104" s="15" t="s">
        <v>197</v>
      </c>
      <c r="D104" s="16">
        <f>A.1.02.5a.1</f>
        <v>456252</v>
      </c>
    </row>
    <row r="105" spans="1:4" x14ac:dyDescent="0.3">
      <c r="A105" s="14"/>
      <c r="B105" s="14" t="s">
        <v>198</v>
      </c>
      <c r="C105" s="15" t="s">
        <v>199</v>
      </c>
      <c r="D105" s="16">
        <f>A.1.02.5a.2</f>
        <v>456252</v>
      </c>
    </row>
    <row r="106" spans="1:4" x14ac:dyDescent="0.3">
      <c r="A106" s="14"/>
      <c r="B106" s="14" t="s">
        <v>200</v>
      </c>
      <c r="C106" s="15" t="s">
        <v>201</v>
      </c>
      <c r="D106" s="16">
        <f>A.1.02.5b.1</f>
        <v>150394.5</v>
      </c>
    </row>
    <row r="107" spans="1:4" x14ac:dyDescent="0.3">
      <c r="A107" s="14"/>
      <c r="B107" s="14" t="s">
        <v>202</v>
      </c>
      <c r="C107" s="15" t="s">
        <v>203</v>
      </c>
      <c r="D107" s="16">
        <f>A.1.02.5b.2</f>
        <v>160751</v>
      </c>
    </row>
    <row r="108" spans="1:4" x14ac:dyDescent="0.3">
      <c r="A108" s="14"/>
      <c r="B108" s="14" t="s">
        <v>204</v>
      </c>
      <c r="C108" s="15" t="s">
        <v>205</v>
      </c>
      <c r="D108" s="16">
        <f>A.1.02.5b.4a</f>
        <v>2566.6499999999996</v>
      </c>
    </row>
    <row r="109" spans="1:4" x14ac:dyDescent="0.3">
      <c r="A109" s="14"/>
      <c r="B109" s="14" t="s">
        <v>206</v>
      </c>
      <c r="C109" s="15" t="s">
        <v>207</v>
      </c>
      <c r="D109" s="16">
        <f>A.1.02.5b.4b</f>
        <v>7250.7000000000007</v>
      </c>
    </row>
    <row r="110" spans="1:4" x14ac:dyDescent="0.3">
      <c r="A110" s="14"/>
      <c r="B110" s="14" t="s">
        <v>208</v>
      </c>
      <c r="C110" s="15" t="s">
        <v>209</v>
      </c>
      <c r="D110" s="16">
        <f>A.2.02.5c.1</f>
        <v>541564</v>
      </c>
    </row>
    <row r="111" spans="1:4" x14ac:dyDescent="0.3">
      <c r="A111" s="14"/>
      <c r="B111" s="14" t="s">
        <v>210</v>
      </c>
      <c r="C111" s="15" t="s">
        <v>211</v>
      </c>
      <c r="D111" s="16">
        <f>A.2.02.5c.2</f>
        <v>729654.4</v>
      </c>
    </row>
    <row r="112" spans="1:4" x14ac:dyDescent="0.3">
      <c r="A112" s="14"/>
      <c r="B112" s="14" t="s">
        <v>212</v>
      </c>
      <c r="C112" s="15" t="s">
        <v>213</v>
      </c>
      <c r="D112" s="16">
        <f>A.1.02.5c.1</f>
        <v>622646.58519999997</v>
      </c>
    </row>
    <row r="113" spans="1:5" x14ac:dyDescent="0.3">
      <c r="A113" s="14"/>
      <c r="B113" s="14" t="s">
        <v>214</v>
      </c>
      <c r="C113" s="15" t="s">
        <v>215</v>
      </c>
      <c r="D113" s="16">
        <f>A.2.02.5d.3</f>
        <v>136615.347996</v>
      </c>
    </row>
    <row r="114" spans="1:5" ht="27.6" x14ac:dyDescent="0.3">
      <c r="A114" s="14"/>
      <c r="B114" s="14" t="s">
        <v>216</v>
      </c>
      <c r="C114" s="15" t="s">
        <v>217</v>
      </c>
      <c r="D114" s="16">
        <f>A.1.03.1a.1</f>
        <v>1354556.49</v>
      </c>
    </row>
    <row r="115" spans="1:5" ht="27.6" x14ac:dyDescent="0.3">
      <c r="A115" s="14"/>
      <c r="B115" s="14" t="s">
        <v>218</v>
      </c>
      <c r="C115" s="15" t="s">
        <v>219</v>
      </c>
      <c r="D115" s="16">
        <f>A.1.03.1a.2</f>
        <v>1437548.49</v>
      </c>
    </row>
    <row r="116" spans="1:5" ht="27.6" x14ac:dyDescent="0.3">
      <c r="A116" s="14"/>
      <c r="B116" s="14" t="s">
        <v>220</v>
      </c>
      <c r="C116" s="15" t="s">
        <v>221</v>
      </c>
      <c r="D116" s="16">
        <f>A.1.03.1b.1</f>
        <v>1526924.49</v>
      </c>
    </row>
    <row r="117" spans="1:5" ht="27.6" x14ac:dyDescent="0.3">
      <c r="A117" s="14"/>
      <c r="B117" s="14" t="s">
        <v>222</v>
      </c>
      <c r="C117" s="15" t="s">
        <v>223</v>
      </c>
      <c r="D117" s="16">
        <f>A.1.03.1b.2</f>
        <v>1652476.49</v>
      </c>
    </row>
    <row r="118" spans="1:5" ht="27.6" x14ac:dyDescent="0.3">
      <c r="A118" s="14"/>
      <c r="B118" s="14" t="s">
        <v>224</v>
      </c>
      <c r="C118" s="15" t="s">
        <v>225</v>
      </c>
      <c r="D118" s="16">
        <f>A.2.03.1b.1</f>
        <v>1973375.0299999998</v>
      </c>
    </row>
    <row r="119" spans="1:5" x14ac:dyDescent="0.3">
      <c r="A119" s="14"/>
      <c r="B119" s="14" t="s">
        <v>226</v>
      </c>
      <c r="C119" s="15" t="s">
        <v>227</v>
      </c>
      <c r="D119" s="16">
        <f>A.1.03.1c.1</f>
        <v>2497341.4</v>
      </c>
      <c r="E119" s="20" t="s">
        <v>228</v>
      </c>
    </row>
    <row r="120" spans="1:5" x14ac:dyDescent="0.3">
      <c r="A120" s="14"/>
      <c r="B120" s="14" t="s">
        <v>229</v>
      </c>
      <c r="C120" s="15" t="s">
        <v>230</v>
      </c>
      <c r="D120" s="16">
        <f>A.2.03.1c.1</f>
        <v>2299915.15</v>
      </c>
      <c r="E120" s="20" t="s">
        <v>228</v>
      </c>
    </row>
    <row r="121" spans="1:5" x14ac:dyDescent="0.3">
      <c r="A121" s="14"/>
      <c r="B121" s="14" t="s">
        <v>231</v>
      </c>
      <c r="C121" s="15" t="s">
        <v>232</v>
      </c>
      <c r="D121" s="16">
        <f>A.1.03.2b.1</f>
        <v>120801.52</v>
      </c>
    </row>
    <row r="122" spans="1:5" x14ac:dyDescent="0.3">
      <c r="A122" s="14"/>
      <c r="B122" s="14" t="s">
        <v>233</v>
      </c>
      <c r="C122" s="15" t="s">
        <v>234</v>
      </c>
      <c r="D122" s="16">
        <f>A.1.03.2b.2</f>
        <v>208788.9</v>
      </c>
    </row>
    <row r="123" spans="1:5" x14ac:dyDescent="0.3">
      <c r="A123" s="14"/>
      <c r="B123" s="14" t="s">
        <v>235</v>
      </c>
      <c r="C123" s="15" t="s">
        <v>236</v>
      </c>
      <c r="D123" s="16">
        <f>A.1.03.2b.4</f>
        <v>162556.5</v>
      </c>
    </row>
    <row r="124" spans="1:5" ht="27.6" x14ac:dyDescent="0.3">
      <c r="A124" s="14"/>
      <c r="B124" s="14" t="s">
        <v>237</v>
      </c>
      <c r="C124" s="15" t="s">
        <v>238</v>
      </c>
      <c r="D124" s="16">
        <f>A.1.03.2b.5</f>
        <v>154939.28</v>
      </c>
    </row>
    <row r="125" spans="1:5" ht="27.6" x14ac:dyDescent="0.3">
      <c r="A125" s="14"/>
      <c r="B125" s="14" t="s">
        <v>239</v>
      </c>
      <c r="C125" s="15" t="s">
        <v>240</v>
      </c>
      <c r="D125" s="16">
        <f>A.1.03.2b.6</f>
        <v>162278.6</v>
      </c>
    </row>
    <row r="126" spans="1:5" x14ac:dyDescent="0.3">
      <c r="A126" s="14"/>
      <c r="B126" s="14" t="s">
        <v>241</v>
      </c>
      <c r="C126" s="15" t="s">
        <v>242</v>
      </c>
      <c r="D126" s="16">
        <f>A.1.03.2d.1</f>
        <v>144664.29999999999</v>
      </c>
    </row>
    <row r="127" spans="1:5" x14ac:dyDescent="0.3">
      <c r="A127" s="14"/>
      <c r="B127" s="14" t="s">
        <v>243</v>
      </c>
      <c r="C127" s="15" t="s">
        <v>244</v>
      </c>
      <c r="D127" s="16">
        <f>A.1.03.2d.2</f>
        <v>238174.62</v>
      </c>
    </row>
    <row r="128" spans="1:5" x14ac:dyDescent="0.3">
      <c r="A128" s="14"/>
      <c r="B128" s="14" t="s">
        <v>245</v>
      </c>
      <c r="C128" s="15" t="s">
        <v>246</v>
      </c>
      <c r="D128" s="16">
        <f>A.1.03.2d.4</f>
        <v>154157.24</v>
      </c>
    </row>
    <row r="129" spans="1:4" ht="27.6" x14ac:dyDescent="0.3">
      <c r="A129" s="14"/>
      <c r="B129" s="14" t="s">
        <v>247</v>
      </c>
      <c r="C129" s="15" t="s">
        <v>248</v>
      </c>
      <c r="D129" s="16">
        <f>A.1.03.2d.5</f>
        <v>144646.76</v>
      </c>
    </row>
    <row r="130" spans="1:4" ht="27.6" x14ac:dyDescent="0.3">
      <c r="A130" s="14"/>
      <c r="B130" s="14" t="s">
        <v>249</v>
      </c>
      <c r="C130" s="15" t="s">
        <v>250</v>
      </c>
      <c r="D130" s="16">
        <f>A.1.03.2d.6</f>
        <v>149522.08000000002</v>
      </c>
    </row>
    <row r="131" spans="1:4" x14ac:dyDescent="0.3">
      <c r="A131" s="14"/>
      <c r="B131" s="14" t="s">
        <v>251</v>
      </c>
      <c r="C131" s="15" t="s">
        <v>252</v>
      </c>
      <c r="D131" s="16">
        <f>A.1.03.2e.1</f>
        <v>130589.3</v>
      </c>
    </row>
    <row r="132" spans="1:4" x14ac:dyDescent="0.3">
      <c r="A132" s="14"/>
      <c r="B132" s="14" t="s">
        <v>253</v>
      </c>
      <c r="C132" s="15" t="s">
        <v>254</v>
      </c>
      <c r="D132" s="16">
        <f>A.1.03.2e.2</f>
        <v>207624.3</v>
      </c>
    </row>
    <row r="133" spans="1:4" x14ac:dyDescent="0.3">
      <c r="A133" s="14"/>
      <c r="B133" s="14" t="s">
        <v>255</v>
      </c>
      <c r="C133" s="15" t="s">
        <v>256</v>
      </c>
      <c r="D133" s="16">
        <f>A.1.03.2e.4</f>
        <v>138107.24</v>
      </c>
    </row>
    <row r="134" spans="1:4" ht="27.6" x14ac:dyDescent="0.3">
      <c r="A134" s="14"/>
      <c r="B134" s="14" t="s">
        <v>257</v>
      </c>
      <c r="C134" s="15" t="s">
        <v>258</v>
      </c>
      <c r="D134" s="16">
        <f>A.1.03.2e.5</f>
        <v>135962.32</v>
      </c>
    </row>
    <row r="135" spans="1:4" ht="27.6" x14ac:dyDescent="0.3">
      <c r="A135" s="14"/>
      <c r="B135" s="14" t="s">
        <v>259</v>
      </c>
      <c r="C135" s="15" t="s">
        <v>260</v>
      </c>
      <c r="D135" s="16">
        <f>A.1.03.2e.6</f>
        <v>141126.24</v>
      </c>
    </row>
    <row r="136" spans="1:4" x14ac:dyDescent="0.3">
      <c r="A136" s="14"/>
      <c r="B136" s="14" t="s">
        <v>261</v>
      </c>
      <c r="C136" s="15" t="s">
        <v>262</v>
      </c>
      <c r="D136" s="16">
        <f>A.1.03.2f.1</f>
        <v>131870.04</v>
      </c>
    </row>
    <row r="137" spans="1:4" x14ac:dyDescent="0.3">
      <c r="A137" s="14"/>
      <c r="B137" s="14" t="s">
        <v>263</v>
      </c>
      <c r="C137" s="15" t="s">
        <v>264</v>
      </c>
      <c r="D137" s="16">
        <f>A.1.03.2f.2</f>
        <v>220545.6</v>
      </c>
    </row>
    <row r="138" spans="1:4" x14ac:dyDescent="0.3">
      <c r="A138" s="14"/>
      <c r="B138" s="14" t="s">
        <v>265</v>
      </c>
      <c r="C138" s="15" t="s">
        <v>266</v>
      </c>
      <c r="D138" s="16">
        <f>A.1.03.2f.4</f>
        <v>139572.24</v>
      </c>
    </row>
    <row r="139" spans="1:4" x14ac:dyDescent="0.3">
      <c r="A139" s="14"/>
      <c r="B139" s="14" t="s">
        <v>257</v>
      </c>
      <c r="C139" s="15" t="s">
        <v>267</v>
      </c>
      <c r="D139" s="16">
        <f>A.1.03.2e.5</f>
        <v>135962.32</v>
      </c>
    </row>
    <row r="140" spans="1:4" x14ac:dyDescent="0.3">
      <c r="A140" s="14"/>
      <c r="B140" s="14" t="s">
        <v>268</v>
      </c>
      <c r="C140" s="15" t="s">
        <v>269</v>
      </c>
      <c r="D140" s="16">
        <f>A.1.03.2g.1</f>
        <v>136894.29999999999</v>
      </c>
    </row>
    <row r="141" spans="1:4" x14ac:dyDescent="0.3">
      <c r="A141" s="14"/>
      <c r="B141" s="14" t="s">
        <v>270</v>
      </c>
      <c r="C141" s="15" t="s">
        <v>271</v>
      </c>
      <c r="D141" s="16">
        <f>A.1.03.2g.3</f>
        <v>112496.5</v>
      </c>
    </row>
    <row r="142" spans="1:4" x14ac:dyDescent="0.3">
      <c r="A142" s="14"/>
      <c r="B142" s="14" t="s">
        <v>272</v>
      </c>
      <c r="C142" s="15" t="s">
        <v>273</v>
      </c>
      <c r="D142" s="16">
        <f>A.1.03.2i.1</f>
        <v>5400</v>
      </c>
    </row>
    <row r="143" spans="1:4" ht="27.6" x14ac:dyDescent="0.3">
      <c r="A143" s="14"/>
      <c r="B143" s="14" t="s">
        <v>274</v>
      </c>
      <c r="C143" s="15" t="s">
        <v>275</v>
      </c>
      <c r="D143" s="16">
        <f>A.1.03.2i.2</f>
        <v>8100</v>
      </c>
    </row>
    <row r="144" spans="1:4" x14ac:dyDescent="0.3">
      <c r="A144" s="14"/>
      <c r="B144" s="14" t="s">
        <v>276</v>
      </c>
      <c r="C144" s="15" t="s">
        <v>277</v>
      </c>
      <c r="D144" s="16">
        <f>A.2.03.2j.2</f>
        <v>53884.74</v>
      </c>
    </row>
    <row r="145" spans="1:5" x14ac:dyDescent="0.3">
      <c r="A145" s="14"/>
      <c r="B145" s="14" t="s">
        <v>278</v>
      </c>
      <c r="C145" s="15" t="s">
        <v>279</v>
      </c>
      <c r="D145" s="16">
        <f>A.1.04.1a</f>
        <v>48084.1</v>
      </c>
    </row>
    <row r="146" spans="1:5" x14ac:dyDescent="0.3">
      <c r="A146" s="14"/>
      <c r="B146" s="14" t="s">
        <v>280</v>
      </c>
      <c r="C146" s="15" t="s">
        <v>281</v>
      </c>
      <c r="D146" s="16">
        <f>A.1.04.2</f>
        <v>173402.45</v>
      </c>
    </row>
    <row r="147" spans="1:5" x14ac:dyDescent="0.3">
      <c r="A147" s="14"/>
      <c r="B147" s="14" t="s">
        <v>282</v>
      </c>
      <c r="C147" s="15" t="s">
        <v>283</v>
      </c>
      <c r="D147" s="16">
        <f>A.1.04.3</f>
        <v>432825</v>
      </c>
    </row>
    <row r="148" spans="1:5" x14ac:dyDescent="0.3">
      <c r="A148" s="14"/>
      <c r="B148" s="14" t="s">
        <v>284</v>
      </c>
      <c r="C148" s="15" t="s">
        <v>285</v>
      </c>
      <c r="D148" s="16">
        <f>A.2.06.1</f>
        <v>779985.76118399994</v>
      </c>
      <c r="E148" s="20" t="s">
        <v>286</v>
      </c>
    </row>
    <row r="149" spans="1:5" x14ac:dyDescent="0.3">
      <c r="A149" s="14"/>
      <c r="B149" s="14" t="s">
        <v>287</v>
      </c>
      <c r="C149" s="15" t="s">
        <v>288</v>
      </c>
      <c r="D149" s="16">
        <f>A.2.06.2</f>
        <v>6584730.9600799996</v>
      </c>
      <c r="E149" s="20" t="s">
        <v>286</v>
      </c>
    </row>
    <row r="150" spans="1:5" x14ac:dyDescent="0.3">
      <c r="A150" s="14"/>
      <c r="B150" s="14" t="s">
        <v>289</v>
      </c>
      <c r="C150" s="15" t="s">
        <v>290</v>
      </c>
      <c r="D150" s="16">
        <f>A.2.06.3</f>
        <v>1400585.7611839999</v>
      </c>
      <c r="E150" s="20" t="s">
        <v>286</v>
      </c>
    </row>
    <row r="151" spans="1:5" x14ac:dyDescent="0.3">
      <c r="A151" s="14"/>
      <c r="B151" s="14" t="s">
        <v>291</v>
      </c>
      <c r="C151" s="15" t="s">
        <v>292</v>
      </c>
      <c r="D151" s="16">
        <f>A.1.07.7a</f>
        <v>1235336.598516</v>
      </c>
    </row>
    <row r="152" spans="1:5" x14ac:dyDescent="0.3">
      <c r="A152" s="14"/>
      <c r="B152" s="14" t="s">
        <v>293</v>
      </c>
      <c r="C152" s="15" t="s">
        <v>294</v>
      </c>
      <c r="D152" s="16">
        <f>A.1.08.1a</f>
        <v>545405.99</v>
      </c>
    </row>
    <row r="153" spans="1:5" x14ac:dyDescent="0.3">
      <c r="A153" s="14"/>
      <c r="B153" s="14" t="s">
        <v>295</v>
      </c>
      <c r="C153" s="15" t="s">
        <v>296</v>
      </c>
      <c r="D153" s="16">
        <f>A.1.08.1b</f>
        <v>899818.11</v>
      </c>
    </row>
    <row r="154" spans="1:5" x14ac:dyDescent="0.3">
      <c r="A154" s="14"/>
      <c r="B154" s="14" t="s">
        <v>297</v>
      </c>
      <c r="C154" s="15" t="s">
        <v>298</v>
      </c>
      <c r="D154" s="16">
        <f>A.1.08.2a</f>
        <v>0</v>
      </c>
    </row>
    <row r="155" spans="1:5" x14ac:dyDescent="0.3">
      <c r="A155" s="14"/>
      <c r="B155" s="14" t="s">
        <v>299</v>
      </c>
      <c r="C155" s="15" t="s">
        <v>300</v>
      </c>
      <c r="D155" s="16">
        <f>A.1.08.2b</f>
        <v>0</v>
      </c>
    </row>
    <row r="156" spans="1:5" x14ac:dyDescent="0.3">
      <c r="A156" s="14"/>
      <c r="B156" s="14" t="s">
        <v>301</v>
      </c>
      <c r="C156" s="15" t="s">
        <v>302</v>
      </c>
      <c r="D156" s="16">
        <f>A.1.08.3a</f>
        <v>4050</v>
      </c>
    </row>
    <row r="157" spans="1:5" x14ac:dyDescent="0.3">
      <c r="A157" s="14"/>
      <c r="B157" s="14" t="s">
        <v>303</v>
      </c>
      <c r="C157" s="15" t="s">
        <v>304</v>
      </c>
      <c r="D157" s="16">
        <f>A.1.08.4a</f>
        <v>67500</v>
      </c>
    </row>
    <row r="158" spans="1:5" ht="27.6" x14ac:dyDescent="0.3">
      <c r="A158" s="14"/>
      <c r="B158" s="14" t="s">
        <v>305</v>
      </c>
      <c r="C158" s="15" t="s">
        <v>306</v>
      </c>
      <c r="D158" s="16">
        <f>A.2.08.4a</f>
        <v>57153.2405</v>
      </c>
    </row>
    <row r="159" spans="1:5" x14ac:dyDescent="0.3">
      <c r="A159" s="14"/>
      <c r="B159" s="14" t="s">
        <v>307</v>
      </c>
      <c r="C159" s="15" t="s">
        <v>308</v>
      </c>
      <c r="D159" s="16">
        <f>A.2.08.6a</f>
        <v>38438</v>
      </c>
    </row>
    <row r="160" spans="1:5" x14ac:dyDescent="0.3">
      <c r="A160" s="14"/>
      <c r="B160" s="14" t="s">
        <v>309</v>
      </c>
      <c r="C160" s="15" t="s">
        <v>310</v>
      </c>
      <c r="D160" s="16">
        <f>A.3.09.2a.1.a</f>
        <v>735916.58849830367</v>
      </c>
    </row>
    <row r="161" spans="1:4" x14ac:dyDescent="0.3">
      <c r="A161" s="14"/>
      <c r="B161" s="14" t="s">
        <v>311</v>
      </c>
      <c r="C161" s="15" t="s">
        <v>312</v>
      </c>
      <c r="D161" s="16">
        <f>A.3.09.2a.2.a</f>
        <v>1606408.1911277384</v>
      </c>
    </row>
    <row r="162" spans="1:4" x14ac:dyDescent="0.3">
      <c r="A162" s="14"/>
      <c r="B162" s="14" t="s">
        <v>313</v>
      </c>
      <c r="C162" s="15" t="s">
        <v>314</v>
      </c>
      <c r="D162" s="16">
        <f>A.3.09.2b.1.a</f>
        <v>1336593.5915853572</v>
      </c>
    </row>
    <row r="163" spans="1:4" x14ac:dyDescent="0.3">
      <c r="A163" s="14"/>
      <c r="B163" s="14" t="s">
        <v>315</v>
      </c>
      <c r="C163" s="15" t="s">
        <v>316</v>
      </c>
      <c r="D163" s="16">
        <f>A.3.09.2b.2.a</f>
        <v>2136105.9613139643</v>
      </c>
    </row>
    <row r="164" spans="1:4" x14ac:dyDescent="0.3">
      <c r="A164" s="14"/>
      <c r="B164" s="14" t="s">
        <v>317</v>
      </c>
      <c r="C164" s="15" t="s">
        <v>318</v>
      </c>
      <c r="D164" s="16">
        <f>A.3.09.2b.3.a</f>
        <v>3959589.7915599467</v>
      </c>
    </row>
    <row r="165" spans="1:4" x14ac:dyDescent="0.3">
      <c r="A165" s="14"/>
      <c r="B165" s="14" t="s">
        <v>319</v>
      </c>
      <c r="C165" s="15" t="s">
        <v>320</v>
      </c>
      <c r="D165" s="16">
        <f>A.3.05.3a.1.b</f>
        <v>98812.138416000002</v>
      </c>
    </row>
    <row r="166" spans="1:4" x14ac:dyDescent="0.3">
      <c r="A166" s="14"/>
      <c r="B166" s="14" t="s">
        <v>321</v>
      </c>
      <c r="C166" s="15" t="s">
        <v>322</v>
      </c>
      <c r="D166" s="16">
        <f>A.3.05.3a.1.c</f>
        <v>105276.024148</v>
      </c>
    </row>
    <row r="167" spans="1:4" x14ac:dyDescent="0.3">
      <c r="A167" s="14"/>
      <c r="B167" s="21" t="s">
        <v>323</v>
      </c>
      <c r="C167" s="15" t="s">
        <v>324</v>
      </c>
      <c r="D167" s="16">
        <f>A.1.01.a1</f>
        <v>6750</v>
      </c>
    </row>
    <row r="168" spans="1:4" ht="14.4" customHeight="1" x14ac:dyDescent="0.3">
      <c r="A168" s="14"/>
      <c r="B168" s="14" t="s">
        <v>325</v>
      </c>
      <c r="C168" s="14" t="s">
        <v>326</v>
      </c>
      <c r="D168" s="16">
        <f>A.1.04.1a</f>
        <v>48084.1</v>
      </c>
    </row>
    <row r="169" spans="1:4" ht="14.4" customHeight="1" x14ac:dyDescent="0.3">
      <c r="A169" s="14"/>
      <c r="B169" s="14"/>
      <c r="C169" s="15" t="s">
        <v>327</v>
      </c>
      <c r="D169" s="16">
        <f>[1]ANALISA_FIX!H4075</f>
        <v>117479.097996</v>
      </c>
    </row>
  </sheetData>
  <mergeCells count="4"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2025-02-26T17:49:58Z</dcterms:modified>
</cp:coreProperties>
</file>